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/>
  <xr:revisionPtr revIDLastSave="0" documentId="13_ncr:1_{FFD34D74-DCEB-44D2-88F8-56D811E6ED07}" xr6:coauthVersionLast="46" xr6:coauthVersionMax="46" xr10:uidLastSave="{00000000-0000-0000-0000-000000000000}"/>
  <bookViews>
    <workbookView xWindow="2400" yWindow="360" windowWidth="23535" windowHeight="15390" tabRatio="710" firstSheet="10" activeTab="12" xr2:uid="{00000000-000D-0000-FFFF-FFFF00000000}"/>
  </bookViews>
  <sheets>
    <sheet name="Dashboard" sheetId="1" r:id="rId1"/>
    <sheet name="General Information" sheetId="37" r:id="rId2"/>
    <sheet name="Control Panel" sheetId="2" r:id="rId3"/>
    <sheet name="Financial Ratio Analysis" sheetId="3" r:id="rId4"/>
    <sheet name="Scenarios Analysis" sheetId="4" r:id="rId5"/>
    <sheet name="Income statement" sheetId="21" r:id="rId6"/>
    <sheet name="Balance Sheet" sheetId="22" r:id="rId7"/>
    <sheet name="Cashflow Statement" sheetId="23" r:id="rId8"/>
    <sheet name="Model Drivers G%" sheetId="26" r:id="rId9"/>
    <sheet name="Model Drivers Schedule" sheetId="24" r:id="rId10"/>
    <sheet name="Balance sheet advanced" sheetId="38" r:id="rId11"/>
    <sheet name="Income statement advanced" sheetId="28" r:id="rId12"/>
    <sheet name="CFS advanced" sheetId="39" r:id="rId13"/>
    <sheet name="Main support" sheetId="5" r:id="rId14"/>
    <sheet name="Main" sheetId="25" r:id="rId15"/>
    <sheet name="DCF%" sheetId="36" r:id="rId16"/>
    <sheet name="DCF" sheetId="7" r:id="rId17"/>
    <sheet name="FCF Yield" sheetId="29" r:id="rId18"/>
    <sheet name="Industry Averages (Global)" sheetId="32" r:id="rId19"/>
    <sheet name="Country ERP" sheetId="33" r:id="rId20"/>
    <sheet name="Option value" sheetId="34" r:id="rId21"/>
    <sheet name="EVA" sheetId="30" r:id="rId22"/>
    <sheet name="Industry Averages (US)" sheetId="31" r:id="rId23"/>
    <sheet name="SOTP" sheetId="9" r:id="rId24"/>
    <sheet name="WACC" sheetId="10" r:id="rId25"/>
    <sheet name="Cost of Equity CAPM" sheetId="11" r:id="rId26"/>
    <sheet name="Multifactor Cost of Equity(WIP)" sheetId="12" r:id="rId27"/>
    <sheet name="Comps" sheetId="13" r:id="rId28"/>
    <sheet name="PrecedentsVal" sheetId="14" r:id="rId29"/>
    <sheet name="Precedents" sheetId="15" r:id="rId30"/>
    <sheet name="Market Data" sheetId="16" r:id="rId31"/>
    <sheet name="Research Consensus" sheetId="17" r:id="rId32"/>
    <sheet name="STATS OUTPUT&gt;" sheetId="18" r:id="rId33"/>
    <sheet name="Share Price" sheetId="19" r:id="rId34"/>
    <sheet name="Markov_Chains" sheetId="20" r:id="rId35"/>
    <sheet name="Debt Schedule Sweep(optional)" sheetId="27" r:id="rId36"/>
    <sheet name="Appendix" sheetId="35" r:id="rId37"/>
  </sheets>
  <externalReferences>
    <externalReference r:id="rId38"/>
  </externalReferences>
  <definedNames>
    <definedName name="_CompanyName">'Control Panel'!$F$7</definedName>
    <definedName name="_LTGrowth">'Control Panel'!$F$20</definedName>
    <definedName name="_RoundBillions">'Control Panel'!#REF!</definedName>
    <definedName name="_TaxRate">'Control Panel'!$F$14</definedName>
    <definedName name="_Vdate">'Control Panel'!$F$8</definedName>
    <definedName name="_WACC">'Control Panel'!#REF!</definedName>
    <definedName name="_YEdate_After">'Control Panel'!#REF!</definedName>
    <definedName name="_YEdate_Before">'Control Panel'!#REF!</definedName>
    <definedName name="ASM_AccountsPayable_2018">[1]Assumptions!$E$65</definedName>
    <definedName name="ASM_AccountsPayable_2019">[1]Assumptions!$F$65</definedName>
    <definedName name="ASM_AccountsPayable_2020">[1]Assumptions!$G$65</definedName>
    <definedName name="ASM_AccountsPayable_2021">[1]Assumptions!$H$65</definedName>
    <definedName name="ASM_AccountsPayable_2022">[1]Assumptions!$I$65</definedName>
    <definedName name="ASM_AccruedLiabilities_2018">[1]Assumptions!$E$71</definedName>
    <definedName name="ASM_AccruedLiabilities_2019">[1]Assumptions!$F$71</definedName>
    <definedName name="ASM_AccruedLiabilities_2020">[1]Assumptions!$G$71</definedName>
    <definedName name="ASM_AccruedLiabilities_2021">[1]Assumptions!$H$71</definedName>
    <definedName name="ASM_AccruedLiabilities_2022">[1]Assumptions!$I$71</definedName>
    <definedName name="ASM_CAPEX_2018">[1]Assumptions!$E$84</definedName>
    <definedName name="ASM_CAPEX_2019">[1]Assumptions!$F$84</definedName>
    <definedName name="ASM_CAPEX_2020">[1]Assumptions!$G$84</definedName>
    <definedName name="ASM_CAPEX_2021">[1]Assumptions!$H$84</definedName>
    <definedName name="ASM_CAPEX_2022">[1]Assumptions!$I$84</definedName>
    <definedName name="ASM_COS_2018">[1]Assumptions!$E$13</definedName>
    <definedName name="ASM_COS_2019">[1]Assumptions!$F$13</definedName>
    <definedName name="ASM_COS_2020">[1]Assumptions!$G$13</definedName>
    <definedName name="ASM_COS_2021">[1]Assumptions!$H$13</definedName>
    <definedName name="ASM_COS_2022">[1]Assumptions!$I$13</definedName>
    <definedName name="ASM_DepnAndAmortn_2018">[1]Assumptions!$E$26</definedName>
    <definedName name="ASM_DepnAndAmortn_2019">[1]Assumptions!$F$26</definedName>
    <definedName name="ASM_DepnAndAmortn_2020">[1]Assumptions!$G$26</definedName>
    <definedName name="ASM_DepnAndAmortn_2021">[1]Assumptions!$H$26</definedName>
    <definedName name="ASM_DepnAndAmortn_2022">[1]Assumptions!$I$26</definedName>
    <definedName name="ASM_Inventories_2018">[1]Assumptions!$E$46</definedName>
    <definedName name="ASM_Inventories_2019">[1]Assumptions!$F$46</definedName>
    <definedName name="ASM_Inventories_2020">[1]Assumptions!$G$46</definedName>
    <definedName name="ASM_Inventories_2021">[1]Assumptions!$H$46</definedName>
    <definedName name="ASM_Inventories_2022">[1]Assumptions!$I$46</definedName>
    <definedName name="ASM_OtherCurrentAssets_2018">[1]Assumptions!$E$58</definedName>
    <definedName name="ASM_OtherCurrentAssets_2019">[1]Assumptions!$F$58</definedName>
    <definedName name="ASM_OtherCurrentAssets_2020">[1]Assumptions!$G$58</definedName>
    <definedName name="ASM_OtherCurrentAssets_2021">[1]Assumptions!$H$58</definedName>
    <definedName name="ASM_OtherCurrentAssets_2022">[1]Assumptions!$I$58</definedName>
    <definedName name="ASM_OtherCurrentLiabilities_2018">[1]Assumptions!$E$77</definedName>
    <definedName name="ASM_OtherCurrentLiabilities_2019">[1]Assumptions!$F$77</definedName>
    <definedName name="ASM_OtherCurrentLiabilities_2020">[1]Assumptions!$G$77</definedName>
    <definedName name="ASM_OtherCurrentLiabilities_2021">[1]Assumptions!$H$77</definedName>
    <definedName name="ASM_OtherCurrentLiabilities_2022">[1]Assumptions!$I$77</definedName>
    <definedName name="ASM_Prepaids_2018">[1]Assumptions!$E$52</definedName>
    <definedName name="ASM_Prepaids_2019">[1]Assumptions!$F$52</definedName>
    <definedName name="ASM_Prepaids_2020">[1]Assumptions!$G$52</definedName>
    <definedName name="ASM_Prepaids_2021">[1]Assumptions!$H$52</definedName>
    <definedName name="ASM_Prepaids_2022">[1]Assumptions!$I$52</definedName>
    <definedName name="ASM_Receivables_2018">[1]Assumptions!$E$40</definedName>
    <definedName name="ASM_Receivables_2019">[1]Assumptions!$F$40</definedName>
    <definedName name="ASM_Receivables_2020">[1]Assumptions!$G$40</definedName>
    <definedName name="ASM_Receivables_2021">[1]Assumptions!$H$40</definedName>
    <definedName name="ASM_Receivables_2022">[1]Assumptions!$I$40</definedName>
    <definedName name="ASM_SalesGrowth_2018">[1]Assumptions!$E$7</definedName>
    <definedName name="ASM_SalesGrowth_2019">[1]Assumptions!$F$7</definedName>
    <definedName name="ASM_SalesGrowth_2020">[1]Assumptions!$G$7</definedName>
    <definedName name="ASM_SalesGrowth_2021">[1]Assumptions!$H$7</definedName>
    <definedName name="ASM_SalesGrowth_2022">[1]Assumptions!$I$7</definedName>
    <definedName name="ASM_SGandA_2018">[1]Assumptions!$E$19</definedName>
    <definedName name="ASM_SGandA_2019">[1]Assumptions!$F$19</definedName>
    <definedName name="ASM_SGandA_2020">[1]Assumptions!$G$19</definedName>
    <definedName name="ASM_SGandA_2021">[1]Assumptions!$H$19</definedName>
    <definedName name="ASM_SGandA_2022">[1]Assumptions!$I$19</definedName>
    <definedName name="ASM_TaxRate_2018">[1]Assumptions!$E$32</definedName>
    <definedName name="ASM_TaxRate_2019">[1]Assumptions!$F$32</definedName>
    <definedName name="ASM_TaxRate_2020">[1]Assumptions!$G$32</definedName>
    <definedName name="ASM_TaxRate_2021">[1]Assumptions!$H$32</definedName>
    <definedName name="ASM_TaxRate_2022">[1]Assumptions!$I$32</definedName>
    <definedName name="BS">#REF!</definedName>
    <definedName name="CF">#REF!</definedName>
    <definedName name="DCF_AccountsPayableDPO_2017">'[1]DCF Valuation'!$H$22</definedName>
    <definedName name="DCF_AccruedLiabilitiesPOS_2017">'[1]DCF Valuation'!$H$24</definedName>
    <definedName name="DCF_CAPEXGrowth_2015">'[1]DCF Valuation'!$F$31</definedName>
    <definedName name="DCF_CAPEXGrowth_2016">'[1]DCF Valuation'!$G$31</definedName>
    <definedName name="DCF_CAPEXGrowth_2017">'[1]DCF Valuation'!$H$31</definedName>
    <definedName name="DCF_COSasPOS_2017">'[1]DCF Valuation'!$H$41</definedName>
    <definedName name="DCF_COSHistoricalSet">'[1]DCF Valuation'!$E$41:$H$41</definedName>
    <definedName name="DCF_DepnAndAmortPoPPE_2017">'[1]DCF Valuation'!$H$49</definedName>
    <definedName name="DCF_InventoriesDIH_2017">'[1]DCF Valuation'!$H$15</definedName>
    <definedName name="DCF_OtherCurrentAssetsPOS_2017">'[1]DCF Valuation'!$H$19</definedName>
    <definedName name="DCF_OtherCurrentLiabilitiesPOS_2017">'[1]DCF Valuation'!$H$26</definedName>
    <definedName name="DCF_PrepaidsPOS_2017">'[1]DCF Valuation'!$H$17</definedName>
    <definedName name="DCF_ReceivablesDSO_2017">'[1]DCF Valuation'!$H$13</definedName>
    <definedName name="DCF_ScenarioSet">'[1]DCF Valuation'!$D$5</definedName>
    <definedName name="DCF_SGandAHistoricalSet">'[1]DCF Valuation'!$E$45:$H$45</definedName>
    <definedName name="IS">#REF!</definedName>
    <definedName name="Metrics">#REF!</definedName>
    <definedName name="Ratios">#REF!</definedName>
    <definedName name="SalesForecast_ServiceRevenues_2018">'[1]Sales Forecast'!$F$8</definedName>
    <definedName name="SalesForecast_ServiceRevenues_2019">'[1]Sales Forecast'!$G$8</definedName>
    <definedName name="SalesForecast_ServiceRevenues_2020">'[1]Sales Forecast'!$H$8</definedName>
    <definedName name="SalesForecast_ServiceRevenues_2021">'[1]Sales Forecast'!$I$8</definedName>
    <definedName name="SalesForecast_ServiceRevenues_2022">'[1]Sales Forecast'!$J$8</definedName>
    <definedName name="TEL_CAPEX_2017">'[1]TEL - CFS'!$G$64</definedName>
    <definedName name="TEL_PPE_2014">'[1]TEL - BS'!$C$6</definedName>
    <definedName name="TEL_PPE_2015">'[1]TEL - BS'!$D$6</definedName>
    <definedName name="TEL_PPE_2016">'[1]TEL - BS'!$E$6</definedName>
    <definedName name="TEL_PPE_2017">'[1]TEL - BS'!$G$6</definedName>
    <definedName name="WACC_ComputedWACC">'[1]WACC Computation'!$D$21</definedName>
  </definedNames>
  <calcPr calcId="181029" iterate="1"/>
</workbook>
</file>

<file path=xl/calcChain.xml><?xml version="1.0" encoding="utf-8"?>
<calcChain xmlns="http://schemas.openxmlformats.org/spreadsheetml/2006/main">
  <c r="D88" i="39" l="1"/>
  <c r="C88" i="39"/>
  <c r="D68" i="39"/>
  <c r="C68" i="39"/>
  <c r="D62" i="39"/>
  <c r="C62" i="39"/>
  <c r="D22" i="39"/>
  <c r="D35" i="39" s="1"/>
  <c r="D37" i="39" s="1"/>
  <c r="D90" i="39" s="1"/>
  <c r="D92" i="39" s="1"/>
  <c r="D4" i="39"/>
  <c r="C4" i="39"/>
  <c r="C22" i="39" s="1"/>
  <c r="C35" i="39" s="1"/>
  <c r="C37" i="39" s="1"/>
  <c r="C90" i="39" s="1"/>
  <c r="C92" i="39" s="1"/>
  <c r="D91" i="39" s="1"/>
  <c r="D76" i="38"/>
  <c r="C76" i="38"/>
  <c r="D75" i="38"/>
  <c r="C75" i="38"/>
  <c r="D65" i="38"/>
  <c r="D77" i="38" s="1"/>
  <c r="C65" i="38"/>
  <c r="C77" i="38" s="1"/>
  <c r="D64" i="38"/>
  <c r="C64" i="38"/>
  <c r="D52" i="38"/>
  <c r="C52" i="38"/>
  <c r="D43" i="38"/>
  <c r="D53" i="38" s="1"/>
  <c r="D55" i="38" s="1"/>
  <c r="C43" i="38"/>
  <c r="C53" i="38" s="1"/>
  <c r="C55" i="38" s="1"/>
  <c r="D37" i="38"/>
  <c r="C37" i="38"/>
  <c r="D36" i="38"/>
  <c r="C36" i="38"/>
  <c r="D35" i="38"/>
  <c r="C35" i="38"/>
  <c r="D20" i="38"/>
  <c r="C20" i="38"/>
  <c r="D19" i="38"/>
  <c r="C19" i="38"/>
  <c r="C78" i="38" l="1"/>
  <c r="C79" i="38" s="1"/>
  <c r="D78" i="38"/>
  <c r="D79" i="38" s="1"/>
  <c r="S80" i="37"/>
  <c r="T80" i="37" s="1"/>
  <c r="S79" i="37"/>
  <c r="T79" i="37" s="1"/>
  <c r="S78" i="37"/>
  <c r="T78" i="37" s="1"/>
  <c r="T72" i="37"/>
  <c r="S72" i="37"/>
  <c r="S71" i="37"/>
  <c r="T71" i="37" s="1"/>
  <c r="T70" i="37"/>
  <c r="S70" i="37"/>
  <c r="S69" i="37"/>
  <c r="T69" i="37" s="1"/>
  <c r="L55" i="37"/>
  <c r="K55" i="37"/>
  <c r="J55" i="37"/>
  <c r="L51" i="37"/>
  <c r="K51" i="37"/>
  <c r="J51" i="37"/>
  <c r="G51" i="37"/>
  <c r="L50" i="37"/>
  <c r="K50" i="37"/>
  <c r="J50" i="37"/>
  <c r="G50" i="37"/>
  <c r="G49" i="37"/>
  <c r="G47" i="37"/>
  <c r="L42" i="37"/>
  <c r="K42" i="37"/>
  <c r="J42" i="37"/>
  <c r="J43" i="37" s="1"/>
  <c r="L41" i="37"/>
  <c r="L57" i="37" s="1"/>
  <c r="K41" i="37"/>
  <c r="K57" i="37" s="1"/>
  <c r="J41" i="37"/>
  <c r="J57" i="37" s="1"/>
  <c r="G39" i="37"/>
  <c r="T37" i="37"/>
  <c r="T55" i="37" s="1"/>
  <c r="M35" i="37"/>
  <c r="M31" i="37"/>
  <c r="M42" i="37" s="1"/>
  <c r="L30" i="37"/>
  <c r="K30" i="37"/>
  <c r="J30" i="37"/>
  <c r="G30" i="37"/>
  <c r="G29" i="37"/>
  <c r="G28" i="37"/>
  <c r="M25" i="37"/>
  <c r="M41" i="37" s="1"/>
  <c r="T21" i="37"/>
  <c r="T41" i="37" s="1"/>
  <c r="T45" i="37" s="1"/>
  <c r="G20" i="37"/>
  <c r="G44" i="37" s="1"/>
  <c r="T19" i="37"/>
  <c r="T47" i="37" s="1"/>
  <c r="G18" i="37"/>
  <c r="M16" i="37"/>
  <c r="M15" i="37"/>
  <c r="M14" i="37"/>
  <c r="J12" i="37"/>
  <c r="M12" i="37" s="1"/>
  <c r="M11" i="37"/>
  <c r="T9" i="37"/>
  <c r="T14" i="37" s="1"/>
  <c r="M9" i="37"/>
  <c r="M8" i="37"/>
  <c r="M55" i="37" s="1"/>
  <c r="L7" i="37"/>
  <c r="L10" i="37" s="1"/>
  <c r="L13" i="37" s="1"/>
  <c r="L17" i="37" s="1"/>
  <c r="K7" i="37"/>
  <c r="K24" i="37" s="1"/>
  <c r="K26" i="37" s="1"/>
  <c r="K27" i="37" s="1"/>
  <c r="J7" i="37"/>
  <c r="J24" i="37" s="1"/>
  <c r="J26" i="37" s="1"/>
  <c r="J27" i="37" s="1"/>
  <c r="M6" i="37"/>
  <c r="M5" i="37"/>
  <c r="M4" i="37"/>
  <c r="M3" i="37" s="1"/>
  <c r="K4" i="37"/>
  <c r="M47" i="36"/>
  <c r="L47" i="36"/>
  <c r="K47" i="36"/>
  <c r="J47" i="36"/>
  <c r="I47" i="36"/>
  <c r="M43" i="36"/>
  <c r="L43" i="36"/>
  <c r="K43" i="36"/>
  <c r="J43" i="36"/>
  <c r="I43" i="36"/>
  <c r="M33" i="36"/>
  <c r="L33" i="36"/>
  <c r="K33" i="36"/>
  <c r="J33" i="36"/>
  <c r="I33" i="36"/>
  <c r="H27" i="36"/>
  <c r="G27" i="36"/>
  <c r="F27" i="36"/>
  <c r="E27" i="36"/>
  <c r="K25" i="36"/>
  <c r="J25" i="36"/>
  <c r="I25" i="36"/>
  <c r="G42" i="36"/>
  <c r="G38" i="36"/>
  <c r="G34" i="36"/>
  <c r="H32" i="36"/>
  <c r="E30" i="36"/>
  <c r="G24" i="36"/>
  <c r="H3" i="36"/>
  <c r="F42" i="36"/>
  <c r="F38" i="36"/>
  <c r="F34" i="36"/>
  <c r="G32" i="36"/>
  <c r="H30" i="36"/>
  <c r="F24" i="36"/>
  <c r="G3" i="36"/>
  <c r="E42" i="36"/>
  <c r="E38" i="36"/>
  <c r="E34" i="36"/>
  <c r="F32" i="36"/>
  <c r="G30" i="36"/>
  <c r="E24" i="36"/>
  <c r="F3" i="36"/>
  <c r="E3" i="36"/>
  <c r="H42" i="36"/>
  <c r="F30" i="36"/>
  <c r="H24" i="36"/>
  <c r="E32" i="36"/>
  <c r="H38" i="36"/>
  <c r="H34" i="36"/>
  <c r="L24" i="37" l="1"/>
  <c r="L26" i="37" s="1"/>
  <c r="L27" i="37" s="1"/>
  <c r="M7" i="37"/>
  <c r="M51" i="37"/>
  <c r="T81" i="37"/>
  <c r="T63" i="37" s="1"/>
  <c r="T51" i="37"/>
  <c r="G21" i="37"/>
  <c r="T32" i="37"/>
  <c r="T39" i="37" s="1"/>
  <c r="M43" i="37"/>
  <c r="M57" i="37"/>
  <c r="T73" i="37"/>
  <c r="T62" i="37" s="1"/>
  <c r="T64" i="37" s="1"/>
  <c r="M24" i="37"/>
  <c r="M26" i="37" s="1"/>
  <c r="M27" i="37" s="1"/>
  <c r="M10" i="37"/>
  <c r="L21" i="37"/>
  <c r="L40" i="37"/>
  <c r="T23" i="37"/>
  <c r="T27" i="37" s="1"/>
  <c r="T53" i="37" s="1"/>
  <c r="T56" i="37" s="1"/>
  <c r="M30" i="37"/>
  <c r="M50" i="37"/>
  <c r="J10" i="37"/>
  <c r="G25" i="37"/>
  <c r="L29" i="37"/>
  <c r="L32" i="37" s="1"/>
  <c r="K10" i="37"/>
  <c r="H35" i="36"/>
  <c r="H39" i="36"/>
  <c r="E36" i="36"/>
  <c r="I24" i="36"/>
  <c r="H25" i="36"/>
  <c r="H43" i="36"/>
  <c r="F33" i="36"/>
  <c r="F36" i="36"/>
  <c r="E35" i="36"/>
  <c r="E39" i="36"/>
  <c r="E43" i="36"/>
  <c r="F25" i="36"/>
  <c r="I30" i="36"/>
  <c r="I55" i="36" s="1"/>
  <c r="G33" i="36"/>
  <c r="G36" i="36"/>
  <c r="F35" i="36"/>
  <c r="F39" i="36"/>
  <c r="F43" i="36"/>
  <c r="I3" i="36"/>
  <c r="J3" i="36" s="1"/>
  <c r="K3" i="36" s="1"/>
  <c r="L3" i="36" s="1"/>
  <c r="M3" i="36" s="1"/>
  <c r="G25" i="36"/>
  <c r="H33" i="36"/>
  <c r="H36" i="36"/>
  <c r="I32" i="36"/>
  <c r="G35" i="36"/>
  <c r="G39" i="36"/>
  <c r="G43" i="36"/>
  <c r="J120" i="2"/>
  <c r="F120" i="2"/>
  <c r="J118" i="2"/>
  <c r="F118" i="2"/>
  <c r="J117" i="2"/>
  <c r="I117" i="2"/>
  <c r="H117" i="2"/>
  <c r="G117" i="2"/>
  <c r="F117" i="2"/>
  <c r="E117" i="2"/>
  <c r="J110" i="2"/>
  <c r="I110" i="2"/>
  <c r="H110" i="2"/>
  <c r="G110" i="2"/>
  <c r="F110" i="2"/>
  <c r="E110" i="2"/>
  <c r="J104" i="2"/>
  <c r="I104" i="2"/>
  <c r="H104" i="2"/>
  <c r="G104" i="2"/>
  <c r="F104" i="2"/>
  <c r="E104" i="2"/>
  <c r="J98" i="2"/>
  <c r="I98" i="2"/>
  <c r="H98" i="2"/>
  <c r="G98" i="2"/>
  <c r="F98" i="2"/>
  <c r="E98" i="2"/>
  <c r="J91" i="2"/>
  <c r="I91" i="2"/>
  <c r="H91" i="2"/>
  <c r="G91" i="2"/>
  <c r="F91" i="2"/>
  <c r="E91" i="2"/>
  <c r="J85" i="2"/>
  <c r="I85" i="2"/>
  <c r="H85" i="2"/>
  <c r="G85" i="2"/>
  <c r="F85" i="2"/>
  <c r="E85" i="2"/>
  <c r="J79" i="2"/>
  <c r="I79" i="2"/>
  <c r="H79" i="2"/>
  <c r="G79" i="2"/>
  <c r="F79" i="2"/>
  <c r="E79" i="2"/>
  <c r="J73" i="2"/>
  <c r="I73" i="2"/>
  <c r="H73" i="2"/>
  <c r="G73" i="2"/>
  <c r="F73" i="2"/>
  <c r="E73" i="2"/>
  <c r="J65" i="2"/>
  <c r="I65" i="2"/>
  <c r="H65" i="2"/>
  <c r="G65" i="2"/>
  <c r="F65" i="2"/>
  <c r="E65" i="2"/>
  <c r="J59" i="2"/>
  <c r="I59" i="2"/>
  <c r="H59" i="2"/>
  <c r="G59" i="2"/>
  <c r="F59" i="2"/>
  <c r="E59" i="2"/>
  <c r="J52" i="2"/>
  <c r="I52" i="2"/>
  <c r="H52" i="2"/>
  <c r="G52" i="2"/>
  <c r="F52" i="2"/>
  <c r="E52" i="2"/>
  <c r="J46" i="2"/>
  <c r="I46" i="2"/>
  <c r="H46" i="2"/>
  <c r="G46" i="2"/>
  <c r="F46" i="2"/>
  <c r="E46" i="2"/>
  <c r="J44" i="2"/>
  <c r="I44" i="2"/>
  <c r="H44" i="2"/>
  <c r="G44" i="2"/>
  <c r="F44" i="2"/>
  <c r="J40" i="2"/>
  <c r="I40" i="2"/>
  <c r="H40" i="2"/>
  <c r="G40" i="2"/>
  <c r="F40" i="2"/>
  <c r="E40" i="2"/>
  <c r="K13" i="37" l="1"/>
  <c r="K17" i="37" s="1"/>
  <c r="K29" i="37"/>
  <c r="K32" i="37" s="1"/>
  <c r="L43" i="37"/>
  <c r="L44" i="37" s="1"/>
  <c r="L36" i="37"/>
  <c r="L37" i="37" s="1"/>
  <c r="L53" i="37" s="1"/>
  <c r="L33" i="37"/>
  <c r="T28" i="37"/>
  <c r="T29" i="37" s="1"/>
  <c r="M29" i="37"/>
  <c r="M32" i="37" s="1"/>
  <c r="M13" i="37"/>
  <c r="M17" i="37" s="1"/>
  <c r="M40" i="37" s="1"/>
  <c r="M44" i="37" s="1"/>
  <c r="J13" i="37"/>
  <c r="J17" i="37" s="1"/>
  <c r="J29" i="37"/>
  <c r="J32" i="37" s="1"/>
  <c r="T57" i="37"/>
  <c r="T58" i="37" s="1"/>
  <c r="J32" i="36"/>
  <c r="G37" i="36"/>
  <c r="G40" i="36"/>
  <c r="E40" i="36"/>
  <c r="E37" i="36"/>
  <c r="J24" i="36"/>
  <c r="I51" i="36"/>
  <c r="I27" i="36"/>
  <c r="H37" i="36"/>
  <c r="H40" i="36"/>
  <c r="F37" i="36"/>
  <c r="F40" i="36"/>
  <c r="J30" i="36"/>
  <c r="K30" i="36" s="1"/>
  <c r="L30" i="36" s="1"/>
  <c r="M30" i="36" s="1"/>
  <c r="G10" i="36"/>
  <c r="G17" i="36"/>
  <c r="E17" i="36"/>
  <c r="E15" i="36"/>
  <c r="H10" i="36"/>
  <c r="F19" i="36"/>
  <c r="F17" i="36"/>
  <c r="H15" i="36"/>
  <c r="F15" i="36"/>
  <c r="G6" i="36"/>
  <c r="G12" i="36"/>
  <c r="E12" i="36"/>
  <c r="E10" i="36"/>
  <c r="H17" i="36"/>
  <c r="F12" i="36"/>
  <c r="E19" i="36"/>
  <c r="H8" i="36"/>
  <c r="F6" i="36"/>
  <c r="G19" i="36"/>
  <c r="G8" i="36"/>
  <c r="E8" i="36"/>
  <c r="E6" i="36"/>
  <c r="H12" i="36"/>
  <c r="H6" i="36"/>
  <c r="F10" i="36"/>
  <c r="F8" i="36"/>
  <c r="G15" i="36"/>
  <c r="H19" i="36"/>
  <c r="L45" i="37" l="1"/>
  <c r="L47" i="37"/>
  <c r="J36" i="37"/>
  <c r="G34" i="37"/>
  <c r="G33" i="37" s="1"/>
  <c r="J33" i="37"/>
  <c r="J40" i="37"/>
  <c r="J44" i="37" s="1"/>
  <c r="J21" i="37"/>
  <c r="G37" i="37"/>
  <c r="M45" i="37"/>
  <c r="M47" i="37"/>
  <c r="G36" i="37"/>
  <c r="G35" i="37" s="1"/>
  <c r="K36" i="37"/>
  <c r="K37" i="37" s="1"/>
  <c r="K53" i="37" s="1"/>
  <c r="K33" i="37"/>
  <c r="M36" i="37"/>
  <c r="M37" i="37" s="1"/>
  <c r="M53" i="37" s="1"/>
  <c r="M33" i="37"/>
  <c r="K40" i="37"/>
  <c r="K21" i="37"/>
  <c r="H20" i="36"/>
  <c r="G16" i="36"/>
  <c r="F9" i="36"/>
  <c r="F11" i="36"/>
  <c r="H21" i="36"/>
  <c r="H7" i="36"/>
  <c r="H13" i="36"/>
  <c r="E21" i="36"/>
  <c r="E22" i="36" s="1"/>
  <c r="E7" i="36"/>
  <c r="E9" i="36"/>
  <c r="G9" i="36"/>
  <c r="G20" i="36"/>
  <c r="F7" i="36"/>
  <c r="F21" i="36"/>
  <c r="F22" i="36" s="1"/>
  <c r="H9" i="36"/>
  <c r="E20" i="36"/>
  <c r="F13" i="36"/>
  <c r="H18" i="36"/>
  <c r="E11" i="36"/>
  <c r="E13" i="36"/>
  <c r="G13" i="36"/>
  <c r="G21" i="36"/>
  <c r="G22" i="36" s="1"/>
  <c r="G7" i="36"/>
  <c r="F16" i="36"/>
  <c r="H16" i="36"/>
  <c r="F18" i="36"/>
  <c r="F20" i="36"/>
  <c r="H11" i="36"/>
  <c r="E16" i="36"/>
  <c r="E18" i="36"/>
  <c r="G18" i="36"/>
  <c r="G11" i="36"/>
  <c r="E44" i="36"/>
  <c r="E45" i="36" s="1"/>
  <c r="E41" i="36"/>
  <c r="G41" i="36"/>
  <c r="G44" i="36"/>
  <c r="G45" i="36" s="1"/>
  <c r="J27" i="36"/>
  <c r="I42" i="36"/>
  <c r="I50" i="36" s="1"/>
  <c r="F41" i="36"/>
  <c r="F44" i="36"/>
  <c r="F45" i="36" s="1"/>
  <c r="K32" i="36"/>
  <c r="I56" i="36"/>
  <c r="J55" i="36"/>
  <c r="H41" i="36"/>
  <c r="H44" i="36"/>
  <c r="H45" i="36" s="1"/>
  <c r="K24" i="36"/>
  <c r="J51" i="36"/>
  <c r="K43" i="37" l="1"/>
  <c r="K44" i="37" s="1"/>
  <c r="G32" i="37"/>
  <c r="G31" i="37" s="1"/>
  <c r="J37" i="37"/>
  <c r="J53" i="37" s="1"/>
  <c r="J47" i="37"/>
  <c r="J45" i="37"/>
  <c r="J56" i="36"/>
  <c r="K55" i="36"/>
  <c r="K51" i="36"/>
  <c r="L32" i="36"/>
  <c r="J42" i="36"/>
  <c r="J50" i="36" s="1"/>
  <c r="K27" i="36"/>
  <c r="H22" i="36"/>
  <c r="K47" i="37" l="1"/>
  <c r="K45" i="37"/>
  <c r="K42" i="36"/>
  <c r="K50" i="36" s="1"/>
  <c r="L55" i="36"/>
  <c r="K56" i="36"/>
  <c r="M32" i="36"/>
  <c r="L56" i="36" l="1"/>
  <c r="M55" i="36"/>
  <c r="M56" i="36" s="1"/>
  <c r="I60" i="2" l="1"/>
  <c r="H60" i="2"/>
  <c r="G60" i="2"/>
  <c r="J60" i="2"/>
  <c r="F60" i="2"/>
  <c r="F105" i="2" l="1"/>
  <c r="G105" i="2" s="1"/>
  <c r="H105" i="2" s="1"/>
  <c r="I105" i="2" s="1"/>
  <c r="J105" i="2" s="1"/>
  <c r="H53" i="2"/>
  <c r="G53" i="2"/>
  <c r="J53" i="2"/>
  <c r="F53" i="2"/>
  <c r="I53" i="2"/>
  <c r="H74" i="2" l="1"/>
  <c r="G74" i="2"/>
  <c r="J74" i="2"/>
  <c r="F74" i="2"/>
  <c r="I74" i="2"/>
  <c r="H99" i="2"/>
  <c r="G99" i="2"/>
  <c r="J99" i="2"/>
  <c r="F99" i="2"/>
  <c r="I99" i="2"/>
  <c r="G92" i="2"/>
  <c r="J92" i="2"/>
  <c r="F92" i="2"/>
  <c r="I92" i="2"/>
  <c r="H92" i="2"/>
  <c r="J111" i="2"/>
  <c r="F111" i="2"/>
  <c r="I111" i="2"/>
  <c r="H111" i="2"/>
  <c r="G111" i="2"/>
  <c r="J86" i="2"/>
  <c r="F86" i="2"/>
  <c r="I86" i="2"/>
  <c r="H86" i="2"/>
  <c r="G86" i="2"/>
  <c r="I80" i="2"/>
  <c r="H80" i="2"/>
  <c r="G80" i="2"/>
  <c r="J80" i="2"/>
  <c r="F80" i="2"/>
  <c r="I7" i="36"/>
  <c r="L7" i="36"/>
  <c r="M7" i="36"/>
  <c r="K7" i="36"/>
  <c r="J7" i="36"/>
  <c r="I20" i="36"/>
  <c r="L20" i="36"/>
  <c r="M20" i="36"/>
  <c r="K20" i="36"/>
  <c r="J20" i="36"/>
  <c r="I18" i="36"/>
  <c r="M11" i="36"/>
  <c r="K11" i="36"/>
  <c r="J11" i="36"/>
  <c r="I11" i="36"/>
  <c r="L11" i="36"/>
  <c r="M16" i="36"/>
  <c r="K16" i="36"/>
  <c r="J16" i="36"/>
  <c r="I16" i="36"/>
  <c r="L16" i="36"/>
  <c r="M9" i="36"/>
  <c r="L9" i="36"/>
  <c r="K9" i="36"/>
  <c r="J9" i="36"/>
  <c r="I9" i="36"/>
  <c r="J13" i="36"/>
  <c r="I13" i="36"/>
  <c r="M13" i="36"/>
  <c r="L13" i="36"/>
  <c r="K13" i="36"/>
  <c r="I39" i="36"/>
  <c r="H120" i="2" l="1"/>
  <c r="I119" i="2"/>
  <c r="I118" i="2"/>
  <c r="J119" i="2"/>
  <c r="J121" i="2"/>
  <c r="G118" i="2"/>
  <c r="I120" i="2"/>
  <c r="I121" i="2"/>
  <c r="G120" i="2"/>
  <c r="H118" i="2"/>
  <c r="F47" i="2"/>
  <c r="G47" i="2" s="1"/>
  <c r="H47" i="2" s="1"/>
  <c r="I47" i="2" s="1"/>
  <c r="J47" i="2" s="1"/>
  <c r="J18" i="36"/>
  <c r="J39" i="36"/>
  <c r="G50" i="2"/>
  <c r="J50" i="2"/>
  <c r="F50" i="2"/>
  <c r="I50" i="2"/>
  <c r="H50" i="2"/>
  <c r="I35" i="36" l="1"/>
  <c r="J35" i="36"/>
  <c r="K18" i="36"/>
  <c r="K35" i="36"/>
  <c r="K39" i="36"/>
  <c r="L18" i="36" l="1"/>
  <c r="M18" i="36"/>
  <c r="L39" i="36"/>
  <c r="L35" i="36"/>
  <c r="D54" i="36" l="1"/>
  <c r="M35" i="36"/>
  <c r="M39" i="36"/>
  <c r="L25" i="36" l="1"/>
  <c r="L24" i="36" s="1"/>
  <c r="L51" i="36" l="1"/>
  <c r="L27" i="36"/>
  <c r="M25" i="36"/>
  <c r="M24" i="36" s="1"/>
  <c r="M51" i="36" s="1"/>
  <c r="M27" i="36" l="1"/>
  <c r="M42" i="36" s="1"/>
  <c r="M50" i="36" s="1"/>
  <c r="L42" i="36"/>
  <c r="L50" i="36" s="1"/>
  <c r="I4" i="35" l="1"/>
  <c r="I10" i="35" s="1"/>
  <c r="I16" i="35" s="1"/>
  <c r="I22" i="35" s="1"/>
  <c r="H4" i="35"/>
  <c r="H10" i="35" s="1"/>
  <c r="H16" i="35" s="1"/>
  <c r="H22" i="35" s="1"/>
  <c r="G4" i="35"/>
  <c r="G10" i="35" s="1"/>
  <c r="G16" i="35" s="1"/>
  <c r="G22" i="35" s="1"/>
  <c r="F4" i="35"/>
  <c r="F10" i="35" s="1"/>
  <c r="F16" i="35" s="1"/>
  <c r="F22" i="35" s="1"/>
  <c r="E4" i="35"/>
  <c r="E10" i="35" s="1"/>
  <c r="E16" i="35" s="1"/>
  <c r="E22" i="35" s="1"/>
  <c r="D4" i="35"/>
  <c r="D10" i="35" s="1"/>
  <c r="D16" i="35" s="1"/>
  <c r="D22" i="35" s="1"/>
  <c r="E28" i="1"/>
  <c r="F28" i="1"/>
  <c r="G28" i="1"/>
  <c r="F124" i="24"/>
  <c r="F123" i="24"/>
  <c r="I115" i="24"/>
  <c r="I118" i="24" s="1"/>
  <c r="H115" i="24"/>
  <c r="H118" i="24" s="1"/>
  <c r="G115" i="24"/>
  <c r="G118" i="24" s="1"/>
  <c r="F115" i="24"/>
  <c r="I112" i="24"/>
  <c r="H112" i="24"/>
  <c r="G112" i="24"/>
  <c r="F112" i="24"/>
  <c r="I111" i="24"/>
  <c r="I124" i="24" s="1"/>
  <c r="H111" i="24"/>
  <c r="H124" i="24" s="1"/>
  <c r="G111" i="24"/>
  <c r="G124" i="24" s="1"/>
  <c r="F111" i="24"/>
  <c r="F110" i="24"/>
  <c r="F113" i="24" s="1"/>
  <c r="G110" i="24" s="1"/>
  <c r="G113" i="24" s="1"/>
  <c r="H110" i="24" s="1"/>
  <c r="H113" i="24" s="1"/>
  <c r="I110" i="24" s="1"/>
  <c r="I113" i="24" s="1"/>
  <c r="I161" i="24"/>
  <c r="I163" i="24" s="1"/>
  <c r="H161" i="24"/>
  <c r="H163" i="24" s="1"/>
  <c r="G161" i="24"/>
  <c r="G163" i="24" s="1"/>
  <c r="F163" i="24" s="1"/>
  <c r="F161" i="24" s="1"/>
  <c r="F148" i="24"/>
  <c r="I139" i="24"/>
  <c r="H139" i="24"/>
  <c r="G139" i="24"/>
  <c r="F139" i="24"/>
  <c r="I138" i="24"/>
  <c r="H138" i="24"/>
  <c r="G138" i="24"/>
  <c r="F138" i="24"/>
  <c r="I130" i="24"/>
  <c r="I137" i="24" s="1"/>
  <c r="H130" i="24"/>
  <c r="H137" i="24" s="1"/>
  <c r="G130" i="24"/>
  <c r="G137" i="24" s="1"/>
  <c r="F130" i="24"/>
  <c r="F137" i="24" s="1"/>
  <c r="K87" i="24"/>
  <c r="L96" i="24"/>
  <c r="K65" i="24"/>
  <c r="L65" i="24"/>
  <c r="M65" i="24"/>
  <c r="N65" i="24"/>
  <c r="J65" i="24"/>
  <c r="J102" i="24"/>
  <c r="K102" i="24" s="1"/>
  <c r="L102" i="24" s="1"/>
  <c r="M102" i="24" s="1"/>
  <c r="N102" i="24" s="1"/>
  <c r="C103" i="24"/>
  <c r="J53" i="24"/>
  <c r="K53" i="24" s="1"/>
  <c r="L53" i="24" s="1"/>
  <c r="M53" i="24" s="1"/>
  <c r="N53" i="24" s="1"/>
  <c r="G29" i="24"/>
  <c r="G56" i="24" s="1"/>
  <c r="H29" i="24"/>
  <c r="H56" i="24" s="1"/>
  <c r="I29" i="24"/>
  <c r="I52" i="24" s="1"/>
  <c r="J52" i="24" s="1"/>
  <c r="K52" i="24" s="1"/>
  <c r="L52" i="24" s="1"/>
  <c r="M52" i="24" s="1"/>
  <c r="N52" i="24" s="1"/>
  <c r="J29" i="24"/>
  <c r="K29" i="24"/>
  <c r="L29" i="24"/>
  <c r="M29" i="24"/>
  <c r="N29" i="24"/>
  <c r="F29" i="24"/>
  <c r="F56" i="24" s="1"/>
  <c r="G28" i="24"/>
  <c r="G58" i="24" s="1"/>
  <c r="H28" i="24"/>
  <c r="H57" i="24" s="1"/>
  <c r="I28" i="24"/>
  <c r="I58" i="24" s="1"/>
  <c r="J58" i="24" s="1"/>
  <c r="K58" i="24" s="1"/>
  <c r="J28" i="24"/>
  <c r="K28" i="24"/>
  <c r="L28" i="24"/>
  <c r="M28" i="24"/>
  <c r="N28" i="24"/>
  <c r="F28" i="24"/>
  <c r="F53" i="24" s="1"/>
  <c r="I57" i="24"/>
  <c r="J57" i="24" s="1"/>
  <c r="K57" i="24" s="1"/>
  <c r="L57" i="24" s="1"/>
  <c r="M57" i="24" s="1"/>
  <c r="N57" i="24" s="1"/>
  <c r="I56" i="24"/>
  <c r="J56" i="24" s="1"/>
  <c r="K56" i="24" s="1"/>
  <c r="L56" i="24" s="1"/>
  <c r="M56" i="24" s="1"/>
  <c r="N56" i="24" s="1"/>
  <c r="H53" i="24"/>
  <c r="H52" i="24"/>
  <c r="F52" i="24"/>
  <c r="I41" i="24"/>
  <c r="H41" i="24"/>
  <c r="G41" i="24"/>
  <c r="F41" i="24"/>
  <c r="I35" i="24"/>
  <c r="I43" i="24" s="1"/>
  <c r="H35" i="24"/>
  <c r="H43" i="24" s="1"/>
  <c r="G35" i="24"/>
  <c r="F35" i="24"/>
  <c r="F125" i="24" l="1"/>
  <c r="F126" i="24" s="1"/>
  <c r="G123" i="24" s="1"/>
  <c r="G157" i="24"/>
  <c r="G149" i="24"/>
  <c r="G140" i="24"/>
  <c r="H157" i="24"/>
  <c r="H149" i="24"/>
  <c r="H140" i="24"/>
  <c r="I157" i="24"/>
  <c r="I149" i="24"/>
  <c r="I140" i="24"/>
  <c r="F140" i="24"/>
  <c r="F157" i="24"/>
  <c r="F149" i="24"/>
  <c r="F151" i="24" s="1"/>
  <c r="G148" i="24" s="1"/>
  <c r="G151" i="24" s="1"/>
  <c r="H148" i="24" s="1"/>
  <c r="H151" i="24" s="1"/>
  <c r="I148" i="24" s="1"/>
  <c r="I151" i="24" s="1"/>
  <c r="G53" i="24"/>
  <c r="G57" i="24"/>
  <c r="F57" i="24"/>
  <c r="L58" i="24"/>
  <c r="M58" i="24" s="1"/>
  <c r="N58" i="24" s="1"/>
  <c r="K40" i="24"/>
  <c r="G52" i="24"/>
  <c r="J40" i="24"/>
  <c r="F43" i="24"/>
  <c r="H58" i="24"/>
  <c r="J34" i="24"/>
  <c r="J39" i="24"/>
  <c r="F58" i="24"/>
  <c r="G43" i="24"/>
  <c r="H46" i="24" s="1"/>
  <c r="I46" i="24"/>
  <c r="K39" i="24"/>
  <c r="K34" i="24"/>
  <c r="G125" i="24" l="1"/>
  <c r="G126" i="24" s="1"/>
  <c r="H123" i="24" s="1"/>
  <c r="G143" i="24"/>
  <c r="G145" i="24" s="1"/>
  <c r="G155" i="24" s="1"/>
  <c r="G131" i="24"/>
  <c r="G150" i="24" s="1"/>
  <c r="G144" i="24" s="1"/>
  <c r="F143" i="24"/>
  <c r="F145" i="24" s="1"/>
  <c r="F155" i="24" s="1"/>
  <c r="F156" i="24" s="1"/>
  <c r="F131" i="24"/>
  <c r="F150" i="24" s="1"/>
  <c r="F144" i="24" s="1"/>
  <c r="H143" i="24"/>
  <c r="H145" i="24" s="1"/>
  <c r="H155" i="24" s="1"/>
  <c r="H156" i="24" s="1"/>
  <c r="H131" i="24"/>
  <c r="H150" i="24" s="1"/>
  <c r="H144" i="24" s="1"/>
  <c r="I143" i="24"/>
  <c r="I145" i="24" s="1"/>
  <c r="I155" i="24" s="1"/>
  <c r="I156" i="24" s="1"/>
  <c r="I131" i="24"/>
  <c r="I150" i="24" s="1"/>
  <c r="I144" i="24" s="1"/>
  <c r="G156" i="24"/>
  <c r="G46" i="24"/>
  <c r="L39" i="24"/>
  <c r="L40" i="24"/>
  <c r="L34" i="24"/>
  <c r="F16" i="34"/>
  <c r="C13" i="34"/>
  <c r="F13" i="34"/>
  <c r="C14" i="34"/>
  <c r="F14" i="34"/>
  <c r="F15" i="34"/>
  <c r="C16" i="34"/>
  <c r="C17" i="34"/>
  <c r="F17" i="34"/>
  <c r="F18" i="34" s="1"/>
  <c r="H125" i="24" l="1"/>
  <c r="H126" i="24" s="1"/>
  <c r="I123" i="24" s="1"/>
  <c r="M39" i="24"/>
  <c r="M40" i="24"/>
  <c r="M34" i="24"/>
  <c r="D229" i="25"/>
  <c r="D228" i="25"/>
  <c r="D224" i="25"/>
  <c r="D223" i="25"/>
  <c r="C223" i="25"/>
  <c r="N15" i="30"/>
  <c r="N4" i="30"/>
  <c r="C10" i="30"/>
  <c r="D225" i="25" l="1"/>
  <c r="I125" i="24"/>
  <c r="I126" i="24" s="1"/>
  <c r="N40" i="24"/>
  <c r="N34" i="24"/>
  <c r="N39" i="24"/>
  <c r="D226" i="25"/>
  <c r="D227" i="25" s="1"/>
  <c r="D230" i="25" s="1"/>
  <c r="C22" i="30"/>
  <c r="D19" i="30" s="1"/>
  <c r="D15" i="30" s="1"/>
  <c r="V124" i="26"/>
  <c r="U124" i="26"/>
  <c r="T124" i="26"/>
  <c r="L124" i="26"/>
  <c r="K124" i="26"/>
  <c r="J124" i="26"/>
  <c r="W123" i="26"/>
  <c r="M123" i="26"/>
  <c r="W122" i="26"/>
  <c r="M122" i="26"/>
  <c r="N122" i="26" s="1"/>
  <c r="H115" i="26"/>
  <c r="M114" i="26"/>
  <c r="L114" i="26"/>
  <c r="H114" i="26"/>
  <c r="K113" i="26" s="1"/>
  <c r="M113" i="26"/>
  <c r="L113" i="26"/>
  <c r="S41" i="10"/>
  <c r="S42" i="10" s="1"/>
  <c r="S39" i="10"/>
  <c r="S38" i="10" s="1"/>
  <c r="V37" i="10"/>
  <c r="W37" i="10" s="1"/>
  <c r="X37" i="10" s="1"/>
  <c r="K114" i="26" l="1"/>
  <c r="U37" i="10"/>
  <c r="T37" i="10" s="1"/>
  <c r="D16" i="30"/>
  <c r="D22" i="30"/>
  <c r="E19" i="30" s="1"/>
  <c r="E22" i="30" s="1"/>
  <c r="F19" i="30" s="1"/>
  <c r="D5" i="30"/>
  <c r="D6" i="30" s="1"/>
  <c r="D8" i="30" s="1"/>
  <c r="E15" i="30"/>
  <c r="E5" i="30"/>
  <c r="E6" i="30" s="1"/>
  <c r="E8" i="30" s="1"/>
  <c r="N16" i="30"/>
  <c r="M124" i="26"/>
  <c r="J114" i="26"/>
  <c r="J113" i="26"/>
  <c r="W124" i="26"/>
  <c r="O122" i="26"/>
  <c r="N123" i="26"/>
  <c r="O123" i="26" s="1"/>
  <c r="X122" i="26"/>
  <c r="X123" i="26"/>
  <c r="E16" i="30" l="1"/>
  <c r="N5" i="30"/>
  <c r="N6" i="30" s="1"/>
  <c r="M7" i="30" s="1"/>
  <c r="F15" i="30"/>
  <c r="F5" i="30"/>
  <c r="F6" i="30" s="1"/>
  <c r="F8" i="30" s="1"/>
  <c r="F16" i="30"/>
  <c r="F22" i="30"/>
  <c r="G19" i="30" s="1"/>
  <c r="P123" i="26"/>
  <c r="Q123" i="26" s="1"/>
  <c r="O124" i="26"/>
  <c r="Y123" i="26"/>
  <c r="P122" i="26"/>
  <c r="N124" i="26"/>
  <c r="X124" i="26"/>
  <c r="Y122" i="26"/>
  <c r="P124" i="26" l="1"/>
  <c r="G22" i="30"/>
  <c r="H19" i="30" s="1"/>
  <c r="G15" i="30"/>
  <c r="G5" i="30"/>
  <c r="G6" i="30" s="1"/>
  <c r="G8" i="30" s="1"/>
  <c r="G16" i="30"/>
  <c r="Z123" i="26"/>
  <c r="AA123" i="26" s="1"/>
  <c r="Y124" i="26"/>
  <c r="Q122" i="26"/>
  <c r="Q124" i="26" s="1"/>
  <c r="Z122" i="26"/>
  <c r="AA122" i="26" s="1"/>
  <c r="H16" i="30" l="1"/>
  <c r="H22" i="30"/>
  <c r="I19" i="30" s="1"/>
  <c r="H15" i="30"/>
  <c r="H5" i="30"/>
  <c r="H6" i="30" s="1"/>
  <c r="H8" i="30" s="1"/>
  <c r="AA124" i="26"/>
  <c r="Z124" i="26"/>
  <c r="G88" i="25"/>
  <c r="G89" i="25" s="1"/>
  <c r="H88" i="25"/>
  <c r="H89" i="25" s="1"/>
  <c r="F88" i="25"/>
  <c r="G108" i="25"/>
  <c r="H108" i="25"/>
  <c r="F108" i="25"/>
  <c r="G98" i="25"/>
  <c r="H98" i="25"/>
  <c r="F98" i="25"/>
  <c r="N46" i="10"/>
  <c r="N43" i="10"/>
  <c r="N39" i="10"/>
  <c r="H112" i="25" l="1"/>
  <c r="I16" i="30"/>
  <c r="I22" i="30"/>
  <c r="J19" i="30" s="1"/>
  <c r="I5" i="30"/>
  <c r="I6" i="30" s="1"/>
  <c r="I8" i="30" s="1"/>
  <c r="I15" i="30"/>
  <c r="G112" i="25"/>
  <c r="N47" i="10"/>
  <c r="J16" i="30" l="1"/>
  <c r="J22" i="30"/>
  <c r="K19" i="30" s="1"/>
  <c r="J5" i="30"/>
  <c r="J6" i="30" s="1"/>
  <c r="J8" i="30" s="1"/>
  <c r="J15" i="30"/>
  <c r="N49" i="10"/>
  <c r="S37" i="10"/>
  <c r="N50" i="10"/>
  <c r="F212" i="25"/>
  <c r="F205" i="25"/>
  <c r="F204" i="25"/>
  <c r="F211" i="25" s="1"/>
  <c r="F203" i="25"/>
  <c r="F202" i="25"/>
  <c r="K22" i="30" l="1"/>
  <c r="L19" i="30" s="1"/>
  <c r="K16" i="30"/>
  <c r="K5" i="30"/>
  <c r="K6" i="30" s="1"/>
  <c r="K8" i="30" s="1"/>
  <c r="K15" i="30"/>
  <c r="F210" i="25"/>
  <c r="F213" i="25" s="1"/>
  <c r="F207" i="25"/>
  <c r="L16" i="30" l="1"/>
  <c r="L22" i="30"/>
  <c r="M19" i="30" s="1"/>
  <c r="L5" i="30"/>
  <c r="L6" i="30" s="1"/>
  <c r="L8" i="30" s="1"/>
  <c r="L15" i="30"/>
  <c r="F9" i="29"/>
  <c r="F12" i="29" s="1"/>
  <c r="F13" i="29"/>
  <c r="F20" i="29"/>
  <c r="F21" i="29"/>
  <c r="F26" i="29"/>
  <c r="F27" i="29"/>
  <c r="F30" i="29"/>
  <c r="M16" i="30" l="1"/>
  <c r="M22" i="30"/>
  <c r="C11" i="30" s="1"/>
  <c r="M15" i="30"/>
  <c r="M5" i="30"/>
  <c r="M6" i="30" s="1"/>
  <c r="M8" i="30" s="1"/>
  <c r="C9" i="30" s="1"/>
  <c r="C12" i="30" s="1"/>
  <c r="F22" i="29"/>
  <c r="F23" i="29" s="1"/>
  <c r="F24" i="29" s="1"/>
  <c r="F14" i="29"/>
  <c r="F16" i="29" s="1"/>
  <c r="F40" i="29"/>
  <c r="F25" i="29"/>
  <c r="C214" i="5"/>
  <c r="C216" i="5" s="1"/>
  <c r="C217" i="5" l="1"/>
  <c r="C227" i="5" s="1"/>
  <c r="C218" i="5"/>
  <c r="C219" i="5" s="1"/>
  <c r="C220" i="5" s="1"/>
  <c r="C226" i="5" s="1"/>
  <c r="C229" i="5" s="1"/>
  <c r="C231" i="5" s="1"/>
  <c r="C222" i="5"/>
  <c r="C223" i="5" s="1"/>
  <c r="C224" i="5" s="1"/>
  <c r="F28" i="29"/>
  <c r="F32" i="29" s="1"/>
  <c r="F35" i="29" s="1"/>
  <c r="H107" i="3"/>
  <c r="G107" i="3"/>
  <c r="F107" i="3"/>
  <c r="G109" i="3"/>
  <c r="H88" i="3"/>
  <c r="G88" i="3"/>
  <c r="F88" i="3"/>
  <c r="H86" i="3"/>
  <c r="G86" i="3"/>
  <c r="F86" i="3"/>
  <c r="H84" i="3"/>
  <c r="G84" i="3"/>
  <c r="F84" i="3"/>
  <c r="H82" i="3"/>
  <c r="G82" i="3"/>
  <c r="F82" i="3"/>
  <c r="H68" i="25"/>
  <c r="G68" i="25"/>
  <c r="F68" i="25"/>
  <c r="H59" i="25"/>
  <c r="H62" i="25" s="1"/>
  <c r="G59" i="25"/>
  <c r="G62" i="25" s="1"/>
  <c r="F59" i="25"/>
  <c r="F62" i="25" s="1"/>
  <c r="H43" i="25"/>
  <c r="H50" i="25" s="1"/>
  <c r="G43" i="25"/>
  <c r="G50" i="25" s="1"/>
  <c r="F43" i="25"/>
  <c r="F50" i="25" s="1"/>
  <c r="E41" i="28"/>
  <c r="D41" i="28"/>
  <c r="C41" i="28"/>
  <c r="E39" i="28"/>
  <c r="D39" i="28"/>
  <c r="E38" i="28"/>
  <c r="D38" i="28"/>
  <c r="C38" i="28"/>
  <c r="E37" i="28"/>
  <c r="D37" i="28"/>
  <c r="C37" i="28"/>
  <c r="E35" i="28"/>
  <c r="D35" i="28"/>
  <c r="C35" i="28"/>
  <c r="E43" i="28"/>
  <c r="D43" i="28"/>
  <c r="E28" i="28"/>
  <c r="D28" i="28"/>
  <c r="E11" i="28"/>
  <c r="D11" i="28"/>
  <c r="C9" i="28"/>
  <c r="C39" i="28" s="1"/>
  <c r="E5" i="28"/>
  <c r="D5" i="28"/>
  <c r="D36" i="28" s="1"/>
  <c r="C5" i="28"/>
  <c r="C36" i="28" s="1"/>
  <c r="G15" i="25"/>
  <c r="H15" i="25"/>
  <c r="F15" i="25"/>
  <c r="B77" i="5"/>
  <c r="G69" i="25" l="1"/>
  <c r="C228" i="5"/>
  <c r="F34" i="29"/>
  <c r="C230" i="5"/>
  <c r="F69" i="25"/>
  <c r="H69" i="25"/>
  <c r="F104" i="3"/>
  <c r="H104" i="3"/>
  <c r="F108" i="3"/>
  <c r="G108" i="3"/>
  <c r="H108" i="3"/>
  <c r="G104" i="3"/>
  <c r="E12" i="28"/>
  <c r="E31" i="28" s="1"/>
  <c r="E32" i="28" s="1"/>
  <c r="E45" i="28" s="1"/>
  <c r="F109" i="3"/>
  <c r="H109" i="3"/>
  <c r="D12" i="28"/>
  <c r="D14" i="28" s="1"/>
  <c r="D16" i="28" s="1"/>
  <c r="C11" i="28"/>
  <c r="C12" i="28" s="1"/>
  <c r="E36" i="28"/>
  <c r="C43" i="28"/>
  <c r="D31" i="28" l="1"/>
  <c r="D32" i="28" s="1"/>
  <c r="D45" i="28" s="1"/>
  <c r="D40" i="28"/>
  <c r="E40" i="28"/>
  <c r="E14" i="28"/>
  <c r="E16" i="28" s="1"/>
  <c r="E19" i="28" s="1"/>
  <c r="C31" i="28"/>
  <c r="C32" i="28" s="1"/>
  <c r="C45" i="28" s="1"/>
  <c r="C40" i="28"/>
  <c r="C14" i="28"/>
  <c r="C16" i="28" s="1"/>
  <c r="D19" i="28"/>
  <c r="D20" i="28"/>
  <c r="D42" i="28"/>
  <c r="E42" i="28" l="1"/>
  <c r="E20" i="28"/>
  <c r="C20" i="28"/>
  <c r="C19" i="28"/>
  <c r="C42" i="28"/>
  <c r="H174" i="3" l="1"/>
  <c r="H173" i="3"/>
  <c r="H172" i="3"/>
  <c r="H171" i="3"/>
  <c r="L122" i="3"/>
  <c r="M122" i="3" s="1"/>
  <c r="N122" i="3" s="1"/>
  <c r="O122" i="3" s="1"/>
  <c r="J122" i="3" l="1"/>
  <c r="H170" i="3"/>
  <c r="A52" i="27"/>
  <c r="I57" i="27"/>
  <c r="J57" i="27" s="1"/>
  <c r="K57" i="27" s="1"/>
  <c r="L57" i="27" s="1"/>
  <c r="M57" i="27" s="1"/>
  <c r="B61" i="27"/>
  <c r="B71" i="27" s="1"/>
  <c r="B62" i="27"/>
  <c r="B72" i="27" s="1"/>
  <c r="B63" i="27"/>
  <c r="B73" i="27" s="1"/>
  <c r="B64" i="27"/>
  <c r="B74" i="27" s="1"/>
  <c r="B68" i="27"/>
  <c r="A75" i="27"/>
  <c r="K79" i="27"/>
  <c r="K80" i="27"/>
  <c r="K81" i="27"/>
  <c r="K82" i="27"/>
  <c r="K83" i="27"/>
  <c r="K84" i="27"/>
  <c r="K85" i="27"/>
  <c r="K86" i="27"/>
  <c r="K87" i="27"/>
  <c r="K88" i="27"/>
  <c r="K89" i="27"/>
  <c r="K90" i="27"/>
  <c r="K91" i="27"/>
  <c r="K92" i="27"/>
  <c r="K93" i="27"/>
  <c r="K94" i="27"/>
  <c r="K95" i="27"/>
  <c r="K96" i="27"/>
  <c r="K97" i="27"/>
  <c r="L98" i="27"/>
  <c r="J6" i="27" l="1"/>
  <c r="K6" i="27" s="1"/>
  <c r="L6" i="27" s="1"/>
  <c r="M6" i="27" s="1"/>
  <c r="K98" i="27"/>
  <c r="D190" i="25"/>
  <c r="E190" i="25"/>
  <c r="C190" i="25"/>
  <c r="D194" i="25"/>
  <c r="E194" i="25"/>
  <c r="C194" i="25"/>
  <c r="D193" i="25"/>
  <c r="E193" i="25"/>
  <c r="C193" i="25"/>
  <c r="J156" i="25"/>
  <c r="N146" i="25"/>
  <c r="M146" i="25"/>
  <c r="L146" i="25"/>
  <c r="K146" i="25"/>
  <c r="J146" i="25"/>
  <c r="N144" i="25"/>
  <c r="M144" i="25"/>
  <c r="L144" i="25"/>
  <c r="K144" i="25"/>
  <c r="J144" i="25"/>
  <c r="N143" i="25"/>
  <c r="N147" i="25" s="1"/>
  <c r="M143" i="25"/>
  <c r="M147" i="25" s="1"/>
  <c r="L143" i="25"/>
  <c r="L147" i="25" s="1"/>
  <c r="K143" i="25"/>
  <c r="K147" i="25" s="1"/>
  <c r="J143" i="25"/>
  <c r="J147" i="25" s="1"/>
  <c r="N161" i="24"/>
  <c r="N168" i="24" s="1"/>
  <c r="M161" i="24"/>
  <c r="M168" i="24" s="1"/>
  <c r="L161" i="24"/>
  <c r="L163" i="24" s="1"/>
  <c r="K161" i="24"/>
  <c r="K168" i="24" s="1"/>
  <c r="J115" i="24"/>
  <c r="N115" i="24"/>
  <c r="M115" i="24"/>
  <c r="L115" i="24"/>
  <c r="K115" i="24"/>
  <c r="G98" i="26"/>
  <c r="F98" i="26"/>
  <c r="E98" i="26"/>
  <c r="D98" i="26"/>
  <c r="G95" i="26"/>
  <c r="F95" i="26"/>
  <c r="E95" i="26"/>
  <c r="D95" i="26"/>
  <c r="G90" i="26"/>
  <c r="F90" i="26"/>
  <c r="E90" i="26"/>
  <c r="D90" i="26"/>
  <c r="D57" i="26"/>
  <c r="E57" i="26"/>
  <c r="F57" i="26"/>
  <c r="G57" i="26"/>
  <c r="C57" i="26"/>
  <c r="C62" i="26"/>
  <c r="G48" i="26"/>
  <c r="F48" i="26"/>
  <c r="E48" i="26"/>
  <c r="D48" i="26"/>
  <c r="C48" i="26"/>
  <c r="B44" i="26"/>
  <c r="G28" i="26"/>
  <c r="F28" i="26"/>
  <c r="E28" i="26"/>
  <c r="D28" i="26"/>
  <c r="C28" i="26"/>
  <c r="G24" i="26"/>
  <c r="F24" i="26"/>
  <c r="E24" i="26"/>
  <c r="D24" i="26"/>
  <c r="C25" i="26"/>
  <c r="G18" i="26"/>
  <c r="F18" i="26"/>
  <c r="E18" i="26"/>
  <c r="D18" i="26"/>
  <c r="C18" i="26"/>
  <c r="G15" i="26"/>
  <c r="F15" i="26"/>
  <c r="E15" i="26"/>
  <c r="D15" i="26"/>
  <c r="C15" i="26"/>
  <c r="G11" i="26"/>
  <c r="G20" i="26" s="1"/>
  <c r="F11" i="26"/>
  <c r="F12" i="26" s="1"/>
  <c r="E11" i="26"/>
  <c r="E12" i="26" s="1"/>
  <c r="D11" i="26"/>
  <c r="D12" i="26" s="1"/>
  <c r="C11" i="26"/>
  <c r="C12" i="26" s="1"/>
  <c r="G9" i="26"/>
  <c r="F9" i="26"/>
  <c r="E9" i="26"/>
  <c r="D9" i="26"/>
  <c r="C9" i="26"/>
  <c r="G6" i="26"/>
  <c r="F6" i="26"/>
  <c r="E6" i="26"/>
  <c r="D6" i="26"/>
  <c r="C43" i="7"/>
  <c r="D40" i="7" s="1"/>
  <c r="E197" i="25" l="1"/>
  <c r="C197" i="25"/>
  <c r="D197" i="25"/>
  <c r="D64" i="26"/>
  <c r="C64" i="26"/>
  <c r="C69" i="26" s="1"/>
  <c r="C68" i="26" s="1"/>
  <c r="C77" i="26" s="1"/>
  <c r="D25" i="26"/>
  <c r="E64" i="26"/>
  <c r="E25" i="26"/>
  <c r="F64" i="26"/>
  <c r="F25" i="26"/>
  <c r="G64" i="26"/>
  <c r="G25" i="26"/>
  <c r="K163" i="24"/>
  <c r="J163" i="24" s="1"/>
  <c r="J161" i="24" s="1"/>
  <c r="M163" i="24"/>
  <c r="L168" i="24"/>
  <c r="N163" i="24"/>
  <c r="K118" i="24"/>
  <c r="L118" i="24"/>
  <c r="M118" i="24"/>
  <c r="N118" i="24"/>
  <c r="D85" i="26"/>
  <c r="D92" i="26" s="1"/>
  <c r="D100" i="26" s="1"/>
  <c r="D102" i="26" s="1"/>
  <c r="E101" i="26" s="1"/>
  <c r="E85" i="26"/>
  <c r="E92" i="26" s="1"/>
  <c r="E100" i="26" s="1"/>
  <c r="F85" i="26"/>
  <c r="F92" i="26" s="1"/>
  <c r="F100" i="26" s="1"/>
  <c r="G85" i="26"/>
  <c r="G92" i="26" s="1"/>
  <c r="G100" i="26" s="1"/>
  <c r="G12" i="26"/>
  <c r="G35" i="26"/>
  <c r="G30" i="26"/>
  <c r="G21" i="26"/>
  <c r="C24" i="26"/>
  <c r="C20" i="26"/>
  <c r="E20" i="26"/>
  <c r="D20" i="26"/>
  <c r="F20" i="26"/>
  <c r="E102" i="26" l="1"/>
  <c r="F101" i="26" s="1"/>
  <c r="F102" i="26" s="1"/>
  <c r="G101" i="26" s="1"/>
  <c r="G102" i="26" s="1"/>
  <c r="D69" i="26"/>
  <c r="E69" i="26" s="1"/>
  <c r="C35" i="26"/>
  <c r="C30" i="26"/>
  <c r="C21" i="26"/>
  <c r="F30" i="26"/>
  <c r="F35" i="26"/>
  <c r="F21" i="26"/>
  <c r="D30" i="26"/>
  <c r="D21" i="26"/>
  <c r="D35" i="26"/>
  <c r="E35" i="26"/>
  <c r="E21" i="26"/>
  <c r="E30" i="26"/>
  <c r="G31" i="26"/>
  <c r="G44" i="26"/>
  <c r="G46" i="26" s="1"/>
  <c r="G47" i="26" s="1"/>
  <c r="G40" i="26"/>
  <c r="G36" i="26"/>
  <c r="D68" i="26" l="1"/>
  <c r="D77" i="26"/>
  <c r="E77" i="26"/>
  <c r="E68" i="26"/>
  <c r="F69" i="26"/>
  <c r="C36" i="26"/>
  <c r="C40" i="26"/>
  <c r="G41" i="26"/>
  <c r="E44" i="26"/>
  <c r="E46" i="26" s="1"/>
  <c r="E47" i="26" s="1"/>
  <c r="E31" i="26"/>
  <c r="E36" i="26"/>
  <c r="E40" i="26"/>
  <c r="D36" i="26"/>
  <c r="D40" i="26"/>
  <c r="D31" i="26"/>
  <c r="D44" i="26"/>
  <c r="D46" i="26" s="1"/>
  <c r="D47" i="26" s="1"/>
  <c r="F40" i="26"/>
  <c r="F36" i="26"/>
  <c r="F31" i="26"/>
  <c r="F44" i="26"/>
  <c r="F46" i="26" s="1"/>
  <c r="F47" i="26" s="1"/>
  <c r="C31" i="26"/>
  <c r="C44" i="26"/>
  <c r="C46" i="26" s="1"/>
  <c r="C47" i="26" s="1"/>
  <c r="F77" i="26" l="1"/>
  <c r="F68" i="26"/>
  <c r="G69" i="26"/>
  <c r="D41" i="26"/>
  <c r="E41" i="26"/>
  <c r="C41" i="26"/>
  <c r="F41" i="26"/>
  <c r="G77" i="26" l="1"/>
  <c r="G68" i="26"/>
  <c r="P44" i="15" l="1"/>
  <c r="C50" i="15"/>
  <c r="C49" i="15"/>
  <c r="C48" i="15"/>
  <c r="P42" i="15"/>
  <c r="J38" i="15"/>
  <c r="L38" i="15" s="1"/>
  <c r="H38" i="15"/>
  <c r="J37" i="15"/>
  <c r="L37" i="15" s="1"/>
  <c r="H37" i="15"/>
  <c r="J36" i="15"/>
  <c r="L36" i="15" s="1"/>
  <c r="H36" i="15"/>
  <c r="J35" i="15"/>
  <c r="L35" i="15" s="1"/>
  <c r="R35" i="15" s="1"/>
  <c r="H35" i="15"/>
  <c r="J34" i="15"/>
  <c r="L34" i="15" s="1"/>
  <c r="H34" i="15"/>
  <c r="J33" i="15"/>
  <c r="L33" i="15" s="1"/>
  <c r="H33" i="15"/>
  <c r="J32" i="15"/>
  <c r="L32" i="15" s="1"/>
  <c r="H32" i="15"/>
  <c r="J31" i="15"/>
  <c r="L31" i="15" s="1"/>
  <c r="H31" i="15"/>
  <c r="J30" i="15"/>
  <c r="L30" i="15" s="1"/>
  <c r="H30" i="15"/>
  <c r="J29" i="15"/>
  <c r="L29" i="15" s="1"/>
  <c r="H29" i="15"/>
  <c r="P43" i="15" l="1"/>
  <c r="P41" i="15"/>
  <c r="L48" i="15"/>
  <c r="J48" i="15" s="1"/>
  <c r="G48" i="15" s="1"/>
  <c r="H48" i="15" s="1"/>
  <c r="P32" i="15"/>
  <c r="R32" i="15"/>
  <c r="Q32" i="15"/>
  <c r="Q33" i="15"/>
  <c r="R33" i="15"/>
  <c r="P33" i="15"/>
  <c r="R34" i="15"/>
  <c r="Q34" i="15"/>
  <c r="P34" i="15"/>
  <c r="Q36" i="15"/>
  <c r="P36" i="15"/>
  <c r="R36" i="15"/>
  <c r="R29" i="15"/>
  <c r="Q29" i="15"/>
  <c r="P29" i="15"/>
  <c r="R37" i="15"/>
  <c r="P37" i="15"/>
  <c r="Q37" i="15"/>
  <c r="P30" i="15"/>
  <c r="Q30" i="15"/>
  <c r="R30" i="15"/>
  <c r="Q38" i="15"/>
  <c r="P38" i="15"/>
  <c r="R38" i="15"/>
  <c r="P31" i="15"/>
  <c r="R31" i="15"/>
  <c r="Q31" i="15"/>
  <c r="P35" i="15"/>
  <c r="Q35" i="15"/>
  <c r="L72" i="23" l="1"/>
  <c r="M69" i="23"/>
  <c r="L69" i="23"/>
  <c r="M64" i="23"/>
  <c r="L64" i="23"/>
  <c r="M60" i="23" l="1"/>
  <c r="M71" i="23" s="1"/>
  <c r="G48" i="3"/>
  <c r="G49" i="3" s="1"/>
  <c r="E48" i="3"/>
  <c r="E49" i="3" s="1"/>
  <c r="F48" i="3"/>
  <c r="F49" i="3" s="1"/>
  <c r="L60" i="23"/>
  <c r="L71" i="23" s="1"/>
  <c r="L73" i="23" s="1"/>
  <c r="M72" i="23" s="1"/>
  <c r="H48" i="3"/>
  <c r="H49" i="3" s="1"/>
  <c r="I48" i="3"/>
  <c r="I49" i="3" s="1"/>
  <c r="M73" i="23" l="1"/>
  <c r="J148" i="24"/>
  <c r="N139" i="24"/>
  <c r="M139" i="24"/>
  <c r="L139" i="24"/>
  <c r="K139" i="24"/>
  <c r="J139" i="24"/>
  <c r="N138" i="24"/>
  <c r="M138" i="24"/>
  <c r="L138" i="24"/>
  <c r="K138" i="24"/>
  <c r="J138" i="24"/>
  <c r="N130" i="24"/>
  <c r="N137" i="24" s="1"/>
  <c r="M130" i="24"/>
  <c r="M137" i="24" s="1"/>
  <c r="L130" i="24"/>
  <c r="L137" i="24" s="1"/>
  <c r="K130" i="24"/>
  <c r="K137" i="24" s="1"/>
  <c r="J130" i="24"/>
  <c r="J137" i="24" s="1"/>
  <c r="J110" i="24"/>
  <c r="J123" i="24"/>
  <c r="N87" i="24"/>
  <c r="M87" i="24"/>
  <c r="L87" i="24"/>
  <c r="J87" i="24"/>
  <c r="J84" i="24"/>
  <c r="H84" i="24"/>
  <c r="J83" i="24"/>
  <c r="K84" i="24" s="1"/>
  <c r="H83" i="24"/>
  <c r="J82" i="24"/>
  <c r="K83" i="24" s="1"/>
  <c r="L84" i="24" s="1"/>
  <c r="H82" i="24"/>
  <c r="J81" i="24"/>
  <c r="K82" i="24" s="1"/>
  <c r="L83" i="24" s="1"/>
  <c r="M84" i="24" s="1"/>
  <c r="H81" i="24"/>
  <c r="H80" i="24"/>
  <c r="G80" i="24"/>
  <c r="G88" i="24" s="1"/>
  <c r="H88" i="24" s="1"/>
  <c r="N79" i="24"/>
  <c r="M79" i="24"/>
  <c r="L79" i="24"/>
  <c r="K79" i="24"/>
  <c r="J79" i="24"/>
  <c r="J76" i="24"/>
  <c r="K75" i="24"/>
  <c r="L75" i="24" s="1"/>
  <c r="M75" i="24" s="1"/>
  <c r="N75" i="24" s="1"/>
  <c r="B70" i="24"/>
  <c r="K69" i="24"/>
  <c r="L69" i="24" s="1"/>
  <c r="M69" i="24" s="1"/>
  <c r="N69" i="24" s="1"/>
  <c r="H31" i="25"/>
  <c r="G31" i="25"/>
  <c r="F31" i="25"/>
  <c r="H9" i="25"/>
  <c r="H16" i="25" s="1"/>
  <c r="H20" i="25" s="1"/>
  <c r="H27" i="25" s="1"/>
  <c r="G9" i="25"/>
  <c r="G16" i="25" s="1"/>
  <c r="G20" i="25" s="1"/>
  <c r="G27" i="25" s="1"/>
  <c r="F9" i="25"/>
  <c r="F16" i="25" s="1"/>
  <c r="F20" i="25" s="1"/>
  <c r="F27" i="25" s="1"/>
  <c r="F11" i="24"/>
  <c r="I11" i="24"/>
  <c r="H11" i="24"/>
  <c r="G11" i="24"/>
  <c r="I7" i="24"/>
  <c r="H7" i="24"/>
  <c r="K11" i="4" a="1"/>
  <c r="K11" i="4" s="1"/>
  <c r="J11" i="4" a="1"/>
  <c r="J11" i="4" s="1"/>
  <c r="I11" i="4" a="1"/>
  <c r="I11" i="4" s="1"/>
  <c r="H11" i="4" a="1"/>
  <c r="H11" i="4" s="1"/>
  <c r="G11" i="4" a="1"/>
  <c r="G11" i="4" s="1"/>
  <c r="K5" i="4" a="1"/>
  <c r="K5" i="4" s="1"/>
  <c r="J5" i="4" a="1"/>
  <c r="J5" i="4" s="1"/>
  <c r="I5" i="4" a="1"/>
  <c r="I5" i="4" s="1"/>
  <c r="H5" i="4" a="1"/>
  <c r="H5" i="4" s="1"/>
  <c r="G5" i="4" a="1"/>
  <c r="G5" i="4" s="1"/>
  <c r="K18" i="4" a="1"/>
  <c r="K18" i="4" s="1"/>
  <c r="J18" i="4" a="1"/>
  <c r="J18" i="4" s="1"/>
  <c r="I18" i="4" a="1"/>
  <c r="I18" i="4" s="1"/>
  <c r="H18" i="4" a="1"/>
  <c r="H18" i="4" s="1"/>
  <c r="G18" i="4" a="1"/>
  <c r="G18" i="4" s="1"/>
  <c r="X22" i="10"/>
  <c r="X24" i="10" s="1"/>
  <c r="S50" i="2"/>
  <c r="O116" i="7"/>
  <c r="N116" i="7"/>
  <c r="M116" i="7"/>
  <c r="L116" i="7"/>
  <c r="K116" i="7"/>
  <c r="O115" i="7"/>
  <c r="N115" i="7"/>
  <c r="M115" i="7"/>
  <c r="L115" i="7"/>
  <c r="K115" i="7"/>
  <c r="O114" i="7"/>
  <c r="N114" i="7"/>
  <c r="M114" i="7"/>
  <c r="L114" i="7"/>
  <c r="K114" i="7"/>
  <c r="O113" i="7"/>
  <c r="N113" i="7"/>
  <c r="M113" i="7"/>
  <c r="L113" i="7"/>
  <c r="K113" i="7"/>
  <c r="O112" i="7"/>
  <c r="N112" i="7"/>
  <c r="M112" i="7"/>
  <c r="L112" i="7"/>
  <c r="K112" i="7"/>
  <c r="L98" i="7"/>
  <c r="L68" i="7"/>
  <c r="I88" i="24" l="1"/>
  <c r="J157" i="24"/>
  <c r="J149" i="24"/>
  <c r="J151" i="24" s="1"/>
  <c r="K148" i="24" s="1"/>
  <c r="K151" i="24" s="1"/>
  <c r="L148" i="24" s="1"/>
  <c r="L151" i="24" s="1"/>
  <c r="M148" i="24" s="1"/>
  <c r="M151" i="24" s="1"/>
  <c r="N148" i="24" s="1"/>
  <c r="N151" i="24" s="1"/>
  <c r="J140" i="24"/>
  <c r="K157" i="24"/>
  <c r="K140" i="24"/>
  <c r="K149" i="24"/>
  <c r="L157" i="24"/>
  <c r="L149" i="24"/>
  <c r="L140" i="24"/>
  <c r="K76" i="24"/>
  <c r="L76" i="24" s="1"/>
  <c r="J80" i="24"/>
  <c r="K81" i="24" s="1"/>
  <c r="L82" i="24" s="1"/>
  <c r="M83" i="24" s="1"/>
  <c r="N84" i="24" s="1"/>
  <c r="F33" i="25"/>
  <c r="F75" i="25" s="1"/>
  <c r="G33" i="25"/>
  <c r="H33" i="25"/>
  <c r="M157" i="24"/>
  <c r="M140" i="24"/>
  <c r="M149" i="24"/>
  <c r="N157" i="24"/>
  <c r="N140" i="24"/>
  <c r="N149" i="24"/>
  <c r="G81" i="24"/>
  <c r="J70" i="24"/>
  <c r="N98" i="7"/>
  <c r="V98" i="7" s="1"/>
  <c r="U98" i="7"/>
  <c r="M111" i="7"/>
  <c r="U111" i="7" s="1"/>
  <c r="N68" i="7"/>
  <c r="V68" i="7" s="1"/>
  <c r="U68" i="7"/>
  <c r="M81" i="7"/>
  <c r="U81" i="7" s="1"/>
  <c r="L111" i="7"/>
  <c r="T111" i="7" s="1"/>
  <c r="T98" i="7"/>
  <c r="K98" i="7"/>
  <c r="L81" i="7"/>
  <c r="T81" i="7" s="1"/>
  <c r="K68" i="7"/>
  <c r="T68" i="7"/>
  <c r="F89" i="25" l="1"/>
  <c r="F112" i="25" s="1"/>
  <c r="F113" i="25" s="1"/>
  <c r="G111" i="25" s="1"/>
  <c r="J88" i="24"/>
  <c r="J97" i="24" s="1"/>
  <c r="K80" i="24"/>
  <c r="L143" i="24"/>
  <c r="L145" i="24" s="1"/>
  <c r="L155" i="24" s="1"/>
  <c r="L156" i="24" s="1"/>
  <c r="L131" i="24"/>
  <c r="L150" i="24" s="1"/>
  <c r="O68" i="7"/>
  <c r="W68" i="7" s="1"/>
  <c r="N81" i="7"/>
  <c r="V81" i="7" s="1"/>
  <c r="K143" i="24"/>
  <c r="K145" i="24" s="1"/>
  <c r="K155" i="24" s="1"/>
  <c r="K156" i="24" s="1"/>
  <c r="K131" i="24"/>
  <c r="K150" i="24" s="1"/>
  <c r="J143" i="24"/>
  <c r="J131" i="24"/>
  <c r="N131" i="24"/>
  <c r="N150" i="24" s="1"/>
  <c r="N143" i="24"/>
  <c r="N145" i="24" s="1"/>
  <c r="N155" i="24" s="1"/>
  <c r="N156" i="24" s="1"/>
  <c r="M131" i="24"/>
  <c r="M150" i="24" s="1"/>
  <c r="M143" i="24"/>
  <c r="M145" i="24" s="1"/>
  <c r="M155" i="24" s="1"/>
  <c r="M156" i="24" s="1"/>
  <c r="J96" i="24"/>
  <c r="J98" i="24" s="1"/>
  <c r="G82" i="24"/>
  <c r="G89" i="24"/>
  <c r="H89" i="24" s="1"/>
  <c r="I89" i="24" s="1"/>
  <c r="K70" i="24"/>
  <c r="K96" i="24" s="1"/>
  <c r="K98" i="24" s="1"/>
  <c r="M76" i="24"/>
  <c r="L80" i="24"/>
  <c r="O98" i="7"/>
  <c r="O111" i="7" s="1"/>
  <c r="W111" i="7" s="1"/>
  <c r="N111" i="7"/>
  <c r="V111" i="7" s="1"/>
  <c r="W98" i="7"/>
  <c r="K111" i="7"/>
  <c r="S111" i="7" s="1"/>
  <c r="S98" i="7"/>
  <c r="S68" i="7"/>
  <c r="K81" i="7"/>
  <c r="S81" i="7" s="1"/>
  <c r="G113" i="25" l="1"/>
  <c r="H111" i="25" s="1"/>
  <c r="H113" i="25" s="1"/>
  <c r="L144" i="24"/>
  <c r="L70" i="24"/>
  <c r="L98" i="24" s="1"/>
  <c r="O81" i="7"/>
  <c r="W81" i="7" s="1"/>
  <c r="L81" i="24"/>
  <c r="M82" i="24" s="1"/>
  <c r="N83" i="24" s="1"/>
  <c r="K88" i="24"/>
  <c r="K97" i="24" s="1"/>
  <c r="K144" i="24"/>
  <c r="J145" i="24"/>
  <c r="J155" i="24" s="1"/>
  <c r="J156" i="24" s="1"/>
  <c r="J150" i="24"/>
  <c r="M144" i="24"/>
  <c r="N144" i="24"/>
  <c r="N76" i="24"/>
  <c r="N80" i="24" s="1"/>
  <c r="N88" i="24" s="1"/>
  <c r="N97" i="24" s="1"/>
  <c r="M80" i="24"/>
  <c r="K89" i="24"/>
  <c r="K112" i="24" s="1"/>
  <c r="J89" i="24"/>
  <c r="J112" i="24" s="1"/>
  <c r="G90" i="24"/>
  <c r="H90" i="24" s="1"/>
  <c r="I90" i="24" s="1"/>
  <c r="G83" i="24"/>
  <c r="M81" i="24"/>
  <c r="N82" i="24" s="1"/>
  <c r="L88" i="24"/>
  <c r="L97" i="24" s="1"/>
  <c r="M70" i="24" l="1"/>
  <c r="M96" i="24" s="1"/>
  <c r="M98" i="24" s="1"/>
  <c r="L89" i="24"/>
  <c r="L112" i="24" s="1"/>
  <c r="J144" i="24"/>
  <c r="G84" i="24"/>
  <c r="G92" i="24" s="1"/>
  <c r="H92" i="24" s="1"/>
  <c r="I92" i="24" s="1"/>
  <c r="G91" i="24"/>
  <c r="H91" i="24" s="1"/>
  <c r="I91" i="24" s="1"/>
  <c r="L90" i="24"/>
  <c r="J90" i="24"/>
  <c r="K90" i="24"/>
  <c r="N90" i="24"/>
  <c r="M90" i="24"/>
  <c r="M89" i="24"/>
  <c r="M112" i="24" s="1"/>
  <c r="N81" i="24"/>
  <c r="N89" i="24" s="1"/>
  <c r="N112" i="24" s="1"/>
  <c r="M88" i="24"/>
  <c r="M97" i="24" s="1"/>
  <c r="N70" i="24" l="1"/>
  <c r="N96" i="24" s="1"/>
  <c r="N98" i="24" s="1"/>
  <c r="N91" i="24"/>
  <c r="M91" i="24"/>
  <c r="K91" i="24"/>
  <c r="L91" i="24"/>
  <c r="J91" i="24"/>
  <c r="L92" i="24"/>
  <c r="J92" i="24"/>
  <c r="K92" i="24"/>
  <c r="N92" i="24"/>
  <c r="M92" i="24"/>
  <c r="R71" i="7" l="1"/>
  <c r="J72" i="7"/>
  <c r="J84" i="7"/>
  <c r="R84" i="7" s="1"/>
  <c r="J70" i="7"/>
  <c r="J114" i="7"/>
  <c r="R114" i="7" s="1"/>
  <c r="R101" i="7"/>
  <c r="J102" i="7"/>
  <c r="J100" i="7"/>
  <c r="J99" i="7" l="1"/>
  <c r="J113" i="7"/>
  <c r="R113" i="7" s="1"/>
  <c r="R100" i="7"/>
  <c r="J115" i="7"/>
  <c r="R115" i="7" s="1"/>
  <c r="J103" i="7"/>
  <c r="R102" i="7"/>
  <c r="R70" i="7"/>
  <c r="J69" i="7"/>
  <c r="J83" i="7"/>
  <c r="R83" i="7" s="1"/>
  <c r="J85" i="7"/>
  <c r="R85" i="7" s="1"/>
  <c r="R72" i="7"/>
  <c r="J73" i="7"/>
  <c r="J86" i="7" l="1"/>
  <c r="R86" i="7" s="1"/>
  <c r="R73" i="7"/>
  <c r="R69" i="7"/>
  <c r="J82" i="7"/>
  <c r="R82" i="7" s="1"/>
  <c r="R103" i="7"/>
  <c r="J116" i="7"/>
  <c r="R116" i="7" s="1"/>
  <c r="R99" i="7"/>
  <c r="J112" i="7"/>
  <c r="R112" i="7" s="1"/>
  <c r="I41" i="22" l="1"/>
  <c r="I34" i="22"/>
  <c r="I43" i="22" s="1"/>
  <c r="J28" i="22"/>
  <c r="I17" i="22"/>
  <c r="J11" i="22"/>
  <c r="I32" i="21"/>
  <c r="I31" i="21"/>
  <c r="I9" i="21"/>
  <c r="O4" i="21"/>
  <c r="P4" i="21" s="1"/>
  <c r="V6" i="2" l="1"/>
  <c r="V5" i="2"/>
  <c r="C1260" i="20"/>
  <c r="C1259" i="20"/>
  <c r="C1258" i="20"/>
  <c r="C1257" i="20"/>
  <c r="C1256" i="20"/>
  <c r="E1256" i="20" s="1"/>
  <c r="C1255" i="20"/>
  <c r="C1254" i="20"/>
  <c r="E1254" i="20" s="1"/>
  <c r="C1253" i="20"/>
  <c r="C1252" i="20"/>
  <c r="F1252" i="20" s="1"/>
  <c r="G1253" i="20" s="1"/>
  <c r="C1251" i="20"/>
  <c r="C1250" i="20"/>
  <c r="C1249" i="20"/>
  <c r="E1249" i="20" s="1"/>
  <c r="C1248" i="20"/>
  <c r="D1248" i="20" s="1"/>
  <c r="C1247" i="20"/>
  <c r="C1246" i="20"/>
  <c r="C1245" i="20"/>
  <c r="E1245" i="20" s="1"/>
  <c r="C1244" i="20"/>
  <c r="C1243" i="20"/>
  <c r="C1242" i="20"/>
  <c r="C1241" i="20"/>
  <c r="F1241" i="20" s="1"/>
  <c r="G1242" i="20" s="1"/>
  <c r="C1240" i="20"/>
  <c r="C1239" i="20"/>
  <c r="C1238" i="20"/>
  <c r="F1238" i="20" s="1"/>
  <c r="G1239" i="20" s="1"/>
  <c r="C1237" i="20"/>
  <c r="C1236" i="20"/>
  <c r="C1235" i="20"/>
  <c r="C1234" i="20"/>
  <c r="D1234" i="20" s="1"/>
  <c r="C1233" i="20"/>
  <c r="C1232" i="20"/>
  <c r="C1231" i="20"/>
  <c r="C1230" i="20"/>
  <c r="D1230" i="20" s="1"/>
  <c r="C1229" i="20"/>
  <c r="C1228" i="20"/>
  <c r="C1227" i="20"/>
  <c r="C1226" i="20"/>
  <c r="C1225" i="20"/>
  <c r="F1225" i="20" s="1"/>
  <c r="G1226" i="20" s="1"/>
  <c r="C1224" i="20"/>
  <c r="D1224" i="20" s="1"/>
  <c r="C1223" i="20"/>
  <c r="F1223" i="20" s="1"/>
  <c r="G1224" i="20" s="1"/>
  <c r="C1222" i="20"/>
  <c r="E1222" i="20" s="1"/>
  <c r="C1221" i="20"/>
  <c r="C1220" i="20"/>
  <c r="D1220" i="20" s="1"/>
  <c r="C1219" i="20"/>
  <c r="E1219" i="20" s="1"/>
  <c r="C1218" i="20"/>
  <c r="F1218" i="20" s="1"/>
  <c r="G1219" i="20" s="1"/>
  <c r="C1217" i="20"/>
  <c r="D1217" i="20" s="1"/>
  <c r="C1216" i="20"/>
  <c r="E1216" i="20" s="1"/>
  <c r="C1215" i="20"/>
  <c r="E1215" i="20" s="1"/>
  <c r="C1214" i="20"/>
  <c r="F1214" i="20" s="1"/>
  <c r="G1215" i="20" s="1"/>
  <c r="C1213" i="20"/>
  <c r="E1213" i="20" s="1"/>
  <c r="C1212" i="20"/>
  <c r="C1211" i="20"/>
  <c r="F1211" i="20" s="1"/>
  <c r="G1212" i="20" s="1"/>
  <c r="C1210" i="20"/>
  <c r="E1210" i="20" s="1"/>
  <c r="C1209" i="20"/>
  <c r="C1208" i="20"/>
  <c r="C1207" i="20"/>
  <c r="F1207" i="20" s="1"/>
  <c r="G1208" i="20" s="1"/>
  <c r="C1206" i="20"/>
  <c r="C1205" i="20"/>
  <c r="C1204" i="20"/>
  <c r="C1203" i="20"/>
  <c r="C1202" i="20"/>
  <c r="D1202" i="20" s="1"/>
  <c r="C1201" i="20"/>
  <c r="C1200" i="20"/>
  <c r="E1200" i="20" s="1"/>
  <c r="C1199" i="20"/>
  <c r="C1198" i="20"/>
  <c r="C1197" i="20"/>
  <c r="E1197" i="20" s="1"/>
  <c r="C1196" i="20"/>
  <c r="D1196" i="20" s="1"/>
  <c r="C1195" i="20"/>
  <c r="F1195" i="20" s="1"/>
  <c r="G1196" i="20" s="1"/>
  <c r="C1194" i="20"/>
  <c r="C1193" i="20"/>
  <c r="C1192" i="20"/>
  <c r="F1192" i="20" s="1"/>
  <c r="G1193" i="20" s="1"/>
  <c r="C1191" i="20"/>
  <c r="F1191" i="20" s="1"/>
  <c r="G1192" i="20" s="1"/>
  <c r="C1190" i="20"/>
  <c r="F1190" i="20" s="1"/>
  <c r="G1191" i="20" s="1"/>
  <c r="C1189" i="20"/>
  <c r="D1189" i="20" s="1"/>
  <c r="C1188" i="20"/>
  <c r="C1187" i="20"/>
  <c r="C1186" i="20"/>
  <c r="E1186" i="20" s="1"/>
  <c r="C1185" i="20"/>
  <c r="E1185" i="20" s="1"/>
  <c r="C1184" i="20"/>
  <c r="F1184" i="20" s="1"/>
  <c r="G1185" i="20" s="1"/>
  <c r="C1183" i="20"/>
  <c r="F1183" i="20" s="1"/>
  <c r="G1184" i="20" s="1"/>
  <c r="C1182" i="20"/>
  <c r="C1181" i="20"/>
  <c r="C1180" i="20"/>
  <c r="F1180" i="20" s="1"/>
  <c r="G1181" i="20" s="1"/>
  <c r="C1179" i="20"/>
  <c r="C1178" i="20"/>
  <c r="C1177" i="20"/>
  <c r="D1177" i="20" s="1"/>
  <c r="C1176" i="20"/>
  <c r="E1176" i="20" s="1"/>
  <c r="C1175" i="20"/>
  <c r="C1174" i="20"/>
  <c r="E1174" i="20" s="1"/>
  <c r="C1173" i="20"/>
  <c r="D1173" i="20" s="1"/>
  <c r="C1172" i="20"/>
  <c r="C1171" i="20"/>
  <c r="C1170" i="20"/>
  <c r="C1169" i="20"/>
  <c r="F1169" i="20" s="1"/>
  <c r="G1170" i="20" s="1"/>
  <c r="C1168" i="20"/>
  <c r="F1168" i="20" s="1"/>
  <c r="G1169" i="20" s="1"/>
  <c r="C1167" i="20"/>
  <c r="E1167" i="20" s="1"/>
  <c r="C1166" i="20"/>
  <c r="F1166" i="20" s="1"/>
  <c r="G1167" i="20" s="1"/>
  <c r="C1165" i="20"/>
  <c r="C1164" i="20"/>
  <c r="E1164" i="20" s="1"/>
  <c r="C1163" i="20"/>
  <c r="E1163" i="20" s="1"/>
  <c r="C1162" i="20"/>
  <c r="C1161" i="20"/>
  <c r="C1160" i="20"/>
  <c r="C1159" i="20"/>
  <c r="C1158" i="20"/>
  <c r="E1158" i="20" s="1"/>
  <c r="C1157" i="20"/>
  <c r="F1157" i="20" s="1"/>
  <c r="G1158" i="20" s="1"/>
  <c r="C1156" i="20"/>
  <c r="F1156" i="20" s="1"/>
  <c r="G1157" i="20" s="1"/>
  <c r="C1155" i="20"/>
  <c r="C1154" i="20"/>
  <c r="C1153" i="20"/>
  <c r="C1152" i="20"/>
  <c r="D1152" i="20" s="1"/>
  <c r="C1151" i="20"/>
  <c r="C1150" i="20"/>
  <c r="F1150" i="20" s="1"/>
  <c r="G1151" i="20" s="1"/>
  <c r="C1149" i="20"/>
  <c r="C1148" i="20"/>
  <c r="C1147" i="20"/>
  <c r="F1147" i="20" s="1"/>
  <c r="G1148" i="20" s="1"/>
  <c r="C1146" i="20"/>
  <c r="C1145" i="20"/>
  <c r="C1144" i="20"/>
  <c r="E1144" i="20" s="1"/>
  <c r="C1143" i="20"/>
  <c r="F1143" i="20" s="1"/>
  <c r="G1144" i="20" s="1"/>
  <c r="C1142" i="20"/>
  <c r="E1142" i="20" s="1"/>
  <c r="C1141" i="20"/>
  <c r="C1140" i="20"/>
  <c r="E1140" i="20" s="1"/>
  <c r="C1139" i="20"/>
  <c r="E1139" i="20" s="1"/>
  <c r="C1138" i="20"/>
  <c r="D1138" i="20" s="1"/>
  <c r="C1137" i="20"/>
  <c r="D1137" i="20" s="1"/>
  <c r="C1136" i="20"/>
  <c r="D1136" i="20" s="1"/>
  <c r="C1135" i="20"/>
  <c r="C1134" i="20"/>
  <c r="F1134" i="20" s="1"/>
  <c r="G1135" i="20" s="1"/>
  <c r="C1133" i="20"/>
  <c r="F1133" i="20" s="1"/>
  <c r="G1134" i="20" s="1"/>
  <c r="C1132" i="20"/>
  <c r="F1132" i="20" s="1"/>
  <c r="G1133" i="20" s="1"/>
  <c r="C1131" i="20"/>
  <c r="C1130" i="20"/>
  <c r="C1129" i="20"/>
  <c r="F1129" i="20" s="1"/>
  <c r="G1130" i="20" s="1"/>
  <c r="C1128" i="20"/>
  <c r="E1128" i="20" s="1"/>
  <c r="C1127" i="20"/>
  <c r="D1127" i="20" s="1"/>
  <c r="C1126" i="20"/>
  <c r="E1126" i="20" s="1"/>
  <c r="C1125" i="20"/>
  <c r="C1124" i="20"/>
  <c r="C1123" i="20"/>
  <c r="C1122" i="20"/>
  <c r="F1122" i="20" s="1"/>
  <c r="G1123" i="20" s="1"/>
  <c r="C1121" i="20"/>
  <c r="C1120" i="20"/>
  <c r="C1119" i="20"/>
  <c r="E1119" i="20" s="1"/>
  <c r="C1118" i="20"/>
  <c r="D1118" i="20" s="1"/>
  <c r="C1117" i="20"/>
  <c r="C1116" i="20"/>
  <c r="D1116" i="20" s="1"/>
  <c r="C1115" i="20"/>
  <c r="C1114" i="20"/>
  <c r="D1114" i="20" s="1"/>
  <c r="C1113" i="20"/>
  <c r="D1113" i="20" s="1"/>
  <c r="C1112" i="20"/>
  <c r="C1111" i="20"/>
  <c r="D1111" i="20" s="1"/>
  <c r="C1110" i="20"/>
  <c r="C1109" i="20"/>
  <c r="D1109" i="20" s="1"/>
  <c r="C1108" i="20"/>
  <c r="C1107" i="20"/>
  <c r="E1107" i="20" s="1"/>
  <c r="C1106" i="20"/>
  <c r="D1106" i="20" s="1"/>
  <c r="C1105" i="20"/>
  <c r="F1105" i="20" s="1"/>
  <c r="G1106" i="20" s="1"/>
  <c r="C1104" i="20"/>
  <c r="D1104" i="20" s="1"/>
  <c r="C1103" i="20"/>
  <c r="F1103" i="20" s="1"/>
  <c r="G1104" i="20" s="1"/>
  <c r="C1102" i="20"/>
  <c r="C1101" i="20"/>
  <c r="C1100" i="20"/>
  <c r="C1099" i="20"/>
  <c r="E1099" i="20" s="1"/>
  <c r="C1098" i="20"/>
  <c r="F1098" i="20" s="1"/>
  <c r="G1099" i="20" s="1"/>
  <c r="C1097" i="20"/>
  <c r="C1096" i="20"/>
  <c r="C1095" i="20"/>
  <c r="C1094" i="20"/>
  <c r="E1094" i="20" s="1"/>
  <c r="C1093" i="20"/>
  <c r="C1092" i="20"/>
  <c r="F1092" i="20" s="1"/>
  <c r="G1093" i="20" s="1"/>
  <c r="C1091" i="20"/>
  <c r="D1091" i="20" s="1"/>
  <c r="C1090" i="20"/>
  <c r="F1090" i="20" s="1"/>
  <c r="G1091" i="20" s="1"/>
  <c r="C1089" i="20"/>
  <c r="F1089" i="20" s="1"/>
  <c r="G1090" i="20" s="1"/>
  <c r="C1088" i="20"/>
  <c r="C1087" i="20"/>
  <c r="F1087" i="20" s="1"/>
  <c r="G1088" i="20" s="1"/>
  <c r="C1086" i="20"/>
  <c r="D1086" i="20" s="1"/>
  <c r="C1085" i="20"/>
  <c r="D1085" i="20" s="1"/>
  <c r="C1084" i="20"/>
  <c r="C1083" i="20"/>
  <c r="D1083" i="20" s="1"/>
  <c r="C1082" i="20"/>
  <c r="F1082" i="20" s="1"/>
  <c r="G1083" i="20" s="1"/>
  <c r="C1081" i="20"/>
  <c r="C1080" i="20"/>
  <c r="D1080" i="20" s="1"/>
  <c r="C1079" i="20"/>
  <c r="C1078" i="20"/>
  <c r="E1078" i="20" s="1"/>
  <c r="C1077" i="20"/>
  <c r="D1077" i="20" s="1"/>
  <c r="C1076" i="20"/>
  <c r="C1075" i="20"/>
  <c r="C1074" i="20"/>
  <c r="C1073" i="20"/>
  <c r="C1072" i="20"/>
  <c r="D1072" i="20" s="1"/>
  <c r="C1071" i="20"/>
  <c r="F1071" i="20" s="1"/>
  <c r="G1072" i="20" s="1"/>
  <c r="C1070" i="20"/>
  <c r="E1070" i="20" s="1"/>
  <c r="C1069" i="20"/>
  <c r="C1068" i="20"/>
  <c r="C1067" i="20"/>
  <c r="C1066" i="20"/>
  <c r="F1066" i="20" s="1"/>
  <c r="G1067" i="20" s="1"/>
  <c r="C1065" i="20"/>
  <c r="F1065" i="20" s="1"/>
  <c r="G1066" i="20" s="1"/>
  <c r="C1064" i="20"/>
  <c r="E1064" i="20" s="1"/>
  <c r="C1063" i="20"/>
  <c r="F1063" i="20" s="1"/>
  <c r="G1064" i="20" s="1"/>
  <c r="C1062" i="20"/>
  <c r="F1062" i="20" s="1"/>
  <c r="G1063" i="20" s="1"/>
  <c r="C1061" i="20"/>
  <c r="C1060" i="20"/>
  <c r="F1060" i="20" s="1"/>
  <c r="G1061" i="20" s="1"/>
  <c r="C1059" i="20"/>
  <c r="C1058" i="20"/>
  <c r="C1057" i="20"/>
  <c r="C1056" i="20"/>
  <c r="D1056" i="20" s="1"/>
  <c r="C1055" i="20"/>
  <c r="C1054" i="20"/>
  <c r="E1054" i="20" s="1"/>
  <c r="C1053" i="20"/>
  <c r="E1053" i="20" s="1"/>
  <c r="C1052" i="20"/>
  <c r="D1052" i="20" s="1"/>
  <c r="C1051" i="20"/>
  <c r="F1051" i="20" s="1"/>
  <c r="G1052" i="20" s="1"/>
  <c r="C1050" i="20"/>
  <c r="C1049" i="20"/>
  <c r="C1048" i="20"/>
  <c r="C1047" i="20"/>
  <c r="D1047" i="20" s="1"/>
  <c r="C1046" i="20"/>
  <c r="D1046" i="20" s="1"/>
  <c r="C1045" i="20"/>
  <c r="E1045" i="20" s="1"/>
  <c r="C1044" i="20"/>
  <c r="C1043" i="20"/>
  <c r="C1042" i="20"/>
  <c r="C1041" i="20"/>
  <c r="F1041" i="20" s="1"/>
  <c r="G1042" i="20" s="1"/>
  <c r="C1040" i="20"/>
  <c r="C1039" i="20"/>
  <c r="E1039" i="20" s="1"/>
  <c r="C1038" i="20"/>
  <c r="F1038" i="20" s="1"/>
  <c r="G1039" i="20" s="1"/>
  <c r="C1037" i="20"/>
  <c r="F1037" i="20" s="1"/>
  <c r="G1038" i="20" s="1"/>
  <c r="C1036" i="20"/>
  <c r="F1036" i="20" s="1"/>
  <c r="G1037" i="20" s="1"/>
  <c r="C1035" i="20"/>
  <c r="C1034" i="20"/>
  <c r="D1034" i="20" s="1"/>
  <c r="C1033" i="20"/>
  <c r="C1032" i="20"/>
  <c r="E1032" i="20" s="1"/>
  <c r="C1031" i="20"/>
  <c r="F1031" i="20" s="1"/>
  <c r="G1032" i="20" s="1"/>
  <c r="C1030" i="20"/>
  <c r="E1030" i="20" s="1"/>
  <c r="C1029" i="20"/>
  <c r="F1029" i="20" s="1"/>
  <c r="G1030" i="20" s="1"/>
  <c r="C1028" i="20"/>
  <c r="D1028" i="20" s="1"/>
  <c r="C1027" i="20"/>
  <c r="E1027" i="20" s="1"/>
  <c r="C1026" i="20"/>
  <c r="C1025" i="20"/>
  <c r="C1024" i="20"/>
  <c r="F1024" i="20" s="1"/>
  <c r="G1025" i="20" s="1"/>
  <c r="C1023" i="20"/>
  <c r="C1022" i="20"/>
  <c r="C1021" i="20"/>
  <c r="C1020" i="20"/>
  <c r="E1020" i="20" s="1"/>
  <c r="C1019" i="20"/>
  <c r="F1019" i="20" s="1"/>
  <c r="G1020" i="20" s="1"/>
  <c r="C1018" i="20"/>
  <c r="C1017" i="20"/>
  <c r="C1016" i="20"/>
  <c r="C1015" i="20"/>
  <c r="D1015" i="20" s="1"/>
  <c r="C1014" i="20"/>
  <c r="C1013" i="20"/>
  <c r="D1013" i="20" s="1"/>
  <c r="C1012" i="20"/>
  <c r="E1012" i="20" s="1"/>
  <c r="C1011" i="20"/>
  <c r="E1011" i="20" s="1"/>
  <c r="C1010" i="20"/>
  <c r="D1010" i="20" s="1"/>
  <c r="C1009" i="20"/>
  <c r="C1008" i="20"/>
  <c r="E1008" i="20" s="1"/>
  <c r="C1007" i="20"/>
  <c r="D1007" i="20" s="1"/>
  <c r="C1006" i="20"/>
  <c r="C1005" i="20"/>
  <c r="D1005" i="20" s="1"/>
  <c r="C1004" i="20"/>
  <c r="F1004" i="20" s="1"/>
  <c r="G1005" i="20" s="1"/>
  <c r="C1003" i="20"/>
  <c r="C1002" i="20"/>
  <c r="D1002" i="20" s="1"/>
  <c r="C1001" i="20"/>
  <c r="F1001" i="20" s="1"/>
  <c r="G1002" i="20" s="1"/>
  <c r="C1000" i="20"/>
  <c r="C999" i="20"/>
  <c r="F999" i="20" s="1"/>
  <c r="G1000" i="20" s="1"/>
  <c r="C998" i="20"/>
  <c r="C997" i="20"/>
  <c r="F997" i="20" s="1"/>
  <c r="G998" i="20" s="1"/>
  <c r="C996" i="20"/>
  <c r="E996" i="20" s="1"/>
  <c r="C995" i="20"/>
  <c r="C994" i="20"/>
  <c r="D994" i="20" s="1"/>
  <c r="C993" i="20"/>
  <c r="D993" i="20" s="1"/>
  <c r="C992" i="20"/>
  <c r="C991" i="20"/>
  <c r="C990" i="20"/>
  <c r="C989" i="20"/>
  <c r="C988" i="20"/>
  <c r="E988" i="20" s="1"/>
  <c r="C987" i="20"/>
  <c r="F987" i="20" s="1"/>
  <c r="G988" i="20" s="1"/>
  <c r="C986" i="20"/>
  <c r="F986" i="20" s="1"/>
  <c r="G987" i="20" s="1"/>
  <c r="C985" i="20"/>
  <c r="C984" i="20"/>
  <c r="C983" i="20"/>
  <c r="F983" i="20" s="1"/>
  <c r="G984" i="20" s="1"/>
  <c r="C982" i="20"/>
  <c r="C981" i="20"/>
  <c r="C980" i="20"/>
  <c r="F980" i="20" s="1"/>
  <c r="G981" i="20" s="1"/>
  <c r="C979" i="20"/>
  <c r="C978" i="20"/>
  <c r="C977" i="20"/>
  <c r="C976" i="20"/>
  <c r="F976" i="20" s="1"/>
  <c r="G977" i="20" s="1"/>
  <c r="C975" i="20"/>
  <c r="C974" i="20"/>
  <c r="D974" i="20" s="1"/>
  <c r="C973" i="20"/>
  <c r="E973" i="20" s="1"/>
  <c r="C972" i="20"/>
  <c r="E972" i="20" s="1"/>
  <c r="C971" i="20"/>
  <c r="F971" i="20" s="1"/>
  <c r="G972" i="20" s="1"/>
  <c r="C970" i="20"/>
  <c r="F970" i="20" s="1"/>
  <c r="G971" i="20" s="1"/>
  <c r="C969" i="20"/>
  <c r="D969" i="20" s="1"/>
  <c r="C968" i="20"/>
  <c r="C967" i="20"/>
  <c r="D967" i="20" s="1"/>
  <c r="C966" i="20"/>
  <c r="C965" i="20"/>
  <c r="F965" i="20" s="1"/>
  <c r="G966" i="20" s="1"/>
  <c r="C964" i="20"/>
  <c r="D964" i="20" s="1"/>
  <c r="C963" i="20"/>
  <c r="D963" i="20" s="1"/>
  <c r="C962" i="20"/>
  <c r="C961" i="20"/>
  <c r="C960" i="20"/>
  <c r="F960" i="20" s="1"/>
  <c r="G961" i="20" s="1"/>
  <c r="C959" i="20"/>
  <c r="E959" i="20" s="1"/>
  <c r="C958" i="20"/>
  <c r="C957" i="20"/>
  <c r="D957" i="20" s="1"/>
  <c r="C956" i="20"/>
  <c r="C955" i="20"/>
  <c r="C954" i="20"/>
  <c r="C953" i="20"/>
  <c r="F953" i="20" s="1"/>
  <c r="G954" i="20" s="1"/>
  <c r="C952" i="20"/>
  <c r="F952" i="20" s="1"/>
  <c r="G953" i="20" s="1"/>
  <c r="C951" i="20"/>
  <c r="C950" i="20"/>
  <c r="F950" i="20" s="1"/>
  <c r="G951" i="20" s="1"/>
  <c r="C949" i="20"/>
  <c r="C948" i="20"/>
  <c r="E948" i="20" s="1"/>
  <c r="C947" i="20"/>
  <c r="C946" i="20"/>
  <c r="C945" i="20"/>
  <c r="C944" i="20"/>
  <c r="C943" i="20"/>
  <c r="F943" i="20" s="1"/>
  <c r="G944" i="20" s="1"/>
  <c r="C942" i="20"/>
  <c r="D942" i="20" s="1"/>
  <c r="C941" i="20"/>
  <c r="C940" i="20"/>
  <c r="F940" i="20" s="1"/>
  <c r="G941" i="20" s="1"/>
  <c r="C939" i="20"/>
  <c r="C938" i="20"/>
  <c r="C937" i="20"/>
  <c r="F937" i="20" s="1"/>
  <c r="G938" i="20" s="1"/>
  <c r="C936" i="20"/>
  <c r="C935" i="20"/>
  <c r="C934" i="20"/>
  <c r="C933" i="20"/>
  <c r="C932" i="20"/>
  <c r="C931" i="20"/>
  <c r="C930" i="20"/>
  <c r="F930" i="20" s="1"/>
  <c r="G931" i="20" s="1"/>
  <c r="C929" i="20"/>
  <c r="D929" i="20" s="1"/>
  <c r="C928" i="20"/>
  <c r="F928" i="20" s="1"/>
  <c r="G929" i="20" s="1"/>
  <c r="C927" i="20"/>
  <c r="F927" i="20" s="1"/>
  <c r="G928" i="20" s="1"/>
  <c r="C926" i="20"/>
  <c r="F926" i="20" s="1"/>
  <c r="G927" i="20" s="1"/>
  <c r="C925" i="20"/>
  <c r="C924" i="20"/>
  <c r="D924" i="20" s="1"/>
  <c r="C923" i="20"/>
  <c r="E923" i="20" s="1"/>
  <c r="C922" i="20"/>
  <c r="C921" i="20"/>
  <c r="D921" i="20" s="1"/>
  <c r="C920" i="20"/>
  <c r="F920" i="20" s="1"/>
  <c r="G921" i="20" s="1"/>
  <c r="C919" i="20"/>
  <c r="D919" i="20" s="1"/>
  <c r="C918" i="20"/>
  <c r="F918" i="20" s="1"/>
  <c r="G919" i="20" s="1"/>
  <c r="C917" i="20"/>
  <c r="F917" i="20" s="1"/>
  <c r="G918" i="20" s="1"/>
  <c r="C916" i="20"/>
  <c r="C915" i="20"/>
  <c r="E915" i="20" s="1"/>
  <c r="C914" i="20"/>
  <c r="C913" i="20"/>
  <c r="F913" i="20" s="1"/>
  <c r="G914" i="20" s="1"/>
  <c r="C912" i="20"/>
  <c r="D912" i="20" s="1"/>
  <c r="C911" i="20"/>
  <c r="F911" i="20" s="1"/>
  <c r="G912" i="20" s="1"/>
  <c r="C910" i="20"/>
  <c r="F910" i="20" s="1"/>
  <c r="G911" i="20" s="1"/>
  <c r="C909" i="20"/>
  <c r="C908" i="20"/>
  <c r="C907" i="20"/>
  <c r="C906" i="20"/>
  <c r="E906" i="20" s="1"/>
  <c r="C905" i="20"/>
  <c r="C904" i="20"/>
  <c r="C903" i="20"/>
  <c r="D903" i="20" s="1"/>
  <c r="C902" i="20"/>
  <c r="F902" i="20" s="1"/>
  <c r="G903" i="20" s="1"/>
  <c r="C901" i="20"/>
  <c r="C900" i="20"/>
  <c r="C899" i="20"/>
  <c r="F899" i="20" s="1"/>
  <c r="G900" i="20" s="1"/>
  <c r="C898" i="20"/>
  <c r="C897" i="20"/>
  <c r="E897" i="20" s="1"/>
  <c r="C896" i="20"/>
  <c r="F896" i="20" s="1"/>
  <c r="G897" i="20" s="1"/>
  <c r="C895" i="20"/>
  <c r="F895" i="20" s="1"/>
  <c r="G896" i="20" s="1"/>
  <c r="C894" i="20"/>
  <c r="D894" i="20" s="1"/>
  <c r="C893" i="20"/>
  <c r="F893" i="20" s="1"/>
  <c r="G894" i="20" s="1"/>
  <c r="C892" i="20"/>
  <c r="C891" i="20"/>
  <c r="C890" i="20"/>
  <c r="E890" i="20" s="1"/>
  <c r="C889" i="20"/>
  <c r="C888" i="20"/>
  <c r="D888" i="20" s="1"/>
  <c r="C887" i="20"/>
  <c r="C886" i="20"/>
  <c r="E886" i="20" s="1"/>
  <c r="C885" i="20"/>
  <c r="C884" i="20"/>
  <c r="F884" i="20" s="1"/>
  <c r="G885" i="20" s="1"/>
  <c r="C883" i="20"/>
  <c r="F883" i="20" s="1"/>
  <c r="G884" i="20" s="1"/>
  <c r="C882" i="20"/>
  <c r="C881" i="20"/>
  <c r="D881" i="20" s="1"/>
  <c r="C880" i="20"/>
  <c r="C879" i="20"/>
  <c r="C878" i="20"/>
  <c r="D878" i="20" s="1"/>
  <c r="C877" i="20"/>
  <c r="C876" i="20"/>
  <c r="D876" i="20" s="1"/>
  <c r="C875" i="20"/>
  <c r="C874" i="20"/>
  <c r="C873" i="20"/>
  <c r="C872" i="20"/>
  <c r="C871" i="20"/>
  <c r="D871" i="20" s="1"/>
  <c r="C870" i="20"/>
  <c r="C869" i="20"/>
  <c r="C868" i="20"/>
  <c r="D868" i="20" s="1"/>
  <c r="C867" i="20"/>
  <c r="C866" i="20"/>
  <c r="F866" i="20" s="1"/>
  <c r="G867" i="20" s="1"/>
  <c r="C865" i="20"/>
  <c r="C864" i="20"/>
  <c r="F864" i="20" s="1"/>
  <c r="G865" i="20" s="1"/>
  <c r="C863" i="20"/>
  <c r="F863" i="20" s="1"/>
  <c r="G864" i="20" s="1"/>
  <c r="C862" i="20"/>
  <c r="F862" i="20" s="1"/>
  <c r="G863" i="20" s="1"/>
  <c r="C861" i="20"/>
  <c r="D861" i="20" s="1"/>
  <c r="C860" i="20"/>
  <c r="E860" i="20" s="1"/>
  <c r="C859" i="20"/>
  <c r="C858" i="20"/>
  <c r="E858" i="20" s="1"/>
  <c r="C857" i="20"/>
  <c r="D857" i="20" s="1"/>
  <c r="C856" i="20"/>
  <c r="D856" i="20" s="1"/>
  <c r="C855" i="20"/>
  <c r="E855" i="20" s="1"/>
  <c r="C854" i="20"/>
  <c r="D854" i="20" s="1"/>
  <c r="C853" i="20"/>
  <c r="C852" i="20"/>
  <c r="C851" i="20"/>
  <c r="F851" i="20" s="1"/>
  <c r="G852" i="20" s="1"/>
  <c r="C850" i="20"/>
  <c r="C849" i="20"/>
  <c r="E849" i="20" s="1"/>
  <c r="C848" i="20"/>
  <c r="F848" i="20" s="1"/>
  <c r="G849" i="20" s="1"/>
  <c r="C847" i="20"/>
  <c r="C846" i="20"/>
  <c r="E846" i="20" s="1"/>
  <c r="C845" i="20"/>
  <c r="C844" i="20"/>
  <c r="C843" i="20"/>
  <c r="F843" i="20" s="1"/>
  <c r="G844" i="20" s="1"/>
  <c r="C842" i="20"/>
  <c r="C841" i="20"/>
  <c r="E841" i="20" s="1"/>
  <c r="C840" i="20"/>
  <c r="D840" i="20" s="1"/>
  <c r="C839" i="20"/>
  <c r="D839" i="20" s="1"/>
  <c r="C838" i="20"/>
  <c r="C837" i="20"/>
  <c r="D837" i="20" s="1"/>
  <c r="C836" i="20"/>
  <c r="F836" i="20" s="1"/>
  <c r="G837" i="20" s="1"/>
  <c r="C835" i="20"/>
  <c r="C834" i="20"/>
  <c r="F834" i="20" s="1"/>
  <c r="G835" i="20" s="1"/>
  <c r="C833" i="20"/>
  <c r="F833" i="20" s="1"/>
  <c r="G834" i="20" s="1"/>
  <c r="C832" i="20"/>
  <c r="C831" i="20"/>
  <c r="C830" i="20"/>
  <c r="F830" i="20" s="1"/>
  <c r="G831" i="20" s="1"/>
  <c r="C829" i="20"/>
  <c r="F829" i="20" s="1"/>
  <c r="G830" i="20" s="1"/>
  <c r="C828" i="20"/>
  <c r="E828" i="20" s="1"/>
  <c r="C827" i="20"/>
  <c r="E827" i="20" s="1"/>
  <c r="C826" i="20"/>
  <c r="E826" i="20" s="1"/>
  <c r="C825" i="20"/>
  <c r="D825" i="20" s="1"/>
  <c r="C824" i="20"/>
  <c r="F824" i="20" s="1"/>
  <c r="G825" i="20" s="1"/>
  <c r="C823" i="20"/>
  <c r="E823" i="20" s="1"/>
  <c r="C822" i="20"/>
  <c r="F822" i="20" s="1"/>
  <c r="G823" i="20" s="1"/>
  <c r="C821" i="20"/>
  <c r="C820" i="20"/>
  <c r="C819" i="20"/>
  <c r="F819" i="20" s="1"/>
  <c r="G820" i="20" s="1"/>
  <c r="C818" i="20"/>
  <c r="E818" i="20" s="1"/>
  <c r="C817" i="20"/>
  <c r="D817" i="20" s="1"/>
  <c r="C816" i="20"/>
  <c r="F816" i="20" s="1"/>
  <c r="G817" i="20" s="1"/>
  <c r="C815" i="20"/>
  <c r="C814" i="20"/>
  <c r="C813" i="20"/>
  <c r="C812" i="20"/>
  <c r="C811" i="20"/>
  <c r="F811" i="20" s="1"/>
  <c r="G812" i="20" s="1"/>
  <c r="C810" i="20"/>
  <c r="D810" i="20" s="1"/>
  <c r="C809" i="20"/>
  <c r="C808" i="20"/>
  <c r="D808" i="20" s="1"/>
  <c r="C807" i="20"/>
  <c r="D807" i="20" s="1"/>
  <c r="C806" i="20"/>
  <c r="C805" i="20"/>
  <c r="D805" i="20" s="1"/>
  <c r="C804" i="20"/>
  <c r="C803" i="20"/>
  <c r="D803" i="20" s="1"/>
  <c r="C802" i="20"/>
  <c r="D802" i="20" s="1"/>
  <c r="C801" i="20"/>
  <c r="F801" i="20" s="1"/>
  <c r="G802" i="20" s="1"/>
  <c r="C800" i="20"/>
  <c r="D800" i="20" s="1"/>
  <c r="C799" i="20"/>
  <c r="E799" i="20" s="1"/>
  <c r="C798" i="20"/>
  <c r="C797" i="20"/>
  <c r="F797" i="20" s="1"/>
  <c r="G798" i="20" s="1"/>
  <c r="C796" i="20"/>
  <c r="F796" i="20" s="1"/>
  <c r="G797" i="20" s="1"/>
  <c r="C795" i="20"/>
  <c r="E795" i="20" s="1"/>
  <c r="C794" i="20"/>
  <c r="E794" i="20" s="1"/>
  <c r="C793" i="20"/>
  <c r="C792" i="20"/>
  <c r="C791" i="20"/>
  <c r="C790" i="20"/>
  <c r="E790" i="20" s="1"/>
  <c r="C789" i="20"/>
  <c r="D789" i="20" s="1"/>
  <c r="C788" i="20"/>
  <c r="E788" i="20" s="1"/>
  <c r="C787" i="20"/>
  <c r="C786" i="20"/>
  <c r="F786" i="20" s="1"/>
  <c r="G787" i="20" s="1"/>
  <c r="C785" i="20"/>
  <c r="E785" i="20" s="1"/>
  <c r="C784" i="20"/>
  <c r="C783" i="20"/>
  <c r="D783" i="20" s="1"/>
  <c r="C782" i="20"/>
  <c r="C781" i="20"/>
  <c r="C780" i="20"/>
  <c r="E780" i="20" s="1"/>
  <c r="C779" i="20"/>
  <c r="C778" i="20"/>
  <c r="D778" i="20" s="1"/>
  <c r="C777" i="20"/>
  <c r="C776" i="20"/>
  <c r="E776" i="20" s="1"/>
  <c r="C775" i="20"/>
  <c r="C774" i="20"/>
  <c r="C773" i="20"/>
  <c r="E773" i="20" s="1"/>
  <c r="C772" i="20"/>
  <c r="C771" i="20"/>
  <c r="F771" i="20" s="1"/>
  <c r="G772" i="20" s="1"/>
  <c r="C770" i="20"/>
  <c r="E770" i="20" s="1"/>
  <c r="C769" i="20"/>
  <c r="D769" i="20" s="1"/>
  <c r="C768" i="20"/>
  <c r="C767" i="20"/>
  <c r="D767" i="20" s="1"/>
  <c r="C766" i="20"/>
  <c r="C765" i="20"/>
  <c r="C764" i="20"/>
  <c r="C763" i="20"/>
  <c r="C762" i="20"/>
  <c r="C761" i="20"/>
  <c r="D761" i="20" s="1"/>
  <c r="C760" i="20"/>
  <c r="C759" i="20"/>
  <c r="F759" i="20" s="1"/>
  <c r="G760" i="20" s="1"/>
  <c r="C758" i="20"/>
  <c r="C757" i="20"/>
  <c r="C756" i="20"/>
  <c r="C755" i="20"/>
  <c r="F755" i="20" s="1"/>
  <c r="G756" i="20" s="1"/>
  <c r="C754" i="20"/>
  <c r="D754" i="20" s="1"/>
  <c r="C753" i="20"/>
  <c r="D753" i="20" s="1"/>
  <c r="C752" i="20"/>
  <c r="D752" i="20" s="1"/>
  <c r="C751" i="20"/>
  <c r="C750" i="20"/>
  <c r="C749" i="20"/>
  <c r="C748" i="20"/>
  <c r="E748" i="20" s="1"/>
  <c r="C747" i="20"/>
  <c r="C746" i="20"/>
  <c r="E746" i="20" s="1"/>
  <c r="C745" i="20"/>
  <c r="C744" i="20"/>
  <c r="F744" i="20" s="1"/>
  <c r="G745" i="20" s="1"/>
  <c r="C743" i="20"/>
  <c r="D743" i="20" s="1"/>
  <c r="C742" i="20"/>
  <c r="F742" i="20" s="1"/>
  <c r="G743" i="20" s="1"/>
  <c r="C741" i="20"/>
  <c r="C740" i="20"/>
  <c r="F740" i="20" s="1"/>
  <c r="G741" i="20" s="1"/>
  <c r="C739" i="20"/>
  <c r="C738" i="20"/>
  <c r="D738" i="20" s="1"/>
  <c r="C737" i="20"/>
  <c r="C736" i="20"/>
  <c r="F736" i="20" s="1"/>
  <c r="G737" i="20" s="1"/>
  <c r="C735" i="20"/>
  <c r="E735" i="20" s="1"/>
  <c r="C734" i="20"/>
  <c r="D734" i="20" s="1"/>
  <c r="C733" i="20"/>
  <c r="F733" i="20" s="1"/>
  <c r="G734" i="20" s="1"/>
  <c r="C732" i="20"/>
  <c r="D732" i="20" s="1"/>
  <c r="C731" i="20"/>
  <c r="E731" i="20" s="1"/>
  <c r="C730" i="20"/>
  <c r="C729" i="20"/>
  <c r="F729" i="20" s="1"/>
  <c r="G730" i="20" s="1"/>
  <c r="C728" i="20"/>
  <c r="E728" i="20" s="1"/>
  <c r="C727" i="20"/>
  <c r="D727" i="20" s="1"/>
  <c r="C726" i="20"/>
  <c r="C725" i="20"/>
  <c r="C724" i="20"/>
  <c r="C723" i="20"/>
  <c r="C722" i="20"/>
  <c r="D722" i="20" s="1"/>
  <c r="C721" i="20"/>
  <c r="C720" i="20"/>
  <c r="C719" i="20"/>
  <c r="D719" i="20" s="1"/>
  <c r="C718" i="20"/>
  <c r="F718" i="20" s="1"/>
  <c r="G719" i="20" s="1"/>
  <c r="C717" i="20"/>
  <c r="C716" i="20"/>
  <c r="F716" i="20" s="1"/>
  <c r="G717" i="20" s="1"/>
  <c r="C715" i="20"/>
  <c r="D715" i="20" s="1"/>
  <c r="C714" i="20"/>
  <c r="E714" i="20" s="1"/>
  <c r="C713" i="20"/>
  <c r="C712" i="20"/>
  <c r="C711" i="20"/>
  <c r="C710" i="20"/>
  <c r="C709" i="20"/>
  <c r="C708" i="20"/>
  <c r="C707" i="20"/>
  <c r="E707" i="20" s="1"/>
  <c r="C706" i="20"/>
  <c r="D706" i="20" s="1"/>
  <c r="C705" i="20"/>
  <c r="C704" i="20"/>
  <c r="C703" i="20"/>
  <c r="F703" i="20" s="1"/>
  <c r="G704" i="20" s="1"/>
  <c r="C702" i="20"/>
  <c r="C701" i="20"/>
  <c r="C700" i="20"/>
  <c r="E700" i="20" s="1"/>
  <c r="C699" i="20"/>
  <c r="F699" i="20" s="1"/>
  <c r="G700" i="20" s="1"/>
  <c r="C698" i="20"/>
  <c r="F698" i="20" s="1"/>
  <c r="G699" i="20" s="1"/>
  <c r="C697" i="20"/>
  <c r="C696" i="20"/>
  <c r="C695" i="20"/>
  <c r="D695" i="20" s="1"/>
  <c r="C694" i="20"/>
  <c r="F694" i="20" s="1"/>
  <c r="G695" i="20" s="1"/>
  <c r="C693" i="20"/>
  <c r="C692" i="20"/>
  <c r="F692" i="20" s="1"/>
  <c r="G693" i="20" s="1"/>
  <c r="C691" i="20"/>
  <c r="F691" i="20" s="1"/>
  <c r="G692" i="20" s="1"/>
  <c r="C690" i="20"/>
  <c r="C689" i="20"/>
  <c r="D689" i="20" s="1"/>
  <c r="C688" i="20"/>
  <c r="D688" i="20" s="1"/>
  <c r="C687" i="20"/>
  <c r="D687" i="20" s="1"/>
  <c r="C686" i="20"/>
  <c r="D686" i="20" s="1"/>
  <c r="C685" i="20"/>
  <c r="C684" i="20"/>
  <c r="C683" i="20"/>
  <c r="D683" i="20" s="1"/>
  <c r="C682" i="20"/>
  <c r="E682" i="20" s="1"/>
  <c r="C681" i="20"/>
  <c r="D681" i="20" s="1"/>
  <c r="C680" i="20"/>
  <c r="E680" i="20" s="1"/>
  <c r="C679" i="20"/>
  <c r="C678" i="20"/>
  <c r="F678" i="20" s="1"/>
  <c r="G679" i="20" s="1"/>
  <c r="C677" i="20"/>
  <c r="C676" i="20"/>
  <c r="F676" i="20" s="1"/>
  <c r="G677" i="20" s="1"/>
  <c r="C675" i="20"/>
  <c r="C674" i="20"/>
  <c r="F674" i="20" s="1"/>
  <c r="G675" i="20" s="1"/>
  <c r="C673" i="20"/>
  <c r="C672" i="20"/>
  <c r="C671" i="20"/>
  <c r="F671" i="20" s="1"/>
  <c r="G672" i="20" s="1"/>
  <c r="C670" i="20"/>
  <c r="C669" i="20"/>
  <c r="F669" i="20" s="1"/>
  <c r="G670" i="20" s="1"/>
  <c r="C668" i="20"/>
  <c r="C667" i="20"/>
  <c r="C666" i="20"/>
  <c r="E666" i="20" s="1"/>
  <c r="C665" i="20"/>
  <c r="C664" i="20"/>
  <c r="C663" i="20"/>
  <c r="D663" i="20" s="1"/>
  <c r="C662" i="20"/>
  <c r="D662" i="20" s="1"/>
  <c r="C661" i="20"/>
  <c r="D661" i="20" s="1"/>
  <c r="C660" i="20"/>
  <c r="C659" i="20"/>
  <c r="C658" i="20"/>
  <c r="D658" i="20" s="1"/>
  <c r="C657" i="20"/>
  <c r="E657" i="20" s="1"/>
  <c r="C656" i="20"/>
  <c r="D656" i="20" s="1"/>
  <c r="C655" i="20"/>
  <c r="E655" i="20" s="1"/>
  <c r="C654" i="20"/>
  <c r="E654" i="20" s="1"/>
  <c r="C653" i="20"/>
  <c r="C652" i="20"/>
  <c r="C651" i="20"/>
  <c r="C650" i="20"/>
  <c r="D650" i="20" s="1"/>
  <c r="C649" i="20"/>
  <c r="F649" i="20" s="1"/>
  <c r="G650" i="20" s="1"/>
  <c r="C648" i="20"/>
  <c r="C647" i="20"/>
  <c r="C646" i="20"/>
  <c r="C645" i="20"/>
  <c r="C644" i="20"/>
  <c r="D644" i="20" s="1"/>
  <c r="C643" i="20"/>
  <c r="C642" i="20"/>
  <c r="C641" i="20"/>
  <c r="E641" i="20" s="1"/>
  <c r="C640" i="20"/>
  <c r="C639" i="20"/>
  <c r="D639" i="20" s="1"/>
  <c r="C638" i="20"/>
  <c r="C637" i="20"/>
  <c r="C636" i="20"/>
  <c r="C635" i="20"/>
  <c r="D635" i="20" s="1"/>
  <c r="C634" i="20"/>
  <c r="C633" i="20"/>
  <c r="E633" i="20" s="1"/>
  <c r="C632" i="20"/>
  <c r="C631" i="20"/>
  <c r="F631" i="20" s="1"/>
  <c r="G632" i="20" s="1"/>
  <c r="C630" i="20"/>
  <c r="C629" i="20"/>
  <c r="C628" i="20"/>
  <c r="E628" i="20" s="1"/>
  <c r="C627" i="20"/>
  <c r="C626" i="20"/>
  <c r="F626" i="20" s="1"/>
  <c r="G627" i="20" s="1"/>
  <c r="C625" i="20"/>
  <c r="D625" i="20" s="1"/>
  <c r="C624" i="20"/>
  <c r="C623" i="20"/>
  <c r="F623" i="20" s="1"/>
  <c r="G624" i="20" s="1"/>
  <c r="C622" i="20"/>
  <c r="C621" i="20"/>
  <c r="D621" i="20" s="1"/>
  <c r="C620" i="20"/>
  <c r="E620" i="20" s="1"/>
  <c r="C619" i="20"/>
  <c r="D619" i="20" s="1"/>
  <c r="C618" i="20"/>
  <c r="E618" i="20" s="1"/>
  <c r="C617" i="20"/>
  <c r="E617" i="20" s="1"/>
  <c r="C616" i="20"/>
  <c r="C615" i="20"/>
  <c r="C614" i="20"/>
  <c r="C613" i="20"/>
  <c r="C612" i="20"/>
  <c r="F612" i="20" s="1"/>
  <c r="G613" i="20" s="1"/>
  <c r="C611" i="20"/>
  <c r="E611" i="20" s="1"/>
  <c r="C610" i="20"/>
  <c r="C609" i="20"/>
  <c r="C608" i="20"/>
  <c r="C607" i="20"/>
  <c r="F607" i="20" s="1"/>
  <c r="G608" i="20" s="1"/>
  <c r="C606" i="20"/>
  <c r="E606" i="20" s="1"/>
  <c r="C605" i="20"/>
  <c r="F605" i="20" s="1"/>
  <c r="G606" i="20" s="1"/>
  <c r="C604" i="20"/>
  <c r="F604" i="20" s="1"/>
  <c r="G605" i="20" s="1"/>
  <c r="C603" i="20"/>
  <c r="C602" i="20"/>
  <c r="C601" i="20"/>
  <c r="C600" i="20"/>
  <c r="C599" i="20"/>
  <c r="E599" i="20" s="1"/>
  <c r="C598" i="20"/>
  <c r="E598" i="20" s="1"/>
  <c r="C597" i="20"/>
  <c r="C596" i="20"/>
  <c r="C595" i="20"/>
  <c r="E595" i="20" s="1"/>
  <c r="C594" i="20"/>
  <c r="F594" i="20" s="1"/>
  <c r="G595" i="20" s="1"/>
  <c r="C593" i="20"/>
  <c r="D593" i="20" s="1"/>
  <c r="C592" i="20"/>
  <c r="D592" i="20" s="1"/>
  <c r="C591" i="20"/>
  <c r="C590" i="20"/>
  <c r="C589" i="20"/>
  <c r="F589" i="20" s="1"/>
  <c r="G590" i="20" s="1"/>
  <c r="C588" i="20"/>
  <c r="C587" i="20"/>
  <c r="D587" i="20" s="1"/>
  <c r="C586" i="20"/>
  <c r="F586" i="20" s="1"/>
  <c r="G587" i="20" s="1"/>
  <c r="C585" i="20"/>
  <c r="E585" i="20" s="1"/>
  <c r="C584" i="20"/>
  <c r="C583" i="20"/>
  <c r="C582" i="20"/>
  <c r="E582" i="20" s="1"/>
  <c r="C581" i="20"/>
  <c r="C580" i="20"/>
  <c r="E580" i="20" s="1"/>
  <c r="C579" i="20"/>
  <c r="D579" i="20" s="1"/>
  <c r="C578" i="20"/>
  <c r="C577" i="20"/>
  <c r="C576" i="20"/>
  <c r="D576" i="20" s="1"/>
  <c r="C575" i="20"/>
  <c r="E575" i="20" s="1"/>
  <c r="C574" i="20"/>
  <c r="C573" i="20"/>
  <c r="C572" i="20"/>
  <c r="C571" i="20"/>
  <c r="C570" i="20"/>
  <c r="D570" i="20" s="1"/>
  <c r="C569" i="20"/>
  <c r="C568" i="20"/>
  <c r="C567" i="20"/>
  <c r="F567" i="20" s="1"/>
  <c r="G568" i="20" s="1"/>
  <c r="C566" i="20"/>
  <c r="C565" i="20"/>
  <c r="D565" i="20" s="1"/>
  <c r="C564" i="20"/>
  <c r="F564" i="20" s="1"/>
  <c r="G565" i="20" s="1"/>
  <c r="C563" i="20"/>
  <c r="F563" i="20" s="1"/>
  <c r="G564" i="20" s="1"/>
  <c r="C562" i="20"/>
  <c r="C561" i="20"/>
  <c r="C560" i="20"/>
  <c r="C559" i="20"/>
  <c r="D559" i="20" s="1"/>
  <c r="C558" i="20"/>
  <c r="E558" i="20" s="1"/>
  <c r="C557" i="20"/>
  <c r="D557" i="20" s="1"/>
  <c r="C556" i="20"/>
  <c r="F556" i="20" s="1"/>
  <c r="G557" i="20" s="1"/>
  <c r="C555" i="20"/>
  <c r="D555" i="20" s="1"/>
  <c r="C554" i="20"/>
  <c r="C553" i="20"/>
  <c r="C552" i="20"/>
  <c r="C551" i="20"/>
  <c r="C550" i="20"/>
  <c r="F550" i="20" s="1"/>
  <c r="G551" i="20" s="1"/>
  <c r="C549" i="20"/>
  <c r="C548" i="20"/>
  <c r="D548" i="20" s="1"/>
  <c r="C547" i="20"/>
  <c r="C546" i="20"/>
  <c r="F546" i="20" s="1"/>
  <c r="G547" i="20" s="1"/>
  <c r="C545" i="20"/>
  <c r="C544" i="20"/>
  <c r="C543" i="20"/>
  <c r="D543" i="20" s="1"/>
  <c r="C542" i="20"/>
  <c r="C541" i="20"/>
  <c r="E541" i="20" s="1"/>
  <c r="C540" i="20"/>
  <c r="C539" i="20"/>
  <c r="F539" i="20" s="1"/>
  <c r="G540" i="20" s="1"/>
  <c r="C538" i="20"/>
  <c r="C537" i="20"/>
  <c r="D537" i="20" s="1"/>
  <c r="C536" i="20"/>
  <c r="C535" i="20"/>
  <c r="D535" i="20" s="1"/>
  <c r="C534" i="20"/>
  <c r="F534" i="20" s="1"/>
  <c r="G535" i="20" s="1"/>
  <c r="C533" i="20"/>
  <c r="C532" i="20"/>
  <c r="C531" i="20"/>
  <c r="C530" i="20"/>
  <c r="E530" i="20" s="1"/>
  <c r="C529" i="20"/>
  <c r="C528" i="20"/>
  <c r="D528" i="20" s="1"/>
  <c r="C527" i="20"/>
  <c r="D527" i="20" s="1"/>
  <c r="C526" i="20"/>
  <c r="C525" i="20"/>
  <c r="C524" i="20"/>
  <c r="D524" i="20" s="1"/>
  <c r="C523" i="20"/>
  <c r="D523" i="20" s="1"/>
  <c r="C522" i="20"/>
  <c r="F522" i="20" s="1"/>
  <c r="G523" i="20" s="1"/>
  <c r="C521" i="20"/>
  <c r="C520" i="20"/>
  <c r="C519" i="20"/>
  <c r="E519" i="20" s="1"/>
  <c r="C518" i="20"/>
  <c r="C517" i="20"/>
  <c r="E517" i="20" s="1"/>
  <c r="C516" i="20"/>
  <c r="E516" i="20" s="1"/>
  <c r="C515" i="20"/>
  <c r="E515" i="20" s="1"/>
  <c r="C514" i="20"/>
  <c r="E514" i="20" s="1"/>
  <c r="C513" i="20"/>
  <c r="F513" i="20" s="1"/>
  <c r="G514" i="20" s="1"/>
  <c r="C512" i="20"/>
  <c r="F512" i="20" s="1"/>
  <c r="G513" i="20" s="1"/>
  <c r="C511" i="20"/>
  <c r="D511" i="20" s="1"/>
  <c r="C510" i="20"/>
  <c r="F510" i="20" s="1"/>
  <c r="G511" i="20" s="1"/>
  <c r="C509" i="20"/>
  <c r="D509" i="20" s="1"/>
  <c r="C508" i="20"/>
  <c r="F508" i="20" s="1"/>
  <c r="G509" i="20" s="1"/>
  <c r="C507" i="20"/>
  <c r="F507" i="20" s="1"/>
  <c r="G508" i="20" s="1"/>
  <c r="C506" i="20"/>
  <c r="C505" i="20"/>
  <c r="F505" i="20" s="1"/>
  <c r="G506" i="20" s="1"/>
  <c r="C504" i="20"/>
  <c r="F504" i="20" s="1"/>
  <c r="G505" i="20" s="1"/>
  <c r="C503" i="20"/>
  <c r="D503" i="20" s="1"/>
  <c r="C502" i="20"/>
  <c r="D502" i="20" s="1"/>
  <c r="C501" i="20"/>
  <c r="D501" i="20" s="1"/>
  <c r="C500" i="20"/>
  <c r="C499" i="20"/>
  <c r="F499" i="20" s="1"/>
  <c r="G500" i="20" s="1"/>
  <c r="C498" i="20"/>
  <c r="D498" i="20" s="1"/>
  <c r="C497" i="20"/>
  <c r="F497" i="20" s="1"/>
  <c r="G498" i="20" s="1"/>
  <c r="C496" i="20"/>
  <c r="D496" i="20" s="1"/>
  <c r="C495" i="20"/>
  <c r="E495" i="20" s="1"/>
  <c r="C494" i="20"/>
  <c r="E494" i="20" s="1"/>
  <c r="C493" i="20"/>
  <c r="C492" i="20"/>
  <c r="D492" i="20" s="1"/>
  <c r="C491" i="20"/>
  <c r="F491" i="20" s="1"/>
  <c r="G492" i="20" s="1"/>
  <c r="C490" i="20"/>
  <c r="C489" i="20"/>
  <c r="C488" i="20"/>
  <c r="E488" i="20" s="1"/>
  <c r="C487" i="20"/>
  <c r="C486" i="20"/>
  <c r="C485" i="20"/>
  <c r="C484" i="20"/>
  <c r="E484" i="20" s="1"/>
  <c r="C483" i="20"/>
  <c r="C482" i="20"/>
  <c r="F482" i="20" s="1"/>
  <c r="G483" i="20" s="1"/>
  <c r="C481" i="20"/>
  <c r="F481" i="20" s="1"/>
  <c r="G482" i="20" s="1"/>
  <c r="C480" i="20"/>
  <c r="E480" i="20" s="1"/>
  <c r="C479" i="20"/>
  <c r="C478" i="20"/>
  <c r="F478" i="20" s="1"/>
  <c r="G479" i="20" s="1"/>
  <c r="C477" i="20"/>
  <c r="C476" i="20"/>
  <c r="D476" i="20" s="1"/>
  <c r="C475" i="20"/>
  <c r="F475" i="20" s="1"/>
  <c r="G476" i="20" s="1"/>
  <c r="C474" i="20"/>
  <c r="F474" i="20" s="1"/>
  <c r="G475" i="20" s="1"/>
  <c r="C473" i="20"/>
  <c r="C472" i="20"/>
  <c r="C471" i="20"/>
  <c r="C470" i="20"/>
  <c r="F470" i="20" s="1"/>
  <c r="G471" i="20" s="1"/>
  <c r="C469" i="20"/>
  <c r="D469" i="20" s="1"/>
  <c r="C468" i="20"/>
  <c r="E468" i="20" s="1"/>
  <c r="C467" i="20"/>
  <c r="D467" i="20" s="1"/>
  <c r="C466" i="20"/>
  <c r="D466" i="20" s="1"/>
  <c r="C465" i="20"/>
  <c r="E465" i="20" s="1"/>
  <c r="C464" i="20"/>
  <c r="E464" i="20" s="1"/>
  <c r="C463" i="20"/>
  <c r="D463" i="20" s="1"/>
  <c r="C462" i="20"/>
  <c r="C461" i="20"/>
  <c r="C460" i="20"/>
  <c r="C459" i="20"/>
  <c r="E459" i="20" s="1"/>
  <c r="C458" i="20"/>
  <c r="F458" i="20" s="1"/>
  <c r="G459" i="20" s="1"/>
  <c r="C457" i="20"/>
  <c r="E457" i="20" s="1"/>
  <c r="C456" i="20"/>
  <c r="C455" i="20"/>
  <c r="F455" i="20" s="1"/>
  <c r="G456" i="20" s="1"/>
  <c r="C454" i="20"/>
  <c r="E454" i="20" s="1"/>
  <c r="C453" i="20"/>
  <c r="D453" i="20" s="1"/>
  <c r="C452" i="20"/>
  <c r="C451" i="20"/>
  <c r="C450" i="20"/>
  <c r="F450" i="20" s="1"/>
  <c r="G451" i="20" s="1"/>
  <c r="C449" i="20"/>
  <c r="C448" i="20"/>
  <c r="C447" i="20"/>
  <c r="C446" i="20"/>
  <c r="F446" i="20" s="1"/>
  <c r="G447" i="20" s="1"/>
  <c r="C445" i="20"/>
  <c r="C444" i="20"/>
  <c r="F444" i="20" s="1"/>
  <c r="G445" i="20" s="1"/>
  <c r="C443" i="20"/>
  <c r="D443" i="20" s="1"/>
  <c r="C442" i="20"/>
  <c r="E442" i="20" s="1"/>
  <c r="C441" i="20"/>
  <c r="F441" i="20" s="1"/>
  <c r="G442" i="20" s="1"/>
  <c r="C440" i="20"/>
  <c r="F440" i="20" s="1"/>
  <c r="G441" i="20" s="1"/>
  <c r="C439" i="20"/>
  <c r="F439" i="20" s="1"/>
  <c r="G440" i="20" s="1"/>
  <c r="C438" i="20"/>
  <c r="D438" i="20" s="1"/>
  <c r="C437" i="20"/>
  <c r="D437" i="20" s="1"/>
  <c r="C436" i="20"/>
  <c r="E436" i="20" s="1"/>
  <c r="C435" i="20"/>
  <c r="C434" i="20"/>
  <c r="E434" i="20" s="1"/>
  <c r="C433" i="20"/>
  <c r="C432" i="20"/>
  <c r="F432" i="20" s="1"/>
  <c r="G433" i="20" s="1"/>
  <c r="C431" i="20"/>
  <c r="F431" i="20" s="1"/>
  <c r="G432" i="20" s="1"/>
  <c r="C430" i="20"/>
  <c r="D430" i="20" s="1"/>
  <c r="C429" i="20"/>
  <c r="C428" i="20"/>
  <c r="E428" i="20" s="1"/>
  <c r="C427" i="20"/>
  <c r="E427" i="20" s="1"/>
  <c r="C426" i="20"/>
  <c r="C425" i="20"/>
  <c r="C424" i="20"/>
  <c r="C423" i="20"/>
  <c r="F423" i="20" s="1"/>
  <c r="G424" i="20" s="1"/>
  <c r="C422" i="20"/>
  <c r="E422" i="20" s="1"/>
  <c r="C421" i="20"/>
  <c r="E421" i="20" s="1"/>
  <c r="C420" i="20"/>
  <c r="C419" i="20"/>
  <c r="F419" i="20" s="1"/>
  <c r="G420" i="20" s="1"/>
  <c r="C418" i="20"/>
  <c r="C417" i="20"/>
  <c r="C416" i="20"/>
  <c r="C415" i="20"/>
  <c r="D415" i="20" s="1"/>
  <c r="C414" i="20"/>
  <c r="C413" i="20"/>
  <c r="C412" i="20"/>
  <c r="D412" i="20" s="1"/>
  <c r="C411" i="20"/>
  <c r="F411" i="20" s="1"/>
  <c r="G412" i="20" s="1"/>
  <c r="C410" i="20"/>
  <c r="D410" i="20" s="1"/>
  <c r="C409" i="20"/>
  <c r="C408" i="20"/>
  <c r="C407" i="20"/>
  <c r="C406" i="20"/>
  <c r="C405" i="20"/>
  <c r="F405" i="20" s="1"/>
  <c r="G406" i="20" s="1"/>
  <c r="C404" i="20"/>
  <c r="C403" i="20"/>
  <c r="C402" i="20"/>
  <c r="D402" i="20" s="1"/>
  <c r="C401" i="20"/>
  <c r="C400" i="20"/>
  <c r="C399" i="20"/>
  <c r="C398" i="20"/>
  <c r="D398" i="20" s="1"/>
  <c r="C397" i="20"/>
  <c r="D397" i="20" s="1"/>
  <c r="C396" i="20"/>
  <c r="E396" i="20" s="1"/>
  <c r="C395" i="20"/>
  <c r="F395" i="20" s="1"/>
  <c r="G396" i="20" s="1"/>
  <c r="C394" i="20"/>
  <c r="F394" i="20" s="1"/>
  <c r="G395" i="20" s="1"/>
  <c r="C393" i="20"/>
  <c r="C392" i="20"/>
  <c r="C391" i="20"/>
  <c r="F391" i="20" s="1"/>
  <c r="G392" i="20" s="1"/>
  <c r="C390" i="20"/>
  <c r="F390" i="20" s="1"/>
  <c r="G391" i="20" s="1"/>
  <c r="C389" i="20"/>
  <c r="C388" i="20"/>
  <c r="E388" i="20" s="1"/>
  <c r="C387" i="20"/>
  <c r="C386" i="20"/>
  <c r="C385" i="20"/>
  <c r="C384" i="20"/>
  <c r="C383" i="20"/>
  <c r="C382" i="20"/>
  <c r="F382" i="20" s="1"/>
  <c r="G383" i="20" s="1"/>
  <c r="C381" i="20"/>
  <c r="C380" i="20"/>
  <c r="D380" i="20" s="1"/>
  <c r="C379" i="20"/>
  <c r="C378" i="20"/>
  <c r="C377" i="20"/>
  <c r="F377" i="20" s="1"/>
  <c r="G378" i="20" s="1"/>
  <c r="C376" i="20"/>
  <c r="C375" i="20"/>
  <c r="E375" i="20" s="1"/>
  <c r="C374" i="20"/>
  <c r="C373" i="20"/>
  <c r="D373" i="20" s="1"/>
  <c r="C372" i="20"/>
  <c r="C371" i="20"/>
  <c r="F371" i="20" s="1"/>
  <c r="G372" i="20" s="1"/>
  <c r="C370" i="20"/>
  <c r="C369" i="20"/>
  <c r="C368" i="20"/>
  <c r="C367" i="20"/>
  <c r="C366" i="20"/>
  <c r="D366" i="20" s="1"/>
  <c r="C365" i="20"/>
  <c r="C364" i="20"/>
  <c r="E364" i="20" s="1"/>
  <c r="C363" i="20"/>
  <c r="C362" i="20"/>
  <c r="F362" i="20" s="1"/>
  <c r="G363" i="20" s="1"/>
  <c r="C361" i="20"/>
  <c r="E361" i="20" s="1"/>
  <c r="C360" i="20"/>
  <c r="C359" i="20"/>
  <c r="E359" i="20" s="1"/>
  <c r="C358" i="20"/>
  <c r="E358" i="20" s="1"/>
  <c r="C357" i="20"/>
  <c r="C356" i="20"/>
  <c r="C355" i="20"/>
  <c r="F355" i="20" s="1"/>
  <c r="G356" i="20" s="1"/>
  <c r="C354" i="20"/>
  <c r="F354" i="20" s="1"/>
  <c r="G355" i="20" s="1"/>
  <c r="C353" i="20"/>
  <c r="C352" i="20"/>
  <c r="F352" i="20" s="1"/>
  <c r="G353" i="20" s="1"/>
  <c r="C351" i="20"/>
  <c r="C350" i="20"/>
  <c r="E350" i="20" s="1"/>
  <c r="C349" i="20"/>
  <c r="F349" i="20" s="1"/>
  <c r="G350" i="20" s="1"/>
  <c r="C348" i="20"/>
  <c r="E348" i="20" s="1"/>
  <c r="C347" i="20"/>
  <c r="E347" i="20" s="1"/>
  <c r="C346" i="20"/>
  <c r="C345" i="20"/>
  <c r="D345" i="20" s="1"/>
  <c r="C344" i="20"/>
  <c r="C343" i="20"/>
  <c r="C342" i="20"/>
  <c r="C341" i="20"/>
  <c r="C340" i="20"/>
  <c r="C339" i="20"/>
  <c r="E339" i="20" s="1"/>
  <c r="C338" i="20"/>
  <c r="C337" i="20"/>
  <c r="C336" i="20"/>
  <c r="D336" i="20" s="1"/>
  <c r="C335" i="20"/>
  <c r="D335" i="20" s="1"/>
  <c r="C334" i="20"/>
  <c r="D334" i="20" s="1"/>
  <c r="C333" i="20"/>
  <c r="C332" i="20"/>
  <c r="D332" i="20" s="1"/>
  <c r="C331" i="20"/>
  <c r="C330" i="20"/>
  <c r="C329" i="20"/>
  <c r="C328" i="20"/>
  <c r="E328" i="20" s="1"/>
  <c r="C327" i="20"/>
  <c r="E327" i="20" s="1"/>
  <c r="C326" i="20"/>
  <c r="E326" i="20" s="1"/>
  <c r="C325" i="20"/>
  <c r="D325" i="20" s="1"/>
  <c r="C324" i="20"/>
  <c r="E324" i="20" s="1"/>
  <c r="C323" i="20"/>
  <c r="C322" i="20"/>
  <c r="F322" i="20" s="1"/>
  <c r="G323" i="20" s="1"/>
  <c r="C321" i="20"/>
  <c r="E321" i="20" s="1"/>
  <c r="C320" i="20"/>
  <c r="D320" i="20" s="1"/>
  <c r="C319" i="20"/>
  <c r="F319" i="20" s="1"/>
  <c r="G320" i="20" s="1"/>
  <c r="C318" i="20"/>
  <c r="C317" i="20"/>
  <c r="C316" i="20"/>
  <c r="C315" i="20"/>
  <c r="F315" i="20" s="1"/>
  <c r="G316" i="20" s="1"/>
  <c r="C314" i="20"/>
  <c r="C313" i="20"/>
  <c r="C312" i="20"/>
  <c r="E312" i="20" s="1"/>
  <c r="C311" i="20"/>
  <c r="D311" i="20" s="1"/>
  <c r="C310" i="20"/>
  <c r="C309" i="20"/>
  <c r="C308" i="20"/>
  <c r="D308" i="20" s="1"/>
  <c r="C307" i="20"/>
  <c r="C306" i="20"/>
  <c r="D306" i="20" s="1"/>
  <c r="C305" i="20"/>
  <c r="C304" i="20"/>
  <c r="C303" i="20"/>
  <c r="F303" i="20" s="1"/>
  <c r="G304" i="20" s="1"/>
  <c r="C302" i="20"/>
  <c r="F302" i="20" s="1"/>
  <c r="G303" i="20" s="1"/>
  <c r="C301" i="20"/>
  <c r="D301" i="20" s="1"/>
  <c r="C300" i="20"/>
  <c r="F300" i="20" s="1"/>
  <c r="G301" i="20" s="1"/>
  <c r="C299" i="20"/>
  <c r="C298" i="20"/>
  <c r="C297" i="20"/>
  <c r="F297" i="20" s="1"/>
  <c r="G298" i="20" s="1"/>
  <c r="C296" i="20"/>
  <c r="C295" i="20"/>
  <c r="C294" i="20"/>
  <c r="C293" i="20"/>
  <c r="C292" i="20"/>
  <c r="C291" i="20"/>
  <c r="E291" i="20" s="1"/>
  <c r="C290" i="20"/>
  <c r="F290" i="20" s="1"/>
  <c r="G291" i="20" s="1"/>
  <c r="C289" i="20"/>
  <c r="E289" i="20" s="1"/>
  <c r="C288" i="20"/>
  <c r="F288" i="20" s="1"/>
  <c r="G289" i="20" s="1"/>
  <c r="C287" i="20"/>
  <c r="E287" i="20" s="1"/>
  <c r="C286" i="20"/>
  <c r="F286" i="20" s="1"/>
  <c r="G287" i="20" s="1"/>
  <c r="C285" i="20"/>
  <c r="C284" i="20"/>
  <c r="C283" i="20"/>
  <c r="C282" i="20"/>
  <c r="F282" i="20" s="1"/>
  <c r="G283" i="20" s="1"/>
  <c r="C281" i="20"/>
  <c r="C280" i="20"/>
  <c r="C279" i="20"/>
  <c r="E279" i="20" s="1"/>
  <c r="C278" i="20"/>
  <c r="C277" i="20"/>
  <c r="F277" i="20" s="1"/>
  <c r="G278" i="20" s="1"/>
  <c r="C276" i="20"/>
  <c r="E276" i="20" s="1"/>
  <c r="C275" i="20"/>
  <c r="F275" i="20" s="1"/>
  <c r="G276" i="20" s="1"/>
  <c r="C274" i="20"/>
  <c r="F274" i="20" s="1"/>
  <c r="G275" i="20" s="1"/>
  <c r="C273" i="20"/>
  <c r="C272" i="20"/>
  <c r="C271" i="20"/>
  <c r="D271" i="20" s="1"/>
  <c r="C270" i="20"/>
  <c r="F270" i="20" s="1"/>
  <c r="G271" i="20" s="1"/>
  <c r="C269" i="20"/>
  <c r="C268" i="20"/>
  <c r="F268" i="20" s="1"/>
  <c r="G269" i="20" s="1"/>
  <c r="C267" i="20"/>
  <c r="E267" i="20" s="1"/>
  <c r="C266" i="20"/>
  <c r="C265" i="20"/>
  <c r="C264" i="20"/>
  <c r="F264" i="20" s="1"/>
  <c r="G265" i="20" s="1"/>
  <c r="C263" i="20"/>
  <c r="F263" i="20" s="1"/>
  <c r="G264" i="20" s="1"/>
  <c r="C262" i="20"/>
  <c r="D262" i="20" s="1"/>
  <c r="C261" i="20"/>
  <c r="D261" i="20" s="1"/>
  <c r="C260" i="20"/>
  <c r="F260" i="20" s="1"/>
  <c r="G261" i="20" s="1"/>
  <c r="C259" i="20"/>
  <c r="C258" i="20"/>
  <c r="E258" i="20" s="1"/>
  <c r="C257" i="20"/>
  <c r="C256" i="20"/>
  <c r="F256" i="20" s="1"/>
  <c r="G257" i="20" s="1"/>
  <c r="C255" i="20"/>
  <c r="C254" i="20"/>
  <c r="C253" i="20"/>
  <c r="F253" i="20" s="1"/>
  <c r="G254" i="20" s="1"/>
  <c r="C252" i="20"/>
  <c r="E252" i="20" s="1"/>
  <c r="C251" i="20"/>
  <c r="F251" i="20" s="1"/>
  <c r="G252" i="20" s="1"/>
  <c r="C250" i="20"/>
  <c r="C249" i="20"/>
  <c r="E249" i="20" s="1"/>
  <c r="C248" i="20"/>
  <c r="C247" i="20"/>
  <c r="E247" i="20" s="1"/>
  <c r="C246" i="20"/>
  <c r="C245" i="20"/>
  <c r="D245" i="20" s="1"/>
  <c r="C244" i="20"/>
  <c r="C243" i="20"/>
  <c r="E243" i="20" s="1"/>
  <c r="C242" i="20"/>
  <c r="C241" i="20"/>
  <c r="C240" i="20"/>
  <c r="D240" i="20" s="1"/>
  <c r="C239" i="20"/>
  <c r="C238" i="20"/>
  <c r="D238" i="20" s="1"/>
  <c r="C237" i="20"/>
  <c r="C236" i="20"/>
  <c r="C235" i="20"/>
  <c r="F235" i="20" s="1"/>
  <c r="G236" i="20" s="1"/>
  <c r="C234" i="20"/>
  <c r="F234" i="20" s="1"/>
  <c r="G235" i="20" s="1"/>
  <c r="C233" i="20"/>
  <c r="F233" i="20" s="1"/>
  <c r="G234" i="20" s="1"/>
  <c r="C232" i="20"/>
  <c r="C231" i="20"/>
  <c r="C230" i="20"/>
  <c r="D230" i="20" s="1"/>
  <c r="C229" i="20"/>
  <c r="C228" i="20"/>
  <c r="C227" i="20"/>
  <c r="D227" i="20" s="1"/>
  <c r="C226" i="20"/>
  <c r="F226" i="20" s="1"/>
  <c r="G227" i="20" s="1"/>
  <c r="C225" i="20"/>
  <c r="E225" i="20" s="1"/>
  <c r="C224" i="20"/>
  <c r="C223" i="20"/>
  <c r="E223" i="20" s="1"/>
  <c r="C222" i="20"/>
  <c r="C221" i="20"/>
  <c r="F221" i="20" s="1"/>
  <c r="G222" i="20" s="1"/>
  <c r="C220" i="20"/>
  <c r="C219" i="20"/>
  <c r="C218" i="20"/>
  <c r="E218" i="20" s="1"/>
  <c r="C217" i="20"/>
  <c r="F217" i="20" s="1"/>
  <c r="G218" i="20" s="1"/>
  <c r="C216" i="20"/>
  <c r="C215" i="20"/>
  <c r="C214" i="20"/>
  <c r="E214" i="20" s="1"/>
  <c r="C213" i="20"/>
  <c r="C212" i="20"/>
  <c r="D212" i="20" s="1"/>
  <c r="C211" i="20"/>
  <c r="D211" i="20" s="1"/>
  <c r="C210" i="20"/>
  <c r="F210" i="20" s="1"/>
  <c r="G211" i="20" s="1"/>
  <c r="C209" i="20"/>
  <c r="C208" i="20"/>
  <c r="F208" i="20" s="1"/>
  <c r="G209" i="20" s="1"/>
  <c r="C207" i="20"/>
  <c r="E207" i="20" s="1"/>
  <c r="C206" i="20"/>
  <c r="D206" i="20" s="1"/>
  <c r="C205" i="20"/>
  <c r="D205" i="20" s="1"/>
  <c r="C204" i="20"/>
  <c r="F204" i="20" s="1"/>
  <c r="G205" i="20" s="1"/>
  <c r="C203" i="20"/>
  <c r="C202" i="20"/>
  <c r="C201" i="20"/>
  <c r="F201" i="20" s="1"/>
  <c r="G202" i="20" s="1"/>
  <c r="C200" i="20"/>
  <c r="F200" i="20" s="1"/>
  <c r="G201" i="20" s="1"/>
  <c r="C199" i="20"/>
  <c r="C198" i="20"/>
  <c r="C197" i="20"/>
  <c r="F197" i="20" s="1"/>
  <c r="G198" i="20" s="1"/>
  <c r="C196" i="20"/>
  <c r="F196" i="20" s="1"/>
  <c r="G197" i="20" s="1"/>
  <c r="C195" i="20"/>
  <c r="D195" i="20" s="1"/>
  <c r="C194" i="20"/>
  <c r="C193" i="20"/>
  <c r="C192" i="20"/>
  <c r="F192" i="20" s="1"/>
  <c r="G193" i="20" s="1"/>
  <c r="C191" i="20"/>
  <c r="C190" i="20"/>
  <c r="F190" i="20" s="1"/>
  <c r="G191" i="20" s="1"/>
  <c r="C189" i="20"/>
  <c r="C188" i="20"/>
  <c r="D188" i="20" s="1"/>
  <c r="C187" i="20"/>
  <c r="D187" i="20" s="1"/>
  <c r="C186" i="20"/>
  <c r="D186" i="20" s="1"/>
  <c r="C185" i="20"/>
  <c r="F185" i="20" s="1"/>
  <c r="G186" i="20" s="1"/>
  <c r="C184" i="20"/>
  <c r="C183" i="20"/>
  <c r="C182" i="20"/>
  <c r="C181" i="20"/>
  <c r="C180" i="20"/>
  <c r="E180" i="20" s="1"/>
  <c r="C179" i="20"/>
  <c r="E179" i="20" s="1"/>
  <c r="C178" i="20"/>
  <c r="D178" i="20" s="1"/>
  <c r="C177" i="20"/>
  <c r="D177" i="20" s="1"/>
  <c r="C176" i="20"/>
  <c r="D176" i="20" s="1"/>
  <c r="C175" i="20"/>
  <c r="E175" i="20" s="1"/>
  <c r="C174" i="20"/>
  <c r="C173" i="20"/>
  <c r="C172" i="20"/>
  <c r="C171" i="20"/>
  <c r="F171" i="20" s="1"/>
  <c r="G172" i="20" s="1"/>
  <c r="C170" i="20"/>
  <c r="E170" i="20" s="1"/>
  <c r="C169" i="20"/>
  <c r="C168" i="20"/>
  <c r="C167" i="20"/>
  <c r="F167" i="20" s="1"/>
  <c r="G168" i="20" s="1"/>
  <c r="C166" i="20"/>
  <c r="C165" i="20"/>
  <c r="F165" i="20" s="1"/>
  <c r="G166" i="20" s="1"/>
  <c r="C164" i="20"/>
  <c r="D164" i="20" s="1"/>
  <c r="C163" i="20"/>
  <c r="D163" i="20" s="1"/>
  <c r="C162" i="20"/>
  <c r="C161" i="20"/>
  <c r="E161" i="20" s="1"/>
  <c r="C160" i="20"/>
  <c r="C159" i="20"/>
  <c r="C158" i="20"/>
  <c r="D158" i="20" s="1"/>
  <c r="C157" i="20"/>
  <c r="F157" i="20" s="1"/>
  <c r="G158" i="20" s="1"/>
  <c r="C156" i="20"/>
  <c r="C155" i="20"/>
  <c r="F155" i="20" s="1"/>
  <c r="G156" i="20" s="1"/>
  <c r="C154" i="20"/>
  <c r="C153" i="20"/>
  <c r="C152" i="20"/>
  <c r="C151" i="20"/>
  <c r="D151" i="20" s="1"/>
  <c r="C150" i="20"/>
  <c r="E150" i="20" s="1"/>
  <c r="C149" i="20"/>
  <c r="C148" i="20"/>
  <c r="C147" i="20"/>
  <c r="C146" i="20"/>
  <c r="F146" i="20" s="1"/>
  <c r="G147" i="20" s="1"/>
  <c r="C145" i="20"/>
  <c r="D145" i="20" s="1"/>
  <c r="C144" i="20"/>
  <c r="F144" i="20" s="1"/>
  <c r="G145" i="20" s="1"/>
  <c r="C143" i="20"/>
  <c r="C142" i="20"/>
  <c r="F142" i="20" s="1"/>
  <c r="G143" i="20" s="1"/>
  <c r="C141" i="20"/>
  <c r="E141" i="20" s="1"/>
  <c r="C140" i="20"/>
  <c r="C139" i="20"/>
  <c r="F139" i="20" s="1"/>
  <c r="G140" i="20" s="1"/>
  <c r="C138" i="20"/>
  <c r="D138" i="20" s="1"/>
  <c r="C137" i="20"/>
  <c r="C136" i="20"/>
  <c r="F136" i="20" s="1"/>
  <c r="G137" i="20" s="1"/>
  <c r="C135" i="20"/>
  <c r="E135" i="20" s="1"/>
  <c r="C134" i="20"/>
  <c r="D134" i="20" s="1"/>
  <c r="C133" i="20"/>
  <c r="D133" i="20" s="1"/>
  <c r="C132" i="20"/>
  <c r="C131" i="20"/>
  <c r="D131" i="20" s="1"/>
  <c r="C130" i="20"/>
  <c r="E130" i="20" s="1"/>
  <c r="C129" i="20"/>
  <c r="E129" i="20" s="1"/>
  <c r="C128" i="20"/>
  <c r="C127" i="20"/>
  <c r="C126" i="20"/>
  <c r="F126" i="20" s="1"/>
  <c r="G127" i="20" s="1"/>
  <c r="C125" i="20"/>
  <c r="F125" i="20" s="1"/>
  <c r="G126" i="20" s="1"/>
  <c r="C124" i="20"/>
  <c r="E124" i="20" s="1"/>
  <c r="C123" i="20"/>
  <c r="D123" i="20" s="1"/>
  <c r="C122" i="20"/>
  <c r="F122" i="20" s="1"/>
  <c r="G123" i="20" s="1"/>
  <c r="C121" i="20"/>
  <c r="F121" i="20" s="1"/>
  <c r="G122" i="20" s="1"/>
  <c r="C120" i="20"/>
  <c r="D120" i="20" s="1"/>
  <c r="C119" i="20"/>
  <c r="F119" i="20" s="1"/>
  <c r="G120" i="20" s="1"/>
  <c r="C118" i="20"/>
  <c r="C117" i="20"/>
  <c r="F117" i="20" s="1"/>
  <c r="G118" i="20" s="1"/>
  <c r="C116" i="20"/>
  <c r="C115" i="20"/>
  <c r="E115" i="20" s="1"/>
  <c r="C114" i="20"/>
  <c r="D114" i="20" s="1"/>
  <c r="C113" i="20"/>
  <c r="C112" i="20"/>
  <c r="F112" i="20" s="1"/>
  <c r="G113" i="20" s="1"/>
  <c r="C111" i="20"/>
  <c r="E111" i="20" s="1"/>
  <c r="C110" i="20"/>
  <c r="D110" i="20" s="1"/>
  <c r="C109" i="20"/>
  <c r="F109" i="20" s="1"/>
  <c r="G110" i="20" s="1"/>
  <c r="C108" i="20"/>
  <c r="F108" i="20" s="1"/>
  <c r="G109" i="20" s="1"/>
  <c r="C107" i="20"/>
  <c r="C106" i="20"/>
  <c r="F106" i="20" s="1"/>
  <c r="G107" i="20" s="1"/>
  <c r="C105" i="20"/>
  <c r="C104" i="20"/>
  <c r="C103" i="20"/>
  <c r="D103" i="20" s="1"/>
  <c r="C102" i="20"/>
  <c r="C101" i="20"/>
  <c r="E101" i="20" s="1"/>
  <c r="C100" i="20"/>
  <c r="D100" i="20" s="1"/>
  <c r="C99" i="20"/>
  <c r="C98" i="20"/>
  <c r="C97" i="20"/>
  <c r="E97" i="20" s="1"/>
  <c r="C96" i="20"/>
  <c r="C95" i="20"/>
  <c r="C94" i="20"/>
  <c r="C93" i="20"/>
  <c r="E93" i="20" s="1"/>
  <c r="C92" i="20"/>
  <c r="E92" i="20" s="1"/>
  <c r="C91" i="20"/>
  <c r="C90" i="20"/>
  <c r="E90" i="20" s="1"/>
  <c r="C89" i="20"/>
  <c r="C88" i="20"/>
  <c r="C87" i="20"/>
  <c r="C86" i="20"/>
  <c r="E86" i="20" s="1"/>
  <c r="C85" i="20"/>
  <c r="F85" i="20" s="1"/>
  <c r="G86" i="20" s="1"/>
  <c r="C84" i="20"/>
  <c r="E84" i="20" s="1"/>
  <c r="C83" i="20"/>
  <c r="D83" i="20" s="1"/>
  <c r="C82" i="20"/>
  <c r="D82" i="20" s="1"/>
  <c r="C81" i="20"/>
  <c r="C80" i="20"/>
  <c r="F80" i="20" s="1"/>
  <c r="G81" i="20" s="1"/>
  <c r="C79" i="20"/>
  <c r="F79" i="20" s="1"/>
  <c r="G80" i="20" s="1"/>
  <c r="C78" i="20"/>
  <c r="E78" i="20" s="1"/>
  <c r="C77" i="20"/>
  <c r="C76" i="20"/>
  <c r="D76" i="20" s="1"/>
  <c r="C75" i="20"/>
  <c r="F75" i="20" s="1"/>
  <c r="G76" i="20" s="1"/>
  <c r="C74" i="20"/>
  <c r="C73" i="20"/>
  <c r="C72" i="20"/>
  <c r="C71" i="20"/>
  <c r="F71" i="20" s="1"/>
  <c r="G72" i="20" s="1"/>
  <c r="C70" i="20"/>
  <c r="C69" i="20"/>
  <c r="F69" i="20" s="1"/>
  <c r="G70" i="20" s="1"/>
  <c r="C68" i="20"/>
  <c r="E68" i="20" s="1"/>
  <c r="C67" i="20"/>
  <c r="D67" i="20" s="1"/>
  <c r="C66" i="20"/>
  <c r="C65" i="20"/>
  <c r="C64" i="20"/>
  <c r="F64" i="20" s="1"/>
  <c r="G65" i="20" s="1"/>
  <c r="C63" i="20"/>
  <c r="C62" i="20"/>
  <c r="D62" i="20" s="1"/>
  <c r="C61" i="20"/>
  <c r="E61" i="20" s="1"/>
  <c r="C60" i="20"/>
  <c r="C59" i="20"/>
  <c r="C58" i="20"/>
  <c r="C57" i="20"/>
  <c r="D57" i="20" s="1"/>
  <c r="C56" i="20"/>
  <c r="E56" i="20" s="1"/>
  <c r="C55" i="20"/>
  <c r="F55" i="20" s="1"/>
  <c r="G56" i="20" s="1"/>
  <c r="C54" i="20"/>
  <c r="C53" i="20"/>
  <c r="C52" i="20"/>
  <c r="F52" i="20" s="1"/>
  <c r="G53" i="20" s="1"/>
  <c r="C51" i="20"/>
  <c r="D51" i="20" s="1"/>
  <c r="C50" i="20"/>
  <c r="C49" i="20"/>
  <c r="D49" i="20" s="1"/>
  <c r="C48" i="20"/>
  <c r="F48" i="20" s="1"/>
  <c r="G49" i="20" s="1"/>
  <c r="C47" i="20"/>
  <c r="C46" i="20"/>
  <c r="C45" i="20"/>
  <c r="F45" i="20" s="1"/>
  <c r="G46" i="20" s="1"/>
  <c r="C44" i="20"/>
  <c r="C43" i="20"/>
  <c r="F43" i="20" s="1"/>
  <c r="G44" i="20" s="1"/>
  <c r="C42" i="20"/>
  <c r="D42" i="20" s="1"/>
  <c r="C41" i="20"/>
  <c r="C40" i="20"/>
  <c r="F40" i="20" s="1"/>
  <c r="G41" i="20" s="1"/>
  <c r="C39" i="20"/>
  <c r="F39" i="20" s="1"/>
  <c r="G40" i="20" s="1"/>
  <c r="C38" i="20"/>
  <c r="E38" i="20" s="1"/>
  <c r="C37" i="20"/>
  <c r="E37" i="20" s="1"/>
  <c r="C36" i="20"/>
  <c r="E36" i="20" s="1"/>
  <c r="C35" i="20"/>
  <c r="F35" i="20" s="1"/>
  <c r="G36" i="20" s="1"/>
  <c r="C34" i="20"/>
  <c r="D34" i="20" s="1"/>
  <c r="C33" i="20"/>
  <c r="E33" i="20" s="1"/>
  <c r="C32" i="20"/>
  <c r="C31" i="20"/>
  <c r="E31" i="20" s="1"/>
  <c r="C30" i="20"/>
  <c r="E30" i="20" s="1"/>
  <c r="C29" i="20"/>
  <c r="C28" i="20"/>
  <c r="F28" i="20" s="1"/>
  <c r="G29" i="20" s="1"/>
  <c r="M27" i="20"/>
  <c r="C27" i="20"/>
  <c r="D27" i="20" s="1"/>
  <c r="C26" i="20"/>
  <c r="K25" i="20"/>
  <c r="J25" i="20" a="1"/>
  <c r="J25" i="20" s="1"/>
  <c r="C25" i="20"/>
  <c r="D25" i="20" s="1"/>
  <c r="C24" i="20"/>
  <c r="D24" i="20" s="1"/>
  <c r="C23" i="20"/>
  <c r="C22" i="20"/>
  <c r="C21" i="20"/>
  <c r="F21" i="20" s="1"/>
  <c r="G22" i="20" s="1"/>
  <c r="C20" i="20"/>
  <c r="F20" i="20" s="1"/>
  <c r="G21" i="20" s="1"/>
  <c r="C19" i="20"/>
  <c r="E19" i="20" s="1"/>
  <c r="C18" i="20"/>
  <c r="D18" i="20" s="1"/>
  <c r="C17" i="20"/>
  <c r="D17" i="20" s="1"/>
  <c r="C16" i="20"/>
  <c r="C15" i="20"/>
  <c r="D15" i="20" s="1"/>
  <c r="C14" i="20"/>
  <c r="C13" i="20"/>
  <c r="C12" i="20"/>
  <c r="E12" i="20" s="1"/>
  <c r="C11" i="20"/>
  <c r="F11" i="20" s="1"/>
  <c r="G12" i="20" s="1"/>
  <c r="C10" i="20"/>
  <c r="C9" i="20"/>
  <c r="C8" i="20"/>
  <c r="F8" i="20" s="1"/>
  <c r="G9" i="20" s="1"/>
  <c r="C7" i="20"/>
  <c r="C6" i="20"/>
  <c r="F6" i="20" s="1"/>
  <c r="G7" i="20" s="1"/>
  <c r="C5" i="20"/>
  <c r="C4" i="20"/>
  <c r="F4" i="20" s="1"/>
  <c r="G5" i="20" s="1"/>
  <c r="C3" i="20"/>
  <c r="E1356" i="19"/>
  <c r="E1355" i="19"/>
  <c r="E1354" i="19"/>
  <c r="E1353" i="19"/>
  <c r="E1352" i="19"/>
  <c r="E1351" i="19"/>
  <c r="E1350" i="19"/>
  <c r="E1349" i="19"/>
  <c r="E1348" i="19"/>
  <c r="E1347" i="19"/>
  <c r="E1346" i="19"/>
  <c r="E1345" i="19"/>
  <c r="E1344" i="19"/>
  <c r="E1343" i="19"/>
  <c r="E1342" i="19"/>
  <c r="E1341" i="19"/>
  <c r="E1340" i="19"/>
  <c r="E1339" i="19"/>
  <c r="E1338" i="19"/>
  <c r="E1337" i="19"/>
  <c r="E1336" i="19"/>
  <c r="E1335" i="19"/>
  <c r="E1334" i="19"/>
  <c r="E1333" i="19"/>
  <c r="E1332" i="19"/>
  <c r="E1331" i="19"/>
  <c r="E1330" i="19"/>
  <c r="E1329" i="19"/>
  <c r="E1328" i="19"/>
  <c r="E1327" i="19"/>
  <c r="E1326" i="19"/>
  <c r="E1325" i="19"/>
  <c r="E1324" i="19"/>
  <c r="E1323" i="19"/>
  <c r="E1322" i="19"/>
  <c r="E1321" i="19"/>
  <c r="E1320" i="19"/>
  <c r="E1319" i="19"/>
  <c r="E1318" i="19"/>
  <c r="E1317" i="19"/>
  <c r="E1316" i="19"/>
  <c r="E1315" i="19"/>
  <c r="E1314" i="19"/>
  <c r="E1313" i="19"/>
  <c r="E1312" i="19"/>
  <c r="E1311" i="19"/>
  <c r="E1310" i="19"/>
  <c r="E1309" i="19"/>
  <c r="E1308" i="19"/>
  <c r="E1307" i="19"/>
  <c r="E1306" i="19"/>
  <c r="E1305" i="19"/>
  <c r="E1304" i="19"/>
  <c r="E1303" i="19"/>
  <c r="E1302" i="19"/>
  <c r="E1301" i="19"/>
  <c r="E1300" i="19"/>
  <c r="E1299" i="19"/>
  <c r="E1298" i="19"/>
  <c r="E1297" i="19"/>
  <c r="E1296" i="19"/>
  <c r="E1295" i="19"/>
  <c r="E1294" i="19"/>
  <c r="E1293" i="19"/>
  <c r="E1292" i="19"/>
  <c r="E1291" i="19"/>
  <c r="E1290" i="19"/>
  <c r="E1289" i="19"/>
  <c r="E1288" i="19"/>
  <c r="E1287" i="19"/>
  <c r="E1286" i="19"/>
  <c r="E1285" i="19"/>
  <c r="E1284" i="19"/>
  <c r="E1283" i="19"/>
  <c r="E1282" i="19"/>
  <c r="E1281" i="19"/>
  <c r="E1280" i="19"/>
  <c r="E1279" i="19"/>
  <c r="E1278" i="19"/>
  <c r="E1277" i="19"/>
  <c r="E1276" i="19"/>
  <c r="E1275" i="19"/>
  <c r="E1274" i="19"/>
  <c r="E1273" i="19"/>
  <c r="E1272" i="19"/>
  <c r="E1271" i="19"/>
  <c r="E1270" i="19"/>
  <c r="E1269" i="19"/>
  <c r="E1268" i="19"/>
  <c r="E1267" i="19"/>
  <c r="E1266" i="19"/>
  <c r="E1265" i="19"/>
  <c r="E1264" i="19"/>
  <c r="E1263" i="19"/>
  <c r="E1262" i="19"/>
  <c r="E1261" i="19"/>
  <c r="E1260" i="19"/>
  <c r="E1259" i="19"/>
  <c r="E1258" i="19"/>
  <c r="E1257" i="19"/>
  <c r="E1256" i="19"/>
  <c r="E1255" i="19"/>
  <c r="E1254" i="19"/>
  <c r="E1253" i="19"/>
  <c r="E1252" i="19"/>
  <c r="E1251" i="19"/>
  <c r="E1250" i="19"/>
  <c r="E1249" i="19"/>
  <c r="E1248" i="19"/>
  <c r="E1247" i="19"/>
  <c r="E1246" i="19"/>
  <c r="E1245" i="19"/>
  <c r="E1244" i="19"/>
  <c r="E1243" i="19"/>
  <c r="E1242" i="19"/>
  <c r="E1241" i="19"/>
  <c r="E1240" i="19"/>
  <c r="E1239" i="19"/>
  <c r="E1238" i="19"/>
  <c r="E1237" i="19"/>
  <c r="E1236" i="19"/>
  <c r="E1235" i="19"/>
  <c r="E1234" i="19"/>
  <c r="E1233" i="19"/>
  <c r="E1232" i="19"/>
  <c r="E1231" i="19"/>
  <c r="E1230" i="19"/>
  <c r="E1229" i="19"/>
  <c r="E1228" i="19"/>
  <c r="E1227" i="19"/>
  <c r="E1226" i="19"/>
  <c r="E1225" i="19"/>
  <c r="E1224" i="19"/>
  <c r="E1223" i="19"/>
  <c r="E1222" i="19"/>
  <c r="E1221" i="19"/>
  <c r="E1220" i="19"/>
  <c r="E1219" i="19"/>
  <c r="E1218" i="19"/>
  <c r="E1217" i="19"/>
  <c r="E1216" i="19"/>
  <c r="E1215" i="19"/>
  <c r="E1214" i="19"/>
  <c r="E1213" i="19"/>
  <c r="E1212" i="19"/>
  <c r="E1211" i="19"/>
  <c r="E1210" i="19"/>
  <c r="E1209" i="19"/>
  <c r="E1208" i="19"/>
  <c r="E1207" i="19"/>
  <c r="E1206" i="19"/>
  <c r="E1205" i="19"/>
  <c r="E1204" i="19"/>
  <c r="E1203" i="19"/>
  <c r="E1202" i="19"/>
  <c r="E1201" i="19"/>
  <c r="E1200" i="19"/>
  <c r="E1199" i="19"/>
  <c r="E1198" i="19"/>
  <c r="E1197" i="19"/>
  <c r="E1196" i="19"/>
  <c r="E1195" i="19"/>
  <c r="E1194" i="19"/>
  <c r="E1193" i="19"/>
  <c r="E1192" i="19"/>
  <c r="E1191" i="19"/>
  <c r="E1190" i="19"/>
  <c r="E1189" i="19"/>
  <c r="E1188" i="19"/>
  <c r="E1187" i="19"/>
  <c r="E1186" i="19"/>
  <c r="E1185" i="19"/>
  <c r="E1184" i="19"/>
  <c r="E1183" i="19"/>
  <c r="E1182" i="19"/>
  <c r="E1181" i="19"/>
  <c r="E1180" i="19"/>
  <c r="E1179" i="19"/>
  <c r="E1178" i="19"/>
  <c r="E1177" i="19"/>
  <c r="E1176" i="19"/>
  <c r="E1175" i="19"/>
  <c r="E1174" i="19"/>
  <c r="E1173" i="19"/>
  <c r="E1172" i="19"/>
  <c r="E1171" i="19"/>
  <c r="E1170" i="19"/>
  <c r="E1169" i="19"/>
  <c r="E1168" i="19"/>
  <c r="E1167" i="19"/>
  <c r="E1166" i="19"/>
  <c r="E1165" i="19"/>
  <c r="E1164" i="19"/>
  <c r="E1163" i="19"/>
  <c r="E1162" i="19"/>
  <c r="E1161" i="19"/>
  <c r="E1160" i="19"/>
  <c r="E1159" i="19"/>
  <c r="E1158" i="19"/>
  <c r="E1157" i="19"/>
  <c r="E1156" i="19"/>
  <c r="E1155" i="19"/>
  <c r="E1154" i="19"/>
  <c r="E1153" i="19"/>
  <c r="E1152" i="19"/>
  <c r="E1151" i="19"/>
  <c r="E1150" i="19"/>
  <c r="E1149" i="19"/>
  <c r="E1148" i="19"/>
  <c r="E1147" i="19"/>
  <c r="E1146" i="19"/>
  <c r="E1145" i="19"/>
  <c r="E1144" i="19"/>
  <c r="E1143" i="19"/>
  <c r="E1142" i="19"/>
  <c r="E1141" i="19"/>
  <c r="E1140" i="19"/>
  <c r="E1139" i="19"/>
  <c r="E1138" i="19"/>
  <c r="E1137" i="19"/>
  <c r="E1136" i="19"/>
  <c r="E1135" i="19"/>
  <c r="E1134" i="19"/>
  <c r="E1133" i="19"/>
  <c r="E1132" i="19"/>
  <c r="E1131" i="19"/>
  <c r="E1130" i="19"/>
  <c r="E1129" i="19"/>
  <c r="E1128" i="19"/>
  <c r="E1127" i="19"/>
  <c r="E1126" i="19"/>
  <c r="E1125" i="19"/>
  <c r="E1124" i="19"/>
  <c r="E1123" i="19"/>
  <c r="E1122" i="19"/>
  <c r="E1121" i="19"/>
  <c r="E1120" i="19"/>
  <c r="E1119" i="19"/>
  <c r="E1118" i="19"/>
  <c r="E1117" i="19"/>
  <c r="E1116" i="19"/>
  <c r="E1115" i="19"/>
  <c r="E1114" i="19"/>
  <c r="E1113" i="19"/>
  <c r="E1112" i="19"/>
  <c r="E1111" i="19"/>
  <c r="E1110" i="19"/>
  <c r="E1109" i="19"/>
  <c r="E1108" i="19"/>
  <c r="E1107" i="19"/>
  <c r="E1106" i="19"/>
  <c r="E1105" i="19"/>
  <c r="E1104" i="19"/>
  <c r="E1103" i="19"/>
  <c r="E1102" i="19"/>
  <c r="E1101" i="19"/>
  <c r="E1100" i="19"/>
  <c r="E1099" i="19"/>
  <c r="E1098" i="19"/>
  <c r="E1097" i="19"/>
  <c r="E1096" i="19"/>
  <c r="E1095" i="19"/>
  <c r="E1094" i="19"/>
  <c r="E1093" i="19"/>
  <c r="E1092" i="19"/>
  <c r="E1091" i="19"/>
  <c r="E1090" i="19"/>
  <c r="E1089" i="19"/>
  <c r="E1088" i="19"/>
  <c r="E1087" i="19"/>
  <c r="E1086" i="19"/>
  <c r="E1085" i="19"/>
  <c r="E1084" i="19"/>
  <c r="E1083" i="19"/>
  <c r="E1082" i="19"/>
  <c r="E1081" i="19"/>
  <c r="E1080" i="19"/>
  <c r="E1079" i="19"/>
  <c r="E1078" i="19"/>
  <c r="E1077" i="19"/>
  <c r="E1076" i="19"/>
  <c r="E1075" i="19"/>
  <c r="E1074" i="19"/>
  <c r="E1073" i="19"/>
  <c r="E1072" i="19"/>
  <c r="E1071" i="19"/>
  <c r="E1070" i="19"/>
  <c r="E1069" i="19"/>
  <c r="E1068" i="19"/>
  <c r="E1067" i="19"/>
  <c r="E1066" i="19"/>
  <c r="E1065" i="19"/>
  <c r="E1064" i="19"/>
  <c r="E1063" i="19"/>
  <c r="E1062" i="19"/>
  <c r="E1061" i="19"/>
  <c r="E1060" i="19"/>
  <c r="E1059" i="19"/>
  <c r="E1058" i="19"/>
  <c r="E1057" i="19"/>
  <c r="E1056" i="19"/>
  <c r="E1055" i="19"/>
  <c r="E1054" i="19"/>
  <c r="E1053" i="19"/>
  <c r="E1052" i="19"/>
  <c r="E1051" i="19"/>
  <c r="E1050" i="19"/>
  <c r="E1049" i="19"/>
  <c r="E1048" i="19"/>
  <c r="E1047" i="19"/>
  <c r="E1046" i="19"/>
  <c r="E1045" i="19"/>
  <c r="E1044" i="19"/>
  <c r="E1043" i="19"/>
  <c r="E1042" i="19"/>
  <c r="E1041" i="19"/>
  <c r="E1040" i="19"/>
  <c r="E1039" i="19"/>
  <c r="E1038" i="19"/>
  <c r="E1037" i="19"/>
  <c r="E1036" i="19"/>
  <c r="E1035" i="19"/>
  <c r="E1034" i="19"/>
  <c r="E1033" i="19"/>
  <c r="E1032" i="19"/>
  <c r="E1031" i="19"/>
  <c r="E1030" i="19"/>
  <c r="E1029" i="19"/>
  <c r="E1028" i="19"/>
  <c r="E1027" i="19"/>
  <c r="E1026" i="19"/>
  <c r="E1025" i="19"/>
  <c r="E1024" i="19"/>
  <c r="E1023" i="19"/>
  <c r="E1022" i="19"/>
  <c r="E1021" i="19"/>
  <c r="E1020" i="19"/>
  <c r="E1019" i="19"/>
  <c r="E1018" i="19"/>
  <c r="E1017" i="19"/>
  <c r="E1016" i="19"/>
  <c r="E1015" i="19"/>
  <c r="E1014" i="19"/>
  <c r="E1013" i="19"/>
  <c r="E1012" i="19"/>
  <c r="E1011" i="19"/>
  <c r="E1010" i="19"/>
  <c r="E1009" i="19"/>
  <c r="E1008" i="19"/>
  <c r="E1007" i="19"/>
  <c r="E1006" i="19"/>
  <c r="E1005" i="19"/>
  <c r="E1004" i="19"/>
  <c r="E1003" i="19"/>
  <c r="E1002" i="19"/>
  <c r="E1001" i="19"/>
  <c r="E1000" i="19"/>
  <c r="E999" i="19"/>
  <c r="E998" i="19"/>
  <c r="E997" i="19"/>
  <c r="E996" i="19"/>
  <c r="E995" i="19"/>
  <c r="E994" i="19"/>
  <c r="E993" i="19"/>
  <c r="E992" i="19"/>
  <c r="E991" i="19"/>
  <c r="E990" i="19"/>
  <c r="E989" i="19"/>
  <c r="E988" i="19"/>
  <c r="E987" i="19"/>
  <c r="E986" i="19"/>
  <c r="E985" i="19"/>
  <c r="E984" i="19"/>
  <c r="E983" i="19"/>
  <c r="E982" i="19"/>
  <c r="E981" i="19"/>
  <c r="E980" i="19"/>
  <c r="E979" i="19"/>
  <c r="E978" i="19"/>
  <c r="E977" i="19"/>
  <c r="E976" i="19"/>
  <c r="E975" i="19"/>
  <c r="E974" i="19"/>
  <c r="E973" i="19"/>
  <c r="E972" i="19"/>
  <c r="E971" i="19"/>
  <c r="E970" i="19"/>
  <c r="E969" i="19"/>
  <c r="E968" i="19"/>
  <c r="E967" i="19"/>
  <c r="E966" i="19"/>
  <c r="E965" i="19"/>
  <c r="E964" i="19"/>
  <c r="E963" i="19"/>
  <c r="E962" i="19"/>
  <c r="E961" i="19"/>
  <c r="E960" i="19"/>
  <c r="E959" i="19"/>
  <c r="E958" i="19"/>
  <c r="E957" i="19"/>
  <c r="E956" i="19"/>
  <c r="E955" i="19"/>
  <c r="E954" i="19"/>
  <c r="E953" i="19"/>
  <c r="E952" i="19"/>
  <c r="E951" i="19"/>
  <c r="E950" i="19"/>
  <c r="E949" i="19"/>
  <c r="E948" i="19"/>
  <c r="E947" i="19"/>
  <c r="E946" i="19"/>
  <c r="E945" i="19"/>
  <c r="E944" i="19"/>
  <c r="E943" i="19"/>
  <c r="E942" i="19"/>
  <c r="E941" i="19"/>
  <c r="E940" i="19"/>
  <c r="E939" i="19"/>
  <c r="E938" i="19"/>
  <c r="E937" i="19"/>
  <c r="E936" i="19"/>
  <c r="E935" i="19"/>
  <c r="E934" i="19"/>
  <c r="E933" i="19"/>
  <c r="E932" i="19"/>
  <c r="E931" i="19"/>
  <c r="E930" i="19"/>
  <c r="E929" i="19"/>
  <c r="E928" i="19"/>
  <c r="E927" i="19"/>
  <c r="E926" i="19"/>
  <c r="E925" i="19"/>
  <c r="E924" i="19"/>
  <c r="E923" i="19"/>
  <c r="E922" i="19"/>
  <c r="E921" i="19"/>
  <c r="E920" i="19"/>
  <c r="E919" i="19"/>
  <c r="E918" i="19"/>
  <c r="E917" i="19"/>
  <c r="E916" i="19"/>
  <c r="E915" i="19"/>
  <c r="E914" i="19"/>
  <c r="E913" i="19"/>
  <c r="E912" i="19"/>
  <c r="E911" i="19"/>
  <c r="E910" i="19"/>
  <c r="E909" i="19"/>
  <c r="E908" i="19"/>
  <c r="E907" i="19"/>
  <c r="E906" i="19"/>
  <c r="E905" i="19"/>
  <c r="E904" i="19"/>
  <c r="E903" i="19"/>
  <c r="E902" i="19"/>
  <c r="E901" i="19"/>
  <c r="E900" i="19"/>
  <c r="E899" i="19"/>
  <c r="E898" i="19"/>
  <c r="E897" i="19"/>
  <c r="E896" i="19"/>
  <c r="E895" i="19"/>
  <c r="E894" i="19"/>
  <c r="E893" i="19"/>
  <c r="E892" i="19"/>
  <c r="E891" i="19"/>
  <c r="E890" i="19"/>
  <c r="E889" i="19"/>
  <c r="E888" i="19"/>
  <c r="E887" i="19"/>
  <c r="E886" i="19"/>
  <c r="E885" i="19"/>
  <c r="E884" i="19"/>
  <c r="E883" i="19"/>
  <c r="E882" i="19"/>
  <c r="E881" i="19"/>
  <c r="E880" i="19"/>
  <c r="E879" i="19"/>
  <c r="E878" i="19"/>
  <c r="E877" i="19"/>
  <c r="E876" i="19"/>
  <c r="E875" i="19"/>
  <c r="E874" i="19"/>
  <c r="E873" i="19"/>
  <c r="E872" i="19"/>
  <c r="E871" i="19"/>
  <c r="E870" i="19"/>
  <c r="E869" i="19"/>
  <c r="E868" i="19"/>
  <c r="E867" i="19"/>
  <c r="E866" i="19"/>
  <c r="E865" i="19"/>
  <c r="E864" i="19"/>
  <c r="E863" i="19"/>
  <c r="E862" i="19"/>
  <c r="E861" i="19"/>
  <c r="E860" i="19"/>
  <c r="E859" i="19"/>
  <c r="E858" i="19"/>
  <c r="E857" i="19"/>
  <c r="E856" i="19"/>
  <c r="E855" i="19"/>
  <c r="E854" i="19"/>
  <c r="E853" i="19"/>
  <c r="E852" i="19"/>
  <c r="E851" i="19"/>
  <c r="E850" i="19"/>
  <c r="E849" i="19"/>
  <c r="E848" i="19"/>
  <c r="E847" i="19"/>
  <c r="E846" i="19"/>
  <c r="E845" i="19"/>
  <c r="E844" i="19"/>
  <c r="E843" i="19"/>
  <c r="E842" i="19"/>
  <c r="E841" i="19"/>
  <c r="E840" i="19"/>
  <c r="E839" i="19"/>
  <c r="E838" i="19"/>
  <c r="E837" i="19"/>
  <c r="E836" i="19"/>
  <c r="E835" i="19"/>
  <c r="E834" i="19"/>
  <c r="E833" i="19"/>
  <c r="E832" i="19"/>
  <c r="E831" i="19"/>
  <c r="E830" i="19"/>
  <c r="E829" i="19"/>
  <c r="E828" i="19"/>
  <c r="E827" i="19"/>
  <c r="E826" i="19"/>
  <c r="E825" i="19"/>
  <c r="E824" i="19"/>
  <c r="E823" i="19"/>
  <c r="E822" i="19"/>
  <c r="E821" i="19"/>
  <c r="E820" i="19"/>
  <c r="E819" i="19"/>
  <c r="E818" i="19"/>
  <c r="E817" i="19"/>
  <c r="E816" i="19"/>
  <c r="E815" i="19"/>
  <c r="E814" i="19"/>
  <c r="E813" i="19"/>
  <c r="E812" i="19"/>
  <c r="E811" i="19"/>
  <c r="E810" i="19"/>
  <c r="E809" i="19"/>
  <c r="E808" i="19"/>
  <c r="E807" i="19"/>
  <c r="E806" i="19"/>
  <c r="E805" i="19"/>
  <c r="E804" i="19"/>
  <c r="E803" i="19"/>
  <c r="E802" i="19"/>
  <c r="E801" i="19"/>
  <c r="E800" i="19"/>
  <c r="E799" i="19"/>
  <c r="E798" i="19"/>
  <c r="E797" i="19"/>
  <c r="E796" i="19"/>
  <c r="E795" i="19"/>
  <c r="E794" i="19"/>
  <c r="E793" i="19"/>
  <c r="E792" i="19"/>
  <c r="E791" i="19"/>
  <c r="E790" i="19"/>
  <c r="E789" i="19"/>
  <c r="E788" i="19"/>
  <c r="E787" i="19"/>
  <c r="E786" i="19"/>
  <c r="E785" i="19"/>
  <c r="E784" i="19"/>
  <c r="E783" i="19"/>
  <c r="E782" i="19"/>
  <c r="E781" i="19"/>
  <c r="E780" i="19"/>
  <c r="E779" i="19"/>
  <c r="E778" i="19"/>
  <c r="E777" i="19"/>
  <c r="E776" i="19"/>
  <c r="E775" i="19"/>
  <c r="E774" i="19"/>
  <c r="E773" i="19"/>
  <c r="E772" i="19"/>
  <c r="E771" i="19"/>
  <c r="E770" i="19"/>
  <c r="E769" i="19"/>
  <c r="E768" i="19"/>
  <c r="E767" i="19"/>
  <c r="E766" i="19"/>
  <c r="E765" i="19"/>
  <c r="E764" i="19"/>
  <c r="E763" i="19"/>
  <c r="E762" i="19"/>
  <c r="E761" i="19"/>
  <c r="E760" i="19"/>
  <c r="E759" i="19"/>
  <c r="E758" i="19"/>
  <c r="E757" i="19"/>
  <c r="E756" i="19"/>
  <c r="E755" i="19"/>
  <c r="E754" i="19"/>
  <c r="E753" i="19"/>
  <c r="E752" i="19"/>
  <c r="E751" i="19"/>
  <c r="E750" i="19"/>
  <c r="E749" i="19"/>
  <c r="E748" i="19"/>
  <c r="E747" i="19"/>
  <c r="E746" i="19"/>
  <c r="E745" i="19"/>
  <c r="E744" i="19"/>
  <c r="E743" i="19"/>
  <c r="E742" i="19"/>
  <c r="E741" i="19"/>
  <c r="E740" i="19"/>
  <c r="E739" i="19"/>
  <c r="E738" i="19"/>
  <c r="E737" i="19"/>
  <c r="E736" i="19"/>
  <c r="E735" i="19"/>
  <c r="E734" i="19"/>
  <c r="E733" i="19"/>
  <c r="E732" i="19"/>
  <c r="E731" i="19"/>
  <c r="E730" i="19"/>
  <c r="E729" i="19"/>
  <c r="E728" i="19"/>
  <c r="E727" i="19"/>
  <c r="E726" i="19"/>
  <c r="E725" i="19"/>
  <c r="E724" i="19"/>
  <c r="E723" i="19"/>
  <c r="E722" i="19"/>
  <c r="E721" i="19"/>
  <c r="E720" i="19"/>
  <c r="E719" i="19"/>
  <c r="E718" i="19"/>
  <c r="E717" i="19"/>
  <c r="E716" i="19"/>
  <c r="E715" i="19"/>
  <c r="E714" i="19"/>
  <c r="E713" i="19"/>
  <c r="E712" i="19"/>
  <c r="E711" i="19"/>
  <c r="E710" i="19"/>
  <c r="E709" i="19"/>
  <c r="E708" i="19"/>
  <c r="E707" i="19"/>
  <c r="E706" i="19"/>
  <c r="E705" i="19"/>
  <c r="E704" i="19"/>
  <c r="E703" i="19"/>
  <c r="E702" i="19"/>
  <c r="E701" i="19"/>
  <c r="E700" i="19"/>
  <c r="E699" i="19"/>
  <c r="E698" i="19"/>
  <c r="E697" i="19"/>
  <c r="E696" i="19"/>
  <c r="E695" i="19"/>
  <c r="E694" i="19"/>
  <c r="E693" i="19"/>
  <c r="E692" i="19"/>
  <c r="E691" i="19"/>
  <c r="E690" i="19"/>
  <c r="E689" i="19"/>
  <c r="E688" i="19"/>
  <c r="E687" i="19"/>
  <c r="E686" i="19"/>
  <c r="E685" i="19"/>
  <c r="E684" i="19"/>
  <c r="E683" i="19"/>
  <c r="E682" i="19"/>
  <c r="E681" i="19"/>
  <c r="E680" i="19"/>
  <c r="E679" i="19"/>
  <c r="E678" i="19"/>
  <c r="E677" i="19"/>
  <c r="E676" i="19"/>
  <c r="E675" i="19"/>
  <c r="E674" i="19"/>
  <c r="E673" i="19"/>
  <c r="E672" i="19"/>
  <c r="E671" i="19"/>
  <c r="E670" i="19"/>
  <c r="E669" i="19"/>
  <c r="E668" i="19"/>
  <c r="E667" i="19"/>
  <c r="E666" i="19"/>
  <c r="E665" i="19"/>
  <c r="E664" i="19"/>
  <c r="E663" i="19"/>
  <c r="E662" i="19"/>
  <c r="E661" i="19"/>
  <c r="E660" i="19"/>
  <c r="E659" i="19"/>
  <c r="E658" i="19"/>
  <c r="E657" i="19"/>
  <c r="E656" i="19"/>
  <c r="E655" i="19"/>
  <c r="E654" i="19"/>
  <c r="E653" i="19"/>
  <c r="E652" i="19"/>
  <c r="E651" i="19"/>
  <c r="E650" i="19"/>
  <c r="E649" i="19"/>
  <c r="E648" i="19"/>
  <c r="E647" i="19"/>
  <c r="E646" i="19"/>
  <c r="E645" i="19"/>
  <c r="E644" i="19"/>
  <c r="E643" i="19"/>
  <c r="E642" i="19"/>
  <c r="E641" i="19"/>
  <c r="E640" i="19"/>
  <c r="E639" i="19"/>
  <c r="E638" i="19"/>
  <c r="E637" i="19"/>
  <c r="E636" i="19"/>
  <c r="E635" i="19"/>
  <c r="E634" i="19"/>
  <c r="E633" i="19"/>
  <c r="E632" i="19"/>
  <c r="E631" i="19"/>
  <c r="E630" i="19"/>
  <c r="E629" i="19"/>
  <c r="E628" i="19"/>
  <c r="E627" i="19"/>
  <c r="E626" i="19"/>
  <c r="E625" i="19"/>
  <c r="E624" i="19"/>
  <c r="E623" i="19"/>
  <c r="E622" i="19"/>
  <c r="E621" i="19"/>
  <c r="E620" i="19"/>
  <c r="E619" i="19"/>
  <c r="E618" i="19"/>
  <c r="E617" i="19"/>
  <c r="E616" i="19"/>
  <c r="E615" i="19"/>
  <c r="E614" i="19"/>
  <c r="E613" i="19"/>
  <c r="E612" i="19"/>
  <c r="E611" i="19"/>
  <c r="E610" i="19"/>
  <c r="E609" i="19"/>
  <c r="E608" i="19"/>
  <c r="E607" i="19"/>
  <c r="E606" i="19"/>
  <c r="E605" i="19"/>
  <c r="E604" i="19"/>
  <c r="E603" i="19"/>
  <c r="E602" i="19"/>
  <c r="E601" i="19"/>
  <c r="E600" i="19"/>
  <c r="E599" i="19"/>
  <c r="E598" i="19"/>
  <c r="E597" i="19"/>
  <c r="E596" i="19"/>
  <c r="E595" i="19"/>
  <c r="E594" i="19"/>
  <c r="E593" i="19"/>
  <c r="E592" i="19"/>
  <c r="E591" i="19"/>
  <c r="E590" i="19"/>
  <c r="E589" i="19"/>
  <c r="E588" i="19"/>
  <c r="E587" i="19"/>
  <c r="E586" i="19"/>
  <c r="E585" i="19"/>
  <c r="E584" i="19"/>
  <c r="E583" i="19"/>
  <c r="E582" i="19"/>
  <c r="E581" i="19"/>
  <c r="E580" i="19"/>
  <c r="E579" i="19"/>
  <c r="E578" i="19"/>
  <c r="E577" i="19"/>
  <c r="E576" i="19"/>
  <c r="E575" i="19"/>
  <c r="E574" i="19"/>
  <c r="E573" i="19"/>
  <c r="E572" i="19"/>
  <c r="E571" i="19"/>
  <c r="E570" i="19"/>
  <c r="E569" i="19"/>
  <c r="E568" i="19"/>
  <c r="E567" i="19"/>
  <c r="E566" i="19"/>
  <c r="E565" i="19"/>
  <c r="E564" i="19"/>
  <c r="E563" i="19"/>
  <c r="E562" i="19"/>
  <c r="E561" i="19"/>
  <c r="E560" i="19"/>
  <c r="E559" i="19"/>
  <c r="E558" i="19"/>
  <c r="E557" i="19"/>
  <c r="E556" i="19"/>
  <c r="E555" i="19"/>
  <c r="E554" i="19"/>
  <c r="E553" i="19"/>
  <c r="E552" i="19"/>
  <c r="E551" i="19"/>
  <c r="E550" i="19"/>
  <c r="E549" i="19"/>
  <c r="E548" i="19"/>
  <c r="E547" i="19"/>
  <c r="E546" i="19"/>
  <c r="E545" i="19"/>
  <c r="E544" i="19"/>
  <c r="E543" i="19"/>
  <c r="E542" i="19"/>
  <c r="E541" i="19"/>
  <c r="E540" i="19"/>
  <c r="E539" i="19"/>
  <c r="E538" i="19"/>
  <c r="E537" i="19"/>
  <c r="E536" i="19"/>
  <c r="E535" i="19"/>
  <c r="E534" i="19"/>
  <c r="E533" i="19"/>
  <c r="E532" i="19"/>
  <c r="E531" i="19"/>
  <c r="E530" i="19"/>
  <c r="E529" i="19"/>
  <c r="E528" i="19"/>
  <c r="E527" i="19"/>
  <c r="E526" i="19"/>
  <c r="E525" i="19"/>
  <c r="E524" i="19"/>
  <c r="E523" i="19"/>
  <c r="E522" i="19"/>
  <c r="E521" i="19"/>
  <c r="E520" i="19"/>
  <c r="E519" i="19"/>
  <c r="E518" i="19"/>
  <c r="E517" i="19"/>
  <c r="E516" i="19"/>
  <c r="E515" i="19"/>
  <c r="E514" i="19"/>
  <c r="E513" i="19"/>
  <c r="E512" i="19"/>
  <c r="E511" i="19"/>
  <c r="E510" i="19"/>
  <c r="E509" i="19"/>
  <c r="E508" i="19"/>
  <c r="E507" i="19"/>
  <c r="E506" i="19"/>
  <c r="E505" i="19"/>
  <c r="E504" i="19"/>
  <c r="E503" i="19"/>
  <c r="E502" i="19"/>
  <c r="E501" i="19"/>
  <c r="E500" i="19"/>
  <c r="E499" i="19"/>
  <c r="E498" i="19"/>
  <c r="E497" i="19"/>
  <c r="E496" i="19"/>
  <c r="E495" i="19"/>
  <c r="E494" i="19"/>
  <c r="E493" i="19"/>
  <c r="E492" i="19"/>
  <c r="E491" i="19"/>
  <c r="E490" i="19"/>
  <c r="E489" i="19"/>
  <c r="E488" i="19"/>
  <c r="E487" i="19"/>
  <c r="E486" i="19"/>
  <c r="E485" i="19"/>
  <c r="E484" i="19"/>
  <c r="E483" i="19"/>
  <c r="E482" i="19"/>
  <c r="E481" i="19"/>
  <c r="E480" i="19"/>
  <c r="E479" i="19"/>
  <c r="E478" i="19"/>
  <c r="E477" i="19"/>
  <c r="E476" i="19"/>
  <c r="E475" i="19"/>
  <c r="E474" i="19"/>
  <c r="E473" i="19"/>
  <c r="E472" i="19"/>
  <c r="E471" i="19"/>
  <c r="E470" i="19"/>
  <c r="E469" i="19"/>
  <c r="E468" i="19"/>
  <c r="E467" i="19"/>
  <c r="E466" i="19"/>
  <c r="E465" i="19"/>
  <c r="E464" i="19"/>
  <c r="E463" i="19"/>
  <c r="E462" i="19"/>
  <c r="E461" i="19"/>
  <c r="E460" i="19"/>
  <c r="E459" i="19"/>
  <c r="E458" i="19"/>
  <c r="E457" i="19"/>
  <c r="E456" i="19"/>
  <c r="E455" i="19"/>
  <c r="E454" i="19"/>
  <c r="E453" i="19"/>
  <c r="E452" i="19"/>
  <c r="E451" i="19"/>
  <c r="E450" i="19"/>
  <c r="E449" i="19"/>
  <c r="E448" i="19"/>
  <c r="E447" i="19"/>
  <c r="E446" i="19"/>
  <c r="E445" i="19"/>
  <c r="E444" i="19"/>
  <c r="E443" i="19"/>
  <c r="E442" i="19"/>
  <c r="E441" i="19"/>
  <c r="E440" i="19"/>
  <c r="E439" i="19"/>
  <c r="E438" i="19"/>
  <c r="E437" i="19"/>
  <c r="E436" i="19"/>
  <c r="E435" i="19"/>
  <c r="E434" i="19"/>
  <c r="E433" i="19"/>
  <c r="E432" i="19"/>
  <c r="E431" i="19"/>
  <c r="E430" i="19"/>
  <c r="E429" i="19"/>
  <c r="E428" i="19"/>
  <c r="E427" i="19"/>
  <c r="E426" i="19"/>
  <c r="E425" i="19"/>
  <c r="E424" i="19"/>
  <c r="E423" i="19"/>
  <c r="E422" i="19"/>
  <c r="E421" i="19"/>
  <c r="E420" i="19"/>
  <c r="E419" i="19"/>
  <c r="E418" i="19"/>
  <c r="E417" i="19"/>
  <c r="E416" i="19"/>
  <c r="E415" i="19"/>
  <c r="E414" i="19"/>
  <c r="E413" i="19"/>
  <c r="E412" i="19"/>
  <c r="E411" i="19"/>
  <c r="E410" i="19"/>
  <c r="E409" i="19"/>
  <c r="E408" i="19"/>
  <c r="E407" i="19"/>
  <c r="E406" i="19"/>
  <c r="E405" i="19"/>
  <c r="E404" i="19"/>
  <c r="E403" i="19"/>
  <c r="E402" i="19"/>
  <c r="E401" i="19"/>
  <c r="E400" i="19"/>
  <c r="E399" i="19"/>
  <c r="E398" i="19"/>
  <c r="E397" i="19"/>
  <c r="E396" i="19"/>
  <c r="E395" i="19"/>
  <c r="E394" i="19"/>
  <c r="E393" i="19"/>
  <c r="E392" i="19"/>
  <c r="E391" i="19"/>
  <c r="E390" i="19"/>
  <c r="E389" i="19"/>
  <c r="E388" i="19"/>
  <c r="E387" i="19"/>
  <c r="E386" i="19"/>
  <c r="E385" i="19"/>
  <c r="E384" i="19"/>
  <c r="E383" i="19"/>
  <c r="E382" i="19"/>
  <c r="E381" i="19"/>
  <c r="E380" i="19"/>
  <c r="E379" i="19"/>
  <c r="E378" i="19"/>
  <c r="E377" i="19"/>
  <c r="E376" i="19"/>
  <c r="E375" i="19"/>
  <c r="E374" i="19"/>
  <c r="E373" i="19"/>
  <c r="E372" i="19"/>
  <c r="E371" i="19"/>
  <c r="E370" i="19"/>
  <c r="E369" i="19"/>
  <c r="E368" i="19"/>
  <c r="E367" i="19"/>
  <c r="E366" i="19"/>
  <c r="E365" i="19"/>
  <c r="E364" i="19"/>
  <c r="E363" i="19"/>
  <c r="E362" i="19"/>
  <c r="E361" i="19"/>
  <c r="E360" i="19"/>
  <c r="E359" i="19"/>
  <c r="E358" i="19"/>
  <c r="E357" i="19"/>
  <c r="E356" i="19"/>
  <c r="E355" i="19"/>
  <c r="E354" i="19"/>
  <c r="E353" i="19"/>
  <c r="E352" i="19"/>
  <c r="E351" i="19"/>
  <c r="E350" i="19"/>
  <c r="E349" i="19"/>
  <c r="E348" i="19"/>
  <c r="E347" i="19"/>
  <c r="E346" i="19"/>
  <c r="E345" i="19"/>
  <c r="E344" i="19"/>
  <c r="E343" i="19"/>
  <c r="E342" i="19"/>
  <c r="E341" i="19"/>
  <c r="E340" i="19"/>
  <c r="E339" i="19"/>
  <c r="E338" i="19"/>
  <c r="E337" i="19"/>
  <c r="E336" i="19"/>
  <c r="E335" i="19"/>
  <c r="E334" i="19"/>
  <c r="E333" i="19"/>
  <c r="E332" i="19"/>
  <c r="E331" i="19"/>
  <c r="E330" i="19"/>
  <c r="E329" i="19"/>
  <c r="E328" i="19"/>
  <c r="E327" i="19"/>
  <c r="E326" i="19"/>
  <c r="E325" i="19"/>
  <c r="E324" i="19"/>
  <c r="E323" i="19"/>
  <c r="E322" i="19"/>
  <c r="E321" i="19"/>
  <c r="E320" i="19"/>
  <c r="E319" i="19"/>
  <c r="E318" i="19"/>
  <c r="E317" i="19"/>
  <c r="E316" i="19"/>
  <c r="E315" i="19"/>
  <c r="E314" i="19"/>
  <c r="E313" i="19"/>
  <c r="E312" i="19"/>
  <c r="E311" i="19"/>
  <c r="E310" i="19"/>
  <c r="E309" i="19"/>
  <c r="E308" i="19"/>
  <c r="E307" i="19"/>
  <c r="E306" i="19"/>
  <c r="E305" i="19"/>
  <c r="E304" i="19"/>
  <c r="E303" i="19"/>
  <c r="E302" i="19"/>
  <c r="E301" i="19"/>
  <c r="E300" i="19"/>
  <c r="E299" i="19"/>
  <c r="E298" i="19"/>
  <c r="E297" i="19"/>
  <c r="E296" i="19"/>
  <c r="E295" i="19"/>
  <c r="E294" i="19"/>
  <c r="E293" i="19"/>
  <c r="E292" i="19"/>
  <c r="E291" i="19"/>
  <c r="E290" i="19"/>
  <c r="E289" i="19"/>
  <c r="E288" i="19"/>
  <c r="E287" i="19"/>
  <c r="E286" i="19"/>
  <c r="E285" i="19"/>
  <c r="E284" i="19"/>
  <c r="E283" i="19"/>
  <c r="E282" i="19"/>
  <c r="E281" i="19"/>
  <c r="E280" i="19"/>
  <c r="E279" i="19"/>
  <c r="E278" i="19"/>
  <c r="E277" i="19"/>
  <c r="E276" i="19"/>
  <c r="E275" i="19"/>
  <c r="E274" i="19"/>
  <c r="E273" i="19"/>
  <c r="E272" i="19"/>
  <c r="E271" i="19"/>
  <c r="E270" i="19"/>
  <c r="E269" i="19"/>
  <c r="E268" i="19"/>
  <c r="E267" i="19"/>
  <c r="E266" i="19"/>
  <c r="E265" i="19"/>
  <c r="E264" i="19"/>
  <c r="E263" i="19"/>
  <c r="E262" i="19"/>
  <c r="E261" i="19"/>
  <c r="E260" i="19"/>
  <c r="E259" i="19"/>
  <c r="E258" i="19"/>
  <c r="E257" i="19"/>
  <c r="E256" i="19"/>
  <c r="E255" i="19"/>
  <c r="E254" i="19"/>
  <c r="E253" i="19"/>
  <c r="E252" i="19"/>
  <c r="E251" i="19"/>
  <c r="E250" i="19"/>
  <c r="E249" i="19"/>
  <c r="E248" i="19"/>
  <c r="E247" i="19"/>
  <c r="E246" i="19"/>
  <c r="E245" i="19"/>
  <c r="E244" i="19"/>
  <c r="E243" i="19"/>
  <c r="E242" i="19"/>
  <c r="E241" i="19"/>
  <c r="E240" i="19"/>
  <c r="E239" i="19"/>
  <c r="E238" i="19"/>
  <c r="E237" i="19"/>
  <c r="E236" i="19"/>
  <c r="E235" i="19"/>
  <c r="E234" i="19"/>
  <c r="E233" i="19"/>
  <c r="E232" i="19"/>
  <c r="E231" i="19"/>
  <c r="E230" i="19"/>
  <c r="E229" i="19"/>
  <c r="E228" i="19"/>
  <c r="E227" i="19"/>
  <c r="E226" i="19"/>
  <c r="E225" i="19"/>
  <c r="E224" i="19"/>
  <c r="E223" i="19"/>
  <c r="E222" i="19"/>
  <c r="E221" i="19"/>
  <c r="E220" i="19"/>
  <c r="E219" i="19"/>
  <c r="E218" i="19"/>
  <c r="E217" i="19"/>
  <c r="E216" i="19"/>
  <c r="E215" i="19"/>
  <c r="E214" i="19"/>
  <c r="E213" i="19"/>
  <c r="E212" i="19"/>
  <c r="E211" i="19"/>
  <c r="E210" i="19"/>
  <c r="E209" i="19"/>
  <c r="E208" i="19"/>
  <c r="E207" i="19"/>
  <c r="E206" i="19"/>
  <c r="E205" i="19"/>
  <c r="E204" i="19"/>
  <c r="E203" i="19"/>
  <c r="E202" i="19"/>
  <c r="E201" i="19"/>
  <c r="E200" i="19"/>
  <c r="E199" i="19"/>
  <c r="E198" i="19"/>
  <c r="E197" i="19"/>
  <c r="E196" i="19"/>
  <c r="E195" i="19"/>
  <c r="E194" i="19"/>
  <c r="E193" i="19"/>
  <c r="E192" i="19"/>
  <c r="E191" i="19"/>
  <c r="E190" i="19"/>
  <c r="E189" i="19"/>
  <c r="E188" i="19"/>
  <c r="E187" i="19"/>
  <c r="E186" i="19"/>
  <c r="E185" i="19"/>
  <c r="E184" i="19"/>
  <c r="E183" i="19"/>
  <c r="E182" i="19"/>
  <c r="E181" i="19"/>
  <c r="E180" i="19"/>
  <c r="E179" i="19"/>
  <c r="E178" i="19"/>
  <c r="E177" i="19"/>
  <c r="E176" i="19"/>
  <c r="E175" i="19"/>
  <c r="E174" i="19"/>
  <c r="E173" i="19"/>
  <c r="E172" i="19"/>
  <c r="E171" i="19"/>
  <c r="E170" i="19"/>
  <c r="E169" i="19"/>
  <c r="E168" i="19"/>
  <c r="E167" i="19"/>
  <c r="E166" i="19"/>
  <c r="E165" i="19"/>
  <c r="E164" i="19"/>
  <c r="E163" i="19"/>
  <c r="E162" i="19"/>
  <c r="E161" i="19"/>
  <c r="E160" i="19"/>
  <c r="E159" i="19"/>
  <c r="E158" i="19"/>
  <c r="E157" i="19"/>
  <c r="E156" i="19"/>
  <c r="E155" i="19"/>
  <c r="E154" i="19"/>
  <c r="E153" i="19"/>
  <c r="E152" i="19"/>
  <c r="E151" i="19"/>
  <c r="E150" i="19"/>
  <c r="E149" i="19"/>
  <c r="E148" i="19"/>
  <c r="E147" i="19"/>
  <c r="E146" i="19"/>
  <c r="E145" i="19"/>
  <c r="E144" i="19"/>
  <c r="E143" i="19"/>
  <c r="E142" i="19"/>
  <c r="E141" i="19"/>
  <c r="E140" i="19"/>
  <c r="E139" i="19"/>
  <c r="E138" i="19"/>
  <c r="E137" i="19"/>
  <c r="E136" i="19"/>
  <c r="E135" i="19"/>
  <c r="E134" i="19"/>
  <c r="E133" i="19"/>
  <c r="E132" i="19"/>
  <c r="E131" i="19"/>
  <c r="E130" i="19"/>
  <c r="E129" i="19"/>
  <c r="E128" i="19"/>
  <c r="E127" i="19"/>
  <c r="E126" i="19"/>
  <c r="E125" i="19"/>
  <c r="E124" i="19"/>
  <c r="E123" i="19"/>
  <c r="E122" i="19"/>
  <c r="E121" i="19"/>
  <c r="E120" i="19"/>
  <c r="E119" i="19"/>
  <c r="E118" i="19"/>
  <c r="E117" i="19"/>
  <c r="E116" i="19"/>
  <c r="E115" i="19"/>
  <c r="E114" i="19"/>
  <c r="E113" i="19"/>
  <c r="E112" i="19"/>
  <c r="E111" i="19"/>
  <c r="E110" i="19"/>
  <c r="E109" i="19"/>
  <c r="E108" i="19"/>
  <c r="E107" i="19"/>
  <c r="E106" i="19"/>
  <c r="E105" i="19"/>
  <c r="E104" i="19"/>
  <c r="E103" i="19"/>
  <c r="E102" i="19"/>
  <c r="E101" i="19"/>
  <c r="E100" i="19"/>
  <c r="E99" i="19"/>
  <c r="E98" i="19"/>
  <c r="E97" i="19"/>
  <c r="E96" i="19"/>
  <c r="E95" i="19"/>
  <c r="E94" i="19"/>
  <c r="E93" i="19"/>
  <c r="E92" i="19"/>
  <c r="E91" i="19"/>
  <c r="E90" i="19"/>
  <c r="E89" i="19"/>
  <c r="E88" i="19"/>
  <c r="E87" i="19"/>
  <c r="E86" i="19"/>
  <c r="E85" i="19"/>
  <c r="E84" i="19"/>
  <c r="E83" i="19"/>
  <c r="E82" i="19"/>
  <c r="E81" i="19"/>
  <c r="E80" i="19"/>
  <c r="E79" i="19"/>
  <c r="E78" i="19"/>
  <c r="E77" i="19"/>
  <c r="E76" i="19"/>
  <c r="E75" i="19"/>
  <c r="E74" i="19"/>
  <c r="E73" i="19"/>
  <c r="E72" i="19"/>
  <c r="E71" i="19"/>
  <c r="E70" i="19"/>
  <c r="E69" i="19"/>
  <c r="E68" i="19"/>
  <c r="E67" i="19"/>
  <c r="E66" i="19"/>
  <c r="E65" i="19"/>
  <c r="E64" i="19"/>
  <c r="E63" i="19"/>
  <c r="E62" i="19"/>
  <c r="E61" i="19"/>
  <c r="E60" i="19"/>
  <c r="E59" i="19"/>
  <c r="E58" i="19"/>
  <c r="E57" i="19"/>
  <c r="E56" i="19"/>
  <c r="E55" i="19"/>
  <c r="E54" i="19"/>
  <c r="E53" i="19"/>
  <c r="E52" i="19"/>
  <c r="E51" i="19"/>
  <c r="E50" i="19"/>
  <c r="E49" i="19"/>
  <c r="E48" i="19"/>
  <c r="E47" i="19"/>
  <c r="E46" i="19"/>
  <c r="E45" i="19"/>
  <c r="E44" i="19"/>
  <c r="E43" i="19"/>
  <c r="E42" i="19"/>
  <c r="E41" i="19"/>
  <c r="E40" i="19"/>
  <c r="E39" i="19"/>
  <c r="E38" i="19"/>
  <c r="E37" i="19"/>
  <c r="E36" i="19"/>
  <c r="E35" i="19"/>
  <c r="E34" i="19"/>
  <c r="E33" i="19"/>
  <c r="E32" i="19"/>
  <c r="E31" i="19"/>
  <c r="E30" i="19"/>
  <c r="E29" i="19"/>
  <c r="E28" i="19"/>
  <c r="E27" i="19"/>
  <c r="E26" i="19"/>
  <c r="E25" i="19"/>
  <c r="E24" i="19"/>
  <c r="E23" i="19"/>
  <c r="E22" i="19"/>
  <c r="E21" i="19"/>
  <c r="E20" i="19"/>
  <c r="E19" i="19"/>
  <c r="E18" i="19"/>
  <c r="E17" i="19"/>
  <c r="E16" i="19"/>
  <c r="E15" i="19"/>
  <c r="E14" i="19"/>
  <c r="E13" i="19"/>
  <c r="E12" i="19"/>
  <c r="E11" i="19"/>
  <c r="E10" i="19"/>
  <c r="E9" i="19"/>
  <c r="E8" i="19"/>
  <c r="D4" i="19"/>
  <c r="F27" i="1" s="1"/>
  <c r="F30" i="1" s="1"/>
  <c r="D3" i="19"/>
  <c r="E27" i="1" s="1"/>
  <c r="E30" i="1" s="1"/>
  <c r="D2" i="19"/>
  <c r="G27" i="1" s="1"/>
  <c r="G30" i="1" s="1"/>
  <c r="E17" i="17"/>
  <c r="G36" i="1" s="1"/>
  <c r="E16" i="17"/>
  <c r="E36" i="1" s="1"/>
  <c r="E15" i="17"/>
  <c r="E14" i="17"/>
  <c r="E13" i="17"/>
  <c r="F36" i="1" s="1"/>
  <c r="K15" i="16"/>
  <c r="J15" i="16"/>
  <c r="I15" i="16"/>
  <c r="H15" i="16"/>
  <c r="G15" i="16"/>
  <c r="F15" i="16"/>
  <c r="E15" i="16"/>
  <c r="D15" i="16"/>
  <c r="K14" i="16"/>
  <c r="J14" i="16"/>
  <c r="I14" i="16"/>
  <c r="H14" i="16"/>
  <c r="G14" i="16"/>
  <c r="F14" i="16"/>
  <c r="E14" i="16"/>
  <c r="D14" i="16"/>
  <c r="K13" i="16"/>
  <c r="J13" i="16"/>
  <c r="I13" i="16"/>
  <c r="H13" i="16"/>
  <c r="G13" i="16"/>
  <c r="F13" i="16"/>
  <c r="E13" i="16"/>
  <c r="D13" i="16"/>
  <c r="K12" i="16"/>
  <c r="J12" i="16"/>
  <c r="I12" i="16"/>
  <c r="H12" i="16"/>
  <c r="G12" i="16"/>
  <c r="F12" i="16"/>
  <c r="E12" i="16"/>
  <c r="D12" i="16"/>
  <c r="Q10" i="16"/>
  <c r="Q9" i="16"/>
  <c r="D3" i="16"/>
  <c r="E3" i="16" s="1"/>
  <c r="F3" i="16" s="1"/>
  <c r="G3" i="16" s="1"/>
  <c r="H3" i="16" s="1"/>
  <c r="I3" i="16" s="1"/>
  <c r="J3" i="16" s="1"/>
  <c r="K3" i="16" s="1"/>
  <c r="M17" i="15"/>
  <c r="L17" i="15"/>
  <c r="K17" i="15"/>
  <c r="J17" i="15"/>
  <c r="M16" i="15"/>
  <c r="L16" i="15"/>
  <c r="K16" i="15"/>
  <c r="J16" i="15"/>
  <c r="M15" i="15"/>
  <c r="L15" i="15"/>
  <c r="K15" i="15"/>
  <c r="J15" i="15"/>
  <c r="M14" i="15"/>
  <c r="L14" i="15"/>
  <c r="K14" i="15"/>
  <c r="J14" i="15"/>
  <c r="M13" i="15"/>
  <c r="L13" i="15"/>
  <c r="K13" i="15"/>
  <c r="J13" i="15"/>
  <c r="M12" i="15"/>
  <c r="L12" i="15"/>
  <c r="K12" i="15"/>
  <c r="J12" i="15"/>
  <c r="M11" i="15"/>
  <c r="L11" i="15"/>
  <c r="K11" i="15"/>
  <c r="J11" i="15"/>
  <c r="M10" i="15"/>
  <c r="L10" i="15"/>
  <c r="K10" i="15"/>
  <c r="J10" i="15"/>
  <c r="M9" i="15"/>
  <c r="L9" i="15"/>
  <c r="K9" i="15"/>
  <c r="J9" i="15"/>
  <c r="M8" i="15"/>
  <c r="L8" i="15"/>
  <c r="K8" i="15"/>
  <c r="J8" i="15"/>
  <c r="J11" i="14"/>
  <c r="K11" i="14" s="1"/>
  <c r="L11" i="14" s="1"/>
  <c r="J8" i="14"/>
  <c r="K8" i="14" s="1"/>
  <c r="L8" i="14" s="1"/>
  <c r="D6" i="14"/>
  <c r="AE56" i="13"/>
  <c r="AD56" i="13"/>
  <c r="AC56" i="13"/>
  <c r="AE55" i="13"/>
  <c r="AD55" i="13"/>
  <c r="AC55" i="13"/>
  <c r="AE54" i="13"/>
  <c r="AD54" i="13"/>
  <c r="AE53" i="13"/>
  <c r="AD53" i="13"/>
  <c r="F52" i="13"/>
  <c r="F51" i="13"/>
  <c r="F50" i="13"/>
  <c r="F49" i="13"/>
  <c r="AA49" i="13" s="1"/>
  <c r="AE46" i="13"/>
  <c r="AD46" i="13"/>
  <c r="AC46" i="13"/>
  <c r="AE45" i="13"/>
  <c r="AD45" i="13"/>
  <c r="AC45" i="13"/>
  <c r="AE44" i="13"/>
  <c r="AD44" i="13"/>
  <c r="AE43" i="13"/>
  <c r="AD43" i="13"/>
  <c r="F42" i="13"/>
  <c r="Z42" i="13" s="1"/>
  <c r="F41" i="13"/>
  <c r="F40" i="13"/>
  <c r="F17" i="10" s="1"/>
  <c r="F39" i="13"/>
  <c r="F16" i="10" s="1"/>
  <c r="AE36" i="13"/>
  <c r="AD36" i="13"/>
  <c r="AC36" i="13"/>
  <c r="AE35" i="13"/>
  <c r="AD35" i="13"/>
  <c r="AC35" i="13"/>
  <c r="AE34" i="13"/>
  <c r="AD34" i="13"/>
  <c r="AE33" i="13"/>
  <c r="AD33" i="13"/>
  <c r="F32" i="13"/>
  <c r="F31" i="13"/>
  <c r="F30" i="13"/>
  <c r="AE27" i="13"/>
  <c r="AD27" i="13"/>
  <c r="AC27" i="13"/>
  <c r="AE26" i="13"/>
  <c r="AD26" i="13"/>
  <c r="AC26" i="13"/>
  <c r="AE25" i="13"/>
  <c r="AD25" i="13"/>
  <c r="AE24" i="13"/>
  <c r="AD24" i="13"/>
  <c r="F23" i="13"/>
  <c r="F12" i="10" s="1"/>
  <c r="F22" i="13"/>
  <c r="F21" i="13"/>
  <c r="F10" i="10" s="1"/>
  <c r="AE18" i="13"/>
  <c r="AD18" i="13"/>
  <c r="AC18" i="13"/>
  <c r="AE17" i="13"/>
  <c r="AD17" i="13"/>
  <c r="AC17" i="13"/>
  <c r="AE16" i="13"/>
  <c r="AD16" i="13"/>
  <c r="AE15" i="13"/>
  <c r="AD15" i="13"/>
  <c r="F14" i="13"/>
  <c r="AA14" i="13" s="1"/>
  <c r="F13" i="13"/>
  <c r="J13" i="13" s="1"/>
  <c r="X13" i="13" s="1"/>
  <c r="F12" i="13"/>
  <c r="F7" i="10" s="1"/>
  <c r="F11" i="13"/>
  <c r="Z11" i="13" s="1"/>
  <c r="F8" i="13"/>
  <c r="R10" i="10" s="1"/>
  <c r="Z123" i="12"/>
  <c r="AA123" i="12" s="1"/>
  <c r="Z122" i="12"/>
  <c r="AA122" i="12" s="1"/>
  <c r="Z121" i="12"/>
  <c r="AA121" i="12" s="1"/>
  <c r="Z120" i="12"/>
  <c r="AA120" i="12" s="1"/>
  <c r="Z119" i="12"/>
  <c r="AA119" i="12" s="1"/>
  <c r="Z118" i="12"/>
  <c r="AA118" i="12" s="1"/>
  <c r="Z117" i="12"/>
  <c r="AA117" i="12" s="1"/>
  <c r="Z116" i="12"/>
  <c r="AA116" i="12" s="1"/>
  <c r="Z115" i="12"/>
  <c r="AA115" i="12" s="1"/>
  <c r="Z114" i="12"/>
  <c r="AA114" i="12" s="1"/>
  <c r="Z113" i="12"/>
  <c r="AA113" i="12" s="1"/>
  <c r="Z112" i="12"/>
  <c r="AA112" i="12" s="1"/>
  <c r="Z111" i="12"/>
  <c r="AA111" i="12" s="1"/>
  <c r="Z110" i="12"/>
  <c r="AA110" i="12" s="1"/>
  <c r="Z109" i="12"/>
  <c r="AA109" i="12" s="1"/>
  <c r="Z108" i="12"/>
  <c r="AA108" i="12" s="1"/>
  <c r="Z107" i="12"/>
  <c r="AA107" i="12" s="1"/>
  <c r="Z106" i="12"/>
  <c r="AA106" i="12" s="1"/>
  <c r="Z105" i="12"/>
  <c r="AA105" i="12" s="1"/>
  <c r="Z104" i="12"/>
  <c r="AA104" i="12" s="1"/>
  <c r="Z103" i="12"/>
  <c r="AA103" i="12" s="1"/>
  <c r="Z102" i="12"/>
  <c r="AA102" i="12" s="1"/>
  <c r="Z101" i="12"/>
  <c r="AA101" i="12" s="1"/>
  <c r="Z100" i="12"/>
  <c r="AA100" i="12" s="1"/>
  <c r="Z99" i="12"/>
  <c r="AA99" i="12" s="1"/>
  <c r="Z98" i="12"/>
  <c r="AA98" i="12" s="1"/>
  <c r="Z97" i="12"/>
  <c r="AA97" i="12" s="1"/>
  <c r="Z96" i="12"/>
  <c r="AA96" i="12" s="1"/>
  <c r="Z95" i="12"/>
  <c r="AA95" i="12" s="1"/>
  <c r="Z94" i="12"/>
  <c r="AA94" i="12" s="1"/>
  <c r="Z93" i="12"/>
  <c r="AA93" i="12" s="1"/>
  <c r="Z92" i="12"/>
  <c r="AA92" i="12" s="1"/>
  <c r="Z91" i="12"/>
  <c r="AA91" i="12" s="1"/>
  <c r="Z90" i="12"/>
  <c r="AA90" i="12" s="1"/>
  <c r="Z89" i="12"/>
  <c r="AA89" i="12" s="1"/>
  <c r="Z88" i="12"/>
  <c r="AA88" i="12" s="1"/>
  <c r="Z87" i="12"/>
  <c r="AA87" i="12" s="1"/>
  <c r="Z86" i="12"/>
  <c r="AA86" i="12" s="1"/>
  <c r="Z85" i="12"/>
  <c r="AA85" i="12" s="1"/>
  <c r="Z84" i="12"/>
  <c r="AA84" i="12" s="1"/>
  <c r="Z83" i="12"/>
  <c r="AA83" i="12" s="1"/>
  <c r="Z82" i="12"/>
  <c r="AA82" i="12" s="1"/>
  <c r="Z81" i="12"/>
  <c r="AA81" i="12" s="1"/>
  <c r="Z80" i="12"/>
  <c r="AA80" i="12" s="1"/>
  <c r="Z79" i="12"/>
  <c r="AA79" i="12" s="1"/>
  <c r="Z78" i="12"/>
  <c r="AA78" i="12" s="1"/>
  <c r="Z77" i="12"/>
  <c r="AA77" i="12" s="1"/>
  <c r="H77" i="12"/>
  <c r="Z76" i="12"/>
  <c r="AA76" i="12" s="1"/>
  <c r="H76" i="12"/>
  <c r="Z75" i="12"/>
  <c r="AA75" i="12" s="1"/>
  <c r="Z74" i="12"/>
  <c r="AA74" i="12" s="1"/>
  <c r="Z73" i="12"/>
  <c r="AA73" i="12" s="1"/>
  <c r="K73" i="12"/>
  <c r="Z72" i="12"/>
  <c r="AA72" i="12" s="1"/>
  <c r="K72" i="12"/>
  <c r="Z71" i="12"/>
  <c r="AA71" i="12" s="1"/>
  <c r="Z70" i="12"/>
  <c r="AA70" i="12" s="1"/>
  <c r="Z69" i="12"/>
  <c r="AA69" i="12" s="1"/>
  <c r="Z68" i="12"/>
  <c r="AA68" i="12" s="1"/>
  <c r="Z67" i="12"/>
  <c r="AA67" i="12" s="1"/>
  <c r="Z66" i="12"/>
  <c r="AA66" i="12" s="1"/>
  <c r="J63" i="12"/>
  <c r="AK59" i="12"/>
  <c r="AN58" i="12"/>
  <c r="AK58" i="12"/>
  <c r="AC58" i="12"/>
  <c r="AB58" i="12"/>
  <c r="AN57" i="12"/>
  <c r="AK57" i="12"/>
  <c r="AC57" i="12"/>
  <c r="AB57" i="12"/>
  <c r="AN56" i="12"/>
  <c r="AK56" i="12"/>
  <c r="AC56" i="12"/>
  <c r="AB56" i="12"/>
  <c r="AN55" i="12"/>
  <c r="AK55" i="12"/>
  <c r="AC55" i="12"/>
  <c r="AB55" i="12"/>
  <c r="AN54" i="12"/>
  <c r="AK54" i="12"/>
  <c r="AC54" i="12"/>
  <c r="AB54" i="12"/>
  <c r="AN53" i="12"/>
  <c r="AK53" i="12"/>
  <c r="AC53" i="12"/>
  <c r="AB53" i="12"/>
  <c r="AN52" i="12"/>
  <c r="AK52" i="12"/>
  <c r="AC52" i="12"/>
  <c r="AB52" i="12"/>
  <c r="AN51" i="12"/>
  <c r="AK51" i="12"/>
  <c r="AC51" i="12"/>
  <c r="AB51" i="12"/>
  <c r="AN50" i="12"/>
  <c r="AK50" i="12"/>
  <c r="AC50" i="12"/>
  <c r="AB50" i="12"/>
  <c r="AN49" i="12"/>
  <c r="AK49" i="12"/>
  <c r="AC49" i="12"/>
  <c r="AB49" i="12"/>
  <c r="K49" i="12"/>
  <c r="AN48" i="12"/>
  <c r="AK48" i="12"/>
  <c r="AC48" i="12"/>
  <c r="AB48" i="12"/>
  <c r="K48" i="12"/>
  <c r="AN47" i="12"/>
  <c r="AK47" i="12"/>
  <c r="AC47" i="12"/>
  <c r="AB47" i="12"/>
  <c r="K47" i="12"/>
  <c r="AN46" i="12"/>
  <c r="AK46" i="12"/>
  <c r="AC46" i="12"/>
  <c r="AB46" i="12"/>
  <c r="K46" i="12"/>
  <c r="AN45" i="12"/>
  <c r="AK45" i="12"/>
  <c r="AC45" i="12"/>
  <c r="AB45" i="12"/>
  <c r="K45" i="12"/>
  <c r="AN44" i="12"/>
  <c r="AK44" i="12"/>
  <c r="AC44" i="12"/>
  <c r="AB44" i="12"/>
  <c r="AN43" i="12"/>
  <c r="AK43" i="12"/>
  <c r="AC43" i="12"/>
  <c r="AB43" i="12"/>
  <c r="AN42" i="12"/>
  <c r="AK42" i="12"/>
  <c r="AC42" i="12"/>
  <c r="AB42" i="12"/>
  <c r="AN41" i="12"/>
  <c r="AK41" i="12"/>
  <c r="AC41" i="12"/>
  <c r="AB41" i="12"/>
  <c r="AN40" i="12"/>
  <c r="AK40" i="12"/>
  <c r="AC40" i="12"/>
  <c r="AB40" i="12"/>
  <c r="AN39" i="12"/>
  <c r="AK39" i="12"/>
  <c r="AC39" i="12"/>
  <c r="AB39" i="12"/>
  <c r="AN38" i="12"/>
  <c r="AK38" i="12"/>
  <c r="AC38" i="12"/>
  <c r="AB38" i="12"/>
  <c r="AN37" i="12"/>
  <c r="AK37" i="12"/>
  <c r="AC37" i="12"/>
  <c r="AB37" i="12"/>
  <c r="AN36" i="12"/>
  <c r="AK36" i="12"/>
  <c r="AC36" i="12"/>
  <c r="AB36" i="12"/>
  <c r="AN35" i="12"/>
  <c r="AK35" i="12"/>
  <c r="AC35" i="12"/>
  <c r="AB35" i="12"/>
  <c r="AN34" i="12"/>
  <c r="AK34" i="12"/>
  <c r="AC34" i="12"/>
  <c r="AB34" i="12"/>
  <c r="AN33" i="12"/>
  <c r="AK33" i="12"/>
  <c r="AC33" i="12"/>
  <c r="AB33" i="12"/>
  <c r="AN32" i="12"/>
  <c r="AK32" i="12"/>
  <c r="AC32" i="12"/>
  <c r="AB32" i="12"/>
  <c r="I32" i="12"/>
  <c r="AN31" i="12"/>
  <c r="AK31" i="12"/>
  <c r="AC31" i="12"/>
  <c r="AB31" i="12"/>
  <c r="AN30" i="12"/>
  <c r="AK30" i="12"/>
  <c r="AC30" i="12"/>
  <c r="AB30" i="12"/>
  <c r="I30" i="12"/>
  <c r="AN29" i="12"/>
  <c r="AK29" i="12"/>
  <c r="AC29" i="12"/>
  <c r="AB29" i="12"/>
  <c r="AN28" i="12"/>
  <c r="AK28" i="12"/>
  <c r="AC28" i="12"/>
  <c r="AB28" i="12"/>
  <c r="I28" i="12"/>
  <c r="AN27" i="12"/>
  <c r="AK27" i="12"/>
  <c r="AC27" i="12"/>
  <c r="AB27" i="12"/>
  <c r="AN26" i="12"/>
  <c r="AK26" i="12"/>
  <c r="AC26" i="12"/>
  <c r="AB26" i="12"/>
  <c r="AN25" i="12"/>
  <c r="AK25" i="12"/>
  <c r="AC25" i="12"/>
  <c r="AB25" i="12"/>
  <c r="AN24" i="12"/>
  <c r="AK24" i="12"/>
  <c r="AC24" i="12"/>
  <c r="AB24" i="12"/>
  <c r="AN23" i="12"/>
  <c r="AK23" i="12"/>
  <c r="AC23" i="12"/>
  <c r="AB23" i="12"/>
  <c r="AN22" i="12"/>
  <c r="AK22" i="12"/>
  <c r="AC22" i="12"/>
  <c r="AB22" i="12"/>
  <c r="AN21" i="12"/>
  <c r="AK21" i="12"/>
  <c r="AC21" i="12"/>
  <c r="AB21" i="12"/>
  <c r="AN20" i="12"/>
  <c r="AK20" i="12"/>
  <c r="AC20" i="12"/>
  <c r="AB20" i="12"/>
  <c r="AN19" i="12"/>
  <c r="AK19" i="12"/>
  <c r="AC19" i="12"/>
  <c r="AB19" i="12"/>
  <c r="AN18" i="12"/>
  <c r="AK18" i="12"/>
  <c r="AC18" i="12"/>
  <c r="AB18" i="12"/>
  <c r="AN17" i="12"/>
  <c r="AK17" i="12"/>
  <c r="AC17" i="12"/>
  <c r="AB17" i="12"/>
  <c r="AN16" i="12"/>
  <c r="AK16" i="12"/>
  <c r="AC16" i="12"/>
  <c r="AB16" i="12"/>
  <c r="AN15" i="12"/>
  <c r="AK15" i="12"/>
  <c r="AC15" i="12"/>
  <c r="AB15" i="12"/>
  <c r="AN14" i="12"/>
  <c r="AK14" i="12"/>
  <c r="AC14" i="12"/>
  <c r="AB14" i="12"/>
  <c r="AN13" i="12"/>
  <c r="AK13" i="12"/>
  <c r="AC13" i="12"/>
  <c r="AB13" i="12"/>
  <c r="AN12" i="12"/>
  <c r="AK12" i="12"/>
  <c r="AC12" i="12"/>
  <c r="AB12" i="12"/>
  <c r="AN11" i="12"/>
  <c r="AK11" i="12"/>
  <c r="AC11" i="12"/>
  <c r="AB11" i="12"/>
  <c r="AN10" i="12"/>
  <c r="AK10" i="12"/>
  <c r="AC10" i="12"/>
  <c r="AB10" i="12"/>
  <c r="AN9" i="12"/>
  <c r="AK9" i="12"/>
  <c r="AC9" i="12"/>
  <c r="AB9" i="12"/>
  <c r="AN8" i="12"/>
  <c r="AK8" i="12"/>
  <c r="AC8" i="12"/>
  <c r="AB8" i="12"/>
  <c r="AN7" i="12"/>
  <c r="AK7" i="12"/>
  <c r="AC7" i="12"/>
  <c r="AB7" i="12"/>
  <c r="AN6" i="12"/>
  <c r="AK6" i="12"/>
  <c r="AC6" i="12"/>
  <c r="AB6" i="12"/>
  <c r="AN5" i="12"/>
  <c r="AK5" i="12"/>
  <c r="AC5" i="12"/>
  <c r="AB5" i="12"/>
  <c r="AN4" i="12"/>
  <c r="AK4" i="12"/>
  <c r="AC4" i="12"/>
  <c r="AB4" i="12"/>
  <c r="AN3" i="12"/>
  <c r="AK3" i="12"/>
  <c r="AC3" i="12"/>
  <c r="AB3" i="12"/>
  <c r="J25" i="10"/>
  <c r="I25" i="10"/>
  <c r="R24" i="10"/>
  <c r="Q24" i="10"/>
  <c r="J24" i="10"/>
  <c r="I24" i="10"/>
  <c r="R23" i="10"/>
  <c r="Q23" i="10"/>
  <c r="E23" i="10"/>
  <c r="C23" i="10"/>
  <c r="R22" i="10"/>
  <c r="Q22" i="10"/>
  <c r="E22" i="10"/>
  <c r="C22" i="10"/>
  <c r="R21" i="10"/>
  <c r="Q21" i="10"/>
  <c r="E21" i="10"/>
  <c r="C21" i="10"/>
  <c r="R20" i="10"/>
  <c r="Q20" i="10"/>
  <c r="E20" i="10"/>
  <c r="C20" i="10"/>
  <c r="E19" i="10"/>
  <c r="C19" i="10"/>
  <c r="E18" i="10"/>
  <c r="C18" i="10"/>
  <c r="E17" i="10"/>
  <c r="C17" i="10"/>
  <c r="R16" i="10"/>
  <c r="Q16" i="10"/>
  <c r="E16" i="10"/>
  <c r="C16" i="10"/>
  <c r="E15" i="10"/>
  <c r="C15" i="10"/>
  <c r="E14" i="10"/>
  <c r="C14" i="10"/>
  <c r="E13" i="10"/>
  <c r="C13" i="10"/>
  <c r="E12" i="10"/>
  <c r="C12" i="10"/>
  <c r="R11" i="10"/>
  <c r="E11" i="10"/>
  <c r="C11" i="10"/>
  <c r="E10" i="10"/>
  <c r="C10" i="10"/>
  <c r="E9" i="10"/>
  <c r="C9" i="10"/>
  <c r="E8" i="10"/>
  <c r="C8" i="10"/>
  <c r="E7" i="10"/>
  <c r="C7" i="10"/>
  <c r="R7" i="10"/>
  <c r="Q7" i="10"/>
  <c r="E6" i="10"/>
  <c r="C6" i="10"/>
  <c r="B51" i="9"/>
  <c r="B49" i="9"/>
  <c r="B47" i="9"/>
  <c r="B45" i="9"/>
  <c r="B42" i="9"/>
  <c r="B41" i="9"/>
  <c r="B40" i="9"/>
  <c r="B39" i="9"/>
  <c r="B38" i="9"/>
  <c r="L37" i="9"/>
  <c r="K37" i="9"/>
  <c r="J37" i="9"/>
  <c r="H37" i="9"/>
  <c r="G37" i="9"/>
  <c r="F37" i="9"/>
  <c r="D37" i="9"/>
  <c r="J36" i="9"/>
  <c r="F36" i="9"/>
  <c r="D36" i="9"/>
  <c r="J31" i="9"/>
  <c r="K31" i="9" s="1"/>
  <c r="J28" i="9"/>
  <c r="D22" i="9"/>
  <c r="D23" i="9" s="1"/>
  <c r="D42" i="9" s="1"/>
  <c r="D18" i="9"/>
  <c r="D19" i="9" s="1"/>
  <c r="D41" i="9" s="1"/>
  <c r="D14" i="9"/>
  <c r="D15" i="9" s="1"/>
  <c r="D40" i="9" s="1"/>
  <c r="D10" i="9"/>
  <c r="D11" i="9" s="1"/>
  <c r="D39" i="9" s="1"/>
  <c r="D6" i="9"/>
  <c r="D5" i="9"/>
  <c r="D7" i="9" s="1"/>
  <c r="D38" i="9" s="1"/>
  <c r="D43" i="9" s="1"/>
  <c r="C77" i="7"/>
  <c r="C78" i="7" s="1"/>
  <c r="E75" i="7"/>
  <c r="F75" i="7" s="1"/>
  <c r="C75" i="7"/>
  <c r="C68" i="7"/>
  <c r="C69" i="7" s="1"/>
  <c r="E66" i="7"/>
  <c r="F66" i="7" s="1"/>
  <c r="C66" i="7"/>
  <c r="J40" i="7"/>
  <c r="J39" i="7" s="1"/>
  <c r="J38" i="7" s="1"/>
  <c r="F32" i="7"/>
  <c r="F30" i="7"/>
  <c r="M29" i="7"/>
  <c r="N29" i="7" s="1"/>
  <c r="O29" i="7" s="1"/>
  <c r="E204" i="5"/>
  <c r="C204" i="5"/>
  <c r="C202" i="5"/>
  <c r="K199" i="5"/>
  <c r="K200" i="5" s="1"/>
  <c r="J199" i="5"/>
  <c r="J200" i="5" s="1"/>
  <c r="I199" i="5"/>
  <c r="I201" i="5" s="1"/>
  <c r="I207" i="5" s="1"/>
  <c r="H199" i="5"/>
  <c r="H201" i="5" s="1"/>
  <c r="H207" i="5" s="1"/>
  <c r="G199" i="5"/>
  <c r="F199" i="5"/>
  <c r="F200" i="5" s="1"/>
  <c r="D201" i="5"/>
  <c r="C201" i="5"/>
  <c r="D195" i="5"/>
  <c r="C195" i="5"/>
  <c r="D192" i="5"/>
  <c r="D193" i="5" s="1"/>
  <c r="K183" i="5"/>
  <c r="J183" i="5"/>
  <c r="I183" i="5"/>
  <c r="H183" i="5"/>
  <c r="G183" i="5"/>
  <c r="F183" i="5"/>
  <c r="E183" i="5"/>
  <c r="D183" i="5"/>
  <c r="K165" i="5"/>
  <c r="J165" i="5"/>
  <c r="I165" i="5"/>
  <c r="H165" i="5"/>
  <c r="G165" i="5"/>
  <c r="F165" i="5"/>
  <c r="F163" i="5"/>
  <c r="F166" i="5" s="1"/>
  <c r="G163" i="5" s="1"/>
  <c r="G166" i="5" s="1"/>
  <c r="H163" i="5" s="1"/>
  <c r="H166" i="5" s="1"/>
  <c r="I163" i="5" s="1"/>
  <c r="I166" i="5" s="1"/>
  <c r="J163" i="5" s="1"/>
  <c r="J166" i="5" s="1"/>
  <c r="K163" i="5" s="1"/>
  <c r="K166" i="5" s="1"/>
  <c r="E154" i="5"/>
  <c r="D154" i="5"/>
  <c r="C154" i="5"/>
  <c r="B153" i="5"/>
  <c r="B152" i="5"/>
  <c r="F151" i="5"/>
  <c r="F154" i="5" s="1"/>
  <c r="B151" i="5"/>
  <c r="D146" i="5"/>
  <c r="C146" i="5"/>
  <c r="E146" i="5"/>
  <c r="E139" i="5"/>
  <c r="E141" i="5" s="1"/>
  <c r="E142" i="5" s="1"/>
  <c r="D139" i="5"/>
  <c r="D141" i="5" s="1"/>
  <c r="D142" i="5" s="1"/>
  <c r="C139" i="5"/>
  <c r="C141" i="5" s="1"/>
  <c r="C142" i="5" s="1"/>
  <c r="E121" i="5"/>
  <c r="D121" i="5"/>
  <c r="C121" i="5"/>
  <c r="F118" i="5"/>
  <c r="E112" i="5"/>
  <c r="D112" i="5"/>
  <c r="C112" i="5"/>
  <c r="F105" i="5"/>
  <c r="E93" i="5"/>
  <c r="E95" i="5" s="1"/>
  <c r="D93" i="5"/>
  <c r="C93" i="5"/>
  <c r="E91" i="5"/>
  <c r="D91" i="5"/>
  <c r="C91" i="5"/>
  <c r="E88" i="5"/>
  <c r="D88" i="5"/>
  <c r="C88" i="5"/>
  <c r="F67" i="5"/>
  <c r="F70" i="5" s="1"/>
  <c r="G67" i="5" s="1"/>
  <c r="D33" i="5"/>
  <c r="C33" i="5"/>
  <c r="E56" i="5"/>
  <c r="D56" i="5"/>
  <c r="C56" i="5"/>
  <c r="F39" i="5"/>
  <c r="E29" i="5"/>
  <c r="D29" i="5"/>
  <c r="C29" i="5"/>
  <c r="F11" i="5"/>
  <c r="E179" i="5"/>
  <c r="D179" i="5"/>
  <c r="C179" i="5"/>
  <c r="E205" i="5"/>
  <c r="D205" i="5"/>
  <c r="K206" i="5"/>
  <c r="J206" i="5"/>
  <c r="I206" i="5"/>
  <c r="H206" i="5"/>
  <c r="G206" i="5"/>
  <c r="F206" i="5"/>
  <c r="K204" i="5"/>
  <c r="J204" i="5"/>
  <c r="I204" i="5"/>
  <c r="H204" i="5"/>
  <c r="G204" i="5"/>
  <c r="F204" i="5"/>
  <c r="D204" i="5"/>
  <c r="D203" i="5"/>
  <c r="C203" i="5"/>
  <c r="D202" i="5"/>
  <c r="C192" i="5"/>
  <c r="C193" i="5" s="1"/>
  <c r="G33" i="2"/>
  <c r="F126" i="5"/>
  <c r="K40" i="5"/>
  <c r="F15" i="2"/>
  <c r="F16" i="2" s="1"/>
  <c r="S10" i="2"/>
  <c r="G39" i="1"/>
  <c r="F39" i="1"/>
  <c r="E39" i="1"/>
  <c r="G33" i="1"/>
  <c r="F33" i="1"/>
  <c r="E33" i="1"/>
  <c r="E31" i="1"/>
  <c r="E37" i="1" s="1"/>
  <c r="R8" i="10" l="1"/>
  <c r="U33" i="10"/>
  <c r="F2" i="24"/>
  <c r="C2" i="28"/>
  <c r="E1" i="7"/>
  <c r="W6" i="2"/>
  <c r="F6" i="7" s="1"/>
  <c r="E6" i="7"/>
  <c r="D210" i="20"/>
  <c r="D1065" i="20"/>
  <c r="D1218" i="20"/>
  <c r="F37" i="20"/>
  <c r="G38" i="20" s="1"/>
  <c r="F324" i="20"/>
  <c r="G325" i="20" s="1"/>
  <c r="D355" i="20"/>
  <c r="E355" i="20"/>
  <c r="E797" i="20"/>
  <c r="F957" i="20"/>
  <c r="G958" i="20" s="1"/>
  <c r="D740" i="20"/>
  <c r="F1152" i="20"/>
  <c r="G1153" i="20" s="1"/>
  <c r="E957" i="20"/>
  <c r="E1248" i="20"/>
  <c r="E586" i="20"/>
  <c r="E537" i="20"/>
  <c r="F706" i="20"/>
  <c r="G707" i="20" s="1"/>
  <c r="D192" i="20"/>
  <c r="E478" i="20"/>
  <c r="E722" i="20"/>
  <c r="F748" i="20"/>
  <c r="G749" i="20" s="1"/>
  <c r="D586" i="20"/>
  <c r="F722" i="20"/>
  <c r="G723" i="20" s="1"/>
  <c r="D256" i="20"/>
  <c r="D258" i="20"/>
  <c r="E335" i="20"/>
  <c r="E740" i="20"/>
  <c r="E1065" i="20"/>
  <c r="F1189" i="20"/>
  <c r="G1190" i="20" s="1"/>
  <c r="F258" i="20"/>
  <c r="G259" i="20" s="1"/>
  <c r="F335" i="20"/>
  <c r="G336" i="20" s="1"/>
  <c r="F364" i="20"/>
  <c r="G365" i="20" s="1"/>
  <c r="D441" i="20"/>
  <c r="E589" i="20"/>
  <c r="F97" i="20"/>
  <c r="G98" i="20" s="1"/>
  <c r="E441" i="20"/>
  <c r="Y14" i="13"/>
  <c r="Z14" i="13"/>
  <c r="E49" i="20"/>
  <c r="E366" i="20"/>
  <c r="D744" i="20"/>
  <c r="F1056" i="20"/>
  <c r="G1057" i="20" s="1"/>
  <c r="L19" i="15"/>
  <c r="F49" i="20"/>
  <c r="G50" i="20" s="1"/>
  <c r="F366" i="20"/>
  <c r="G367" i="20" s="1"/>
  <c r="E744" i="20"/>
  <c r="L29" i="7"/>
  <c r="K29" i="7" s="1"/>
  <c r="D190" i="20"/>
  <c r="F1012" i="20"/>
  <c r="G1013" i="20" s="1"/>
  <c r="D288" i="20"/>
  <c r="E509" i="20"/>
  <c r="D580" i="20"/>
  <c r="F888" i="20"/>
  <c r="G889" i="20" s="1"/>
  <c r="F1248" i="20"/>
  <c r="G1249" i="20" s="1"/>
  <c r="F141" i="20"/>
  <c r="G142" i="20" s="1"/>
  <c r="F332" i="20"/>
  <c r="G333" i="20" s="1"/>
  <c r="D431" i="20"/>
  <c r="E470" i="20"/>
  <c r="F509" i="20"/>
  <c r="G510" i="20" s="1"/>
  <c r="F580" i="20"/>
  <c r="G581" i="20" s="1"/>
  <c r="D604" i="20"/>
  <c r="D692" i="20"/>
  <c r="D960" i="20"/>
  <c r="D973" i="20"/>
  <c r="E1060" i="20"/>
  <c r="D1071" i="20"/>
  <c r="E431" i="20"/>
  <c r="E604" i="20"/>
  <c r="E692" i="20"/>
  <c r="E960" i="20"/>
  <c r="F973" i="20"/>
  <c r="G974" i="20" s="1"/>
  <c r="E1071" i="20"/>
  <c r="E1169" i="20"/>
  <c r="F484" i="20"/>
  <c r="G485" i="20" s="1"/>
  <c r="F680" i="20"/>
  <c r="G681" i="20" s="1"/>
  <c r="F788" i="20"/>
  <c r="G789" i="20" s="1"/>
  <c r="E1211" i="20"/>
  <c r="E76" i="20"/>
  <c r="D117" i="20"/>
  <c r="E8" i="20"/>
  <c r="F76" i="20"/>
  <c r="G77" i="20" s="1"/>
  <c r="E117" i="20"/>
  <c r="D322" i="20"/>
  <c r="F348" i="20"/>
  <c r="G349" i="20" s="1"/>
  <c r="E1072" i="20"/>
  <c r="F1085" i="20"/>
  <c r="G1086" i="20" s="1"/>
  <c r="F1116" i="20"/>
  <c r="G1117" i="20" s="1"/>
  <c r="E1223" i="20"/>
  <c r="F1072" i="20"/>
  <c r="G1073" i="20" s="1"/>
  <c r="F170" i="20"/>
  <c r="G171" i="20" s="1"/>
  <c r="F24" i="20"/>
  <c r="G25" i="20" s="1"/>
  <c r="D390" i="20"/>
  <c r="F682" i="20"/>
  <c r="G683" i="20" s="1"/>
  <c r="D694" i="20"/>
  <c r="F790" i="20"/>
  <c r="G791" i="20" s="1"/>
  <c r="D324" i="20"/>
  <c r="E390" i="20"/>
  <c r="F514" i="20"/>
  <c r="G515" i="20" s="1"/>
  <c r="F541" i="20"/>
  <c r="G542" i="20" s="1"/>
  <c r="E694" i="20"/>
  <c r="D819" i="20"/>
  <c r="F993" i="20"/>
  <c r="G994" i="20" s="1"/>
  <c r="E1241" i="20"/>
  <c r="J49" i="9"/>
  <c r="E120" i="20"/>
  <c r="F530" i="20"/>
  <c r="G531" i="20" s="1"/>
  <c r="E896" i="20"/>
  <c r="F1216" i="20"/>
  <c r="G1217" i="20" s="1"/>
  <c r="E438" i="20"/>
  <c r="F465" i="20"/>
  <c r="G466" i="20" s="1"/>
  <c r="F598" i="20"/>
  <c r="G599" i="20" s="1"/>
  <c r="F657" i="20"/>
  <c r="G658" i="20" s="1"/>
  <c r="F780" i="20"/>
  <c r="G781" i="20" s="1"/>
  <c r="E1066" i="20"/>
  <c r="F120" i="20"/>
  <c r="G121" i="20" s="1"/>
  <c r="F438" i="20"/>
  <c r="G439" i="20" s="1"/>
  <c r="D478" i="20"/>
  <c r="F808" i="20"/>
  <c r="G809" i="20" s="1"/>
  <c r="E1056" i="20"/>
  <c r="D1122" i="20"/>
  <c r="E1122" i="20"/>
  <c r="E286" i="20"/>
  <c r="D300" i="20"/>
  <c r="F467" i="20"/>
  <c r="G468" i="20" s="1"/>
  <c r="E699" i="20"/>
  <c r="F886" i="20"/>
  <c r="G887" i="20" s="1"/>
  <c r="F915" i="20"/>
  <c r="G916" i="20" s="1"/>
  <c r="E929" i="20"/>
  <c r="E1136" i="20"/>
  <c r="E1218" i="20"/>
  <c r="K20" i="15"/>
  <c r="F6" i="14" s="1"/>
  <c r="J6" i="14" s="1"/>
  <c r="J9" i="14" s="1"/>
  <c r="J12" i="14" s="1"/>
  <c r="F84" i="20"/>
  <c r="G85" i="20" s="1"/>
  <c r="F243" i="20"/>
  <c r="G244" i="20" s="1"/>
  <c r="E534" i="20"/>
  <c r="F579" i="20"/>
  <c r="G580" i="20" s="1"/>
  <c r="F714" i="20"/>
  <c r="G715" i="20" s="1"/>
  <c r="F769" i="20"/>
  <c r="G770" i="20" s="1"/>
  <c r="D797" i="20"/>
  <c r="F856" i="20"/>
  <c r="G857" i="20" s="1"/>
  <c r="F929" i="20"/>
  <c r="G930" i="20" s="1"/>
  <c r="F1136" i="20"/>
  <c r="G1137" i="20" s="1"/>
  <c r="E1207" i="20"/>
  <c r="W5" i="2"/>
  <c r="C2" i="5"/>
  <c r="C210" i="5" s="1"/>
  <c r="F195" i="20"/>
  <c r="G196" i="20" s="1"/>
  <c r="E432" i="20"/>
  <c r="D442" i="20"/>
  <c r="F1128" i="20"/>
  <c r="G1129" i="20" s="1"/>
  <c r="E866" i="20"/>
  <c r="F434" i="20"/>
  <c r="G435" i="20" s="1"/>
  <c r="E556" i="20"/>
  <c r="D811" i="20"/>
  <c r="J32" i="13"/>
  <c r="W32" i="13" s="1"/>
  <c r="F15" i="10"/>
  <c r="G15" i="10" s="1"/>
  <c r="K15" i="10" s="1"/>
  <c r="E920" i="20"/>
  <c r="F1119" i="20"/>
  <c r="G1120" i="20" s="1"/>
  <c r="E1129" i="20"/>
  <c r="AA13" i="13"/>
  <c r="J49" i="13"/>
  <c r="U49" i="13" s="1"/>
  <c r="E164" i="20"/>
  <c r="E240" i="20"/>
  <c r="D329" i="20"/>
  <c r="F329" i="20"/>
  <c r="G330" i="20" s="1"/>
  <c r="D491" i="20"/>
  <c r="F662" i="20"/>
  <c r="G663" i="20" s="1"/>
  <c r="D739" i="20"/>
  <c r="F739" i="20"/>
  <c r="G740" i="20" s="1"/>
  <c r="E739" i="20"/>
  <c r="F868" i="20"/>
  <c r="G869" i="20" s="1"/>
  <c r="E933" i="20"/>
  <c r="F933" i="20"/>
  <c r="G934" i="20" s="1"/>
  <c r="D987" i="20"/>
  <c r="D1024" i="20"/>
  <c r="J14" i="13"/>
  <c r="V14" i="13" s="1"/>
  <c r="F9" i="10"/>
  <c r="H9" i="10" s="1"/>
  <c r="AB14" i="13"/>
  <c r="Z32" i="13"/>
  <c r="Y40" i="13"/>
  <c r="Y49" i="13"/>
  <c r="F78" i="20"/>
  <c r="G79" i="20" s="1"/>
  <c r="F164" i="20"/>
  <c r="G165" i="20" s="1"/>
  <c r="F240" i="20"/>
  <c r="G241" i="20" s="1"/>
  <c r="F252" i="20"/>
  <c r="G253" i="20" s="1"/>
  <c r="D480" i="20"/>
  <c r="E491" i="20"/>
  <c r="E546" i="20"/>
  <c r="F921" i="20"/>
  <c r="G922" i="20" s="1"/>
  <c r="D933" i="20"/>
  <c r="E987" i="20"/>
  <c r="E1024" i="20"/>
  <c r="F1109" i="20"/>
  <c r="G1110" i="20" s="1"/>
  <c r="D1183" i="20"/>
  <c r="D1253" i="20"/>
  <c r="E1253" i="20"/>
  <c r="F1253" i="20"/>
  <c r="G1254" i="20" s="1"/>
  <c r="D208" i="20"/>
  <c r="F325" i="20"/>
  <c r="G326" i="20" s="1"/>
  <c r="E1047" i="20"/>
  <c r="F1106" i="20"/>
  <c r="G1107" i="20" s="1"/>
  <c r="D1119" i="20"/>
  <c r="D302" i="20"/>
  <c r="E662" i="20"/>
  <c r="Z21" i="13"/>
  <c r="E177" i="20"/>
  <c r="F177" i="20"/>
  <c r="G178" i="20" s="1"/>
  <c r="E302" i="20"/>
  <c r="D546" i="20"/>
  <c r="F557" i="20"/>
  <c r="G558" i="20" s="1"/>
  <c r="G12" i="10"/>
  <c r="K12" i="10" s="1"/>
  <c r="AA32" i="13"/>
  <c r="Z40" i="13"/>
  <c r="Z49" i="13"/>
  <c r="L21" i="15"/>
  <c r="E7" i="20"/>
  <c r="F7" i="20"/>
  <c r="G8" i="20" s="1"/>
  <c r="F202" i="20"/>
  <c r="G203" i="20" s="1"/>
  <c r="E202" i="20"/>
  <c r="D202" i="20"/>
  <c r="F480" i="20"/>
  <c r="G481" i="20" s="1"/>
  <c r="E492" i="20"/>
  <c r="F492" i="20"/>
  <c r="G493" i="20" s="1"/>
  <c r="D790" i="20"/>
  <c r="F870" i="20"/>
  <c r="G871" i="20" s="1"/>
  <c r="D870" i="20"/>
  <c r="E870" i="20"/>
  <c r="E1183" i="20"/>
  <c r="AA30" i="13"/>
  <c r="F13" i="10"/>
  <c r="G13" i="10" s="1"/>
  <c r="K13" i="10" s="1"/>
  <c r="F224" i="20"/>
  <c r="G225" i="20" s="1"/>
  <c r="E224" i="20"/>
  <c r="D224" i="20"/>
  <c r="F249" i="20"/>
  <c r="G250" i="20" s="1"/>
  <c r="D260" i="20"/>
  <c r="F15" i="20"/>
  <c r="G16" i="20" s="1"/>
  <c r="D124" i="20"/>
  <c r="F996" i="20"/>
  <c r="G997" i="20" s="1"/>
  <c r="AB32" i="13"/>
  <c r="F726" i="20"/>
  <c r="G727" i="20" s="1"/>
  <c r="E726" i="20"/>
  <c r="E74" i="20"/>
  <c r="D74" i="20"/>
  <c r="F74" i="20"/>
  <c r="G75" i="20" s="1"/>
  <c r="F25" i="20"/>
  <c r="G26" i="20" s="1"/>
  <c r="D85" i="20"/>
  <c r="D113" i="20"/>
  <c r="F113" i="20"/>
  <c r="G114" i="20" s="1"/>
  <c r="E113" i="20"/>
  <c r="D556" i="20"/>
  <c r="F1047" i="20"/>
  <c r="G1048" i="20" s="1"/>
  <c r="E1214" i="20"/>
  <c r="D142" i="20"/>
  <c r="D155" i="20"/>
  <c r="F396" i="20"/>
  <c r="G397" i="20" s="1"/>
  <c r="F624" i="20"/>
  <c r="G625" i="20" s="1"/>
  <c r="E624" i="20"/>
  <c r="D1242" i="20"/>
  <c r="E1242" i="20"/>
  <c r="F1242" i="20"/>
  <c r="G1243" i="20" s="1"/>
  <c r="F516" i="20"/>
  <c r="G517" i="20" s="1"/>
  <c r="E208" i="20"/>
  <c r="D822" i="20"/>
  <c r="D996" i="20"/>
  <c r="D1214" i="20"/>
  <c r="F187" i="20"/>
  <c r="G188" i="20" s="1"/>
  <c r="F511" i="20"/>
  <c r="G512" i="20" s="1"/>
  <c r="E55" i="20"/>
  <c r="F464" i="20"/>
  <c r="G465" i="20" s="1"/>
  <c r="E483" i="20"/>
  <c r="F483" i="20"/>
  <c r="G484" i="20" s="1"/>
  <c r="F537" i="20"/>
  <c r="G538" i="20" s="1"/>
  <c r="D624" i="20"/>
  <c r="D703" i="20"/>
  <c r="D913" i="20"/>
  <c r="E1015" i="20"/>
  <c r="D1184" i="20"/>
  <c r="E1230" i="20"/>
  <c r="F454" i="20"/>
  <c r="G455" i="20" s="1"/>
  <c r="E35" i="20"/>
  <c r="E15" i="20"/>
  <c r="K201" i="5"/>
  <c r="K207" i="5" s="1"/>
  <c r="F140" i="20"/>
  <c r="G141" i="20" s="1"/>
  <c r="E140" i="20"/>
  <c r="D140" i="20"/>
  <c r="AB49" i="13"/>
  <c r="E142" i="20"/>
  <c r="E155" i="20"/>
  <c r="D231" i="20"/>
  <c r="F231" i="20"/>
  <c r="G232" i="20" s="1"/>
  <c r="E231" i="20"/>
  <c r="D474" i="20"/>
  <c r="D483" i="20"/>
  <c r="E527" i="20"/>
  <c r="F538" i="20"/>
  <c r="G539" i="20" s="1"/>
  <c r="D538" i="20"/>
  <c r="E538" i="20"/>
  <c r="D611" i="20"/>
  <c r="E703" i="20"/>
  <c r="E754" i="20"/>
  <c r="E767" i="20"/>
  <c r="E913" i="20"/>
  <c r="F978" i="20"/>
  <c r="G979" i="20" s="1"/>
  <c r="E978" i="20"/>
  <c r="F1015" i="20"/>
  <c r="G1016" i="20" s="1"/>
  <c r="E1147" i="20"/>
  <c r="E1184" i="20"/>
  <c r="F1230" i="20"/>
  <c r="G1231" i="20" s="1"/>
  <c r="E25" i="20"/>
  <c r="F849" i="20"/>
  <c r="G850" i="20" s="1"/>
  <c r="F100" i="20"/>
  <c r="G101" i="20" s="1"/>
  <c r="E100" i="20"/>
  <c r="D510" i="20"/>
  <c r="E1106" i="20"/>
  <c r="F138" i="20"/>
  <c r="G139" i="20" s="1"/>
  <c r="E138" i="20"/>
  <c r="E510" i="20"/>
  <c r="E881" i="20"/>
  <c r="F881" i="20"/>
  <c r="G882" i="20" s="1"/>
  <c r="D1129" i="20"/>
  <c r="Y32" i="13"/>
  <c r="F128" i="20"/>
  <c r="G129" i="20" s="1"/>
  <c r="E128" i="20"/>
  <c r="D128" i="20"/>
  <c r="F218" i="20"/>
  <c r="G219" i="20" s="1"/>
  <c r="D465" i="20"/>
  <c r="E474" i="20"/>
  <c r="F515" i="20"/>
  <c r="G516" i="20" s="1"/>
  <c r="F527" i="20"/>
  <c r="G528" i="20" s="1"/>
  <c r="F611" i="20"/>
  <c r="G612" i="20" s="1"/>
  <c r="F743" i="20"/>
  <c r="G744" i="20" s="1"/>
  <c r="F754" i="20"/>
  <c r="G755" i="20" s="1"/>
  <c r="F767" i="20"/>
  <c r="G768" i="20" s="1"/>
  <c r="E1016" i="20"/>
  <c r="F1016" i="20"/>
  <c r="G1017" i="20" s="1"/>
  <c r="D1103" i="20"/>
  <c r="F956" i="20"/>
  <c r="G957" i="20" s="1"/>
  <c r="E956" i="20"/>
  <c r="D956" i="20"/>
  <c r="D35" i="20"/>
  <c r="D249" i="20"/>
  <c r="F442" i="20"/>
  <c r="G443" i="20" s="1"/>
  <c r="E197" i="20"/>
  <c r="D583" i="20"/>
  <c r="E583" i="20"/>
  <c r="F583" i="20"/>
  <c r="G584" i="20" s="1"/>
  <c r="E822" i="20"/>
  <c r="F946" i="20"/>
  <c r="G947" i="20" s="1"/>
  <c r="E946" i="20"/>
  <c r="D946" i="20"/>
  <c r="AB39" i="13"/>
  <c r="F799" i="20"/>
  <c r="G800" i="20" s="1"/>
  <c r="E811" i="20"/>
  <c r="K28" i="9"/>
  <c r="L28" i="9" s="1"/>
  <c r="L45" i="9" s="1"/>
  <c r="J45" i="9"/>
  <c r="K19" i="15"/>
  <c r="F33" i="20"/>
  <c r="G34" i="20" s="1"/>
  <c r="F57" i="20"/>
  <c r="G58" i="20" s="1"/>
  <c r="E57" i="20"/>
  <c r="D97" i="20"/>
  <c r="D298" i="20"/>
  <c r="F298" i="20"/>
  <c r="G299" i="20" s="1"/>
  <c r="E298" i="20"/>
  <c r="D348" i="20"/>
  <c r="E400" i="20"/>
  <c r="F400" i="20"/>
  <c r="G401" i="20" s="1"/>
  <c r="D400" i="20"/>
  <c r="D589" i="20"/>
  <c r="E768" i="20"/>
  <c r="F768" i="20"/>
  <c r="G769" i="20" s="1"/>
  <c r="E888" i="20"/>
  <c r="D1066" i="20"/>
  <c r="E1103" i="20"/>
  <c r="D167" i="20"/>
  <c r="D512" i="20"/>
  <c r="F548" i="20"/>
  <c r="G549" i="20" s="1"/>
  <c r="D863" i="20"/>
  <c r="D988" i="20"/>
  <c r="D1008" i="20"/>
  <c r="E1028" i="20"/>
  <c r="F1091" i="20"/>
  <c r="G1092" i="20" s="1"/>
  <c r="E1104" i="20"/>
  <c r="F1176" i="20"/>
  <c r="G1177" i="20" s="1"/>
  <c r="F17" i="20"/>
  <c r="G18" i="20" s="1"/>
  <c r="F90" i="20"/>
  <c r="G91" i="20" s="1"/>
  <c r="D243" i="20"/>
  <c r="D253" i="20"/>
  <c r="E261" i="20"/>
  <c r="D350" i="20"/>
  <c r="D8" i="20"/>
  <c r="E112" i="20"/>
  <c r="D146" i="20"/>
  <c r="E157" i="20"/>
  <c r="E167" i="20"/>
  <c r="E253" i="20"/>
  <c r="F261" i="20"/>
  <c r="G262" i="20" s="1"/>
  <c r="F328" i="20"/>
  <c r="G329" i="20" s="1"/>
  <c r="F350" i="20"/>
  <c r="G351" i="20" s="1"/>
  <c r="F361" i="20"/>
  <c r="G362" i="20" s="1"/>
  <c r="E467" i="20"/>
  <c r="D484" i="20"/>
  <c r="E512" i="20"/>
  <c r="D530" i="20"/>
  <c r="F654" i="20"/>
  <c r="G655" i="20" s="1"/>
  <c r="E706" i="20"/>
  <c r="E718" i="20"/>
  <c r="D748" i="20"/>
  <c r="E769" i="20"/>
  <c r="F794" i="20"/>
  <c r="G795" i="20" s="1"/>
  <c r="E863" i="20"/>
  <c r="F988" i="20"/>
  <c r="G989" i="20" s="1"/>
  <c r="F1008" i="20"/>
  <c r="G1009" i="20" s="1"/>
  <c r="F1028" i="20"/>
  <c r="G1029" i="20" s="1"/>
  <c r="F1039" i="20"/>
  <c r="G1040" i="20" s="1"/>
  <c r="D1060" i="20"/>
  <c r="F1104" i="20"/>
  <c r="G1105" i="20" s="1"/>
  <c r="E1152" i="20"/>
  <c r="D1207" i="20"/>
  <c r="D1223" i="20"/>
  <c r="F576" i="20"/>
  <c r="G577" i="20" s="1"/>
  <c r="F641" i="20"/>
  <c r="G642" i="20" s="1"/>
  <c r="D678" i="20"/>
  <c r="E719" i="20"/>
  <c r="F840" i="20"/>
  <c r="G841" i="20" s="1"/>
  <c r="E854" i="20"/>
  <c r="E894" i="20"/>
  <c r="E980" i="20"/>
  <c r="D999" i="20"/>
  <c r="E1051" i="20"/>
  <c r="D1197" i="20"/>
  <c r="E1234" i="20"/>
  <c r="I35" i="12"/>
  <c r="E103" i="20"/>
  <c r="E308" i="20"/>
  <c r="D468" i="20"/>
  <c r="E594" i="20"/>
  <c r="E678" i="20"/>
  <c r="E689" i="20"/>
  <c r="F707" i="20"/>
  <c r="G708" i="20" s="1"/>
  <c r="F719" i="20"/>
  <c r="G720" i="20" s="1"/>
  <c r="E761" i="20"/>
  <c r="F785" i="20"/>
  <c r="G786" i="20" s="1"/>
  <c r="D796" i="20"/>
  <c r="F854" i="20"/>
  <c r="G855" i="20" s="1"/>
  <c r="D864" i="20"/>
  <c r="F894" i="20"/>
  <c r="G895" i="20" s="1"/>
  <c r="D928" i="20"/>
  <c r="D937" i="20"/>
  <c r="D948" i="20"/>
  <c r="E999" i="20"/>
  <c r="F1020" i="20"/>
  <c r="G1021" i="20" s="1"/>
  <c r="F1030" i="20"/>
  <c r="G1031" i="20" s="1"/>
  <c r="D1105" i="20"/>
  <c r="D1133" i="20"/>
  <c r="F1186" i="20"/>
  <c r="G1187" i="20" s="1"/>
  <c r="F1197" i="20"/>
  <c r="G1198" i="20" s="1"/>
  <c r="E1217" i="20"/>
  <c r="F1234" i="20"/>
  <c r="G1235" i="20" s="1"/>
  <c r="D1256" i="20"/>
  <c r="D61" i="20"/>
  <c r="F61" i="20"/>
  <c r="G62" i="20" s="1"/>
  <c r="F468" i="20"/>
  <c r="G469" i="20" s="1"/>
  <c r="F761" i="20"/>
  <c r="G762" i="20" s="1"/>
  <c r="E796" i="20"/>
  <c r="E864" i="20"/>
  <c r="E928" i="20"/>
  <c r="E937" i="20"/>
  <c r="F948" i="20"/>
  <c r="G949" i="20" s="1"/>
  <c r="E1105" i="20"/>
  <c r="E1133" i="20"/>
  <c r="F1217" i="20"/>
  <c r="G1218" i="20" s="1"/>
  <c r="F1256" i="20"/>
  <c r="G1257" i="20" s="1"/>
  <c r="F30" i="20"/>
  <c r="G31" i="20" s="1"/>
  <c r="F103" i="20"/>
  <c r="G104" i="20" s="1"/>
  <c r="F308" i="20"/>
  <c r="G309" i="20" s="1"/>
  <c r="D84" i="20"/>
  <c r="D150" i="20"/>
  <c r="D377" i="20"/>
  <c r="E463" i="20"/>
  <c r="E669" i="20"/>
  <c r="D742" i="20"/>
  <c r="D886" i="20"/>
  <c r="D895" i="20"/>
  <c r="D1012" i="20"/>
  <c r="D1031" i="20"/>
  <c r="E131" i="20"/>
  <c r="G16" i="10"/>
  <c r="K16" i="10" s="1"/>
  <c r="F131" i="20"/>
  <c r="G132" i="20" s="1"/>
  <c r="E192" i="20"/>
  <c r="E256" i="20"/>
  <c r="E288" i="20"/>
  <c r="E322" i="20"/>
  <c r="D514" i="20"/>
  <c r="F565" i="20"/>
  <c r="G566" i="20" s="1"/>
  <c r="I81" i="12"/>
  <c r="D141" i="20"/>
  <c r="F150" i="20"/>
  <c r="G151" i="20" s="1"/>
  <c r="F161" i="20"/>
  <c r="G162" i="20" s="1"/>
  <c r="F214" i="20"/>
  <c r="G215" i="20" s="1"/>
  <c r="E332" i="20"/>
  <c r="E377" i="20"/>
  <c r="F463" i="20"/>
  <c r="G464" i="20" s="1"/>
  <c r="F488" i="20"/>
  <c r="G489" i="20" s="1"/>
  <c r="D534" i="20"/>
  <c r="E579" i="20"/>
  <c r="F700" i="20"/>
  <c r="G701" i="20" s="1"/>
  <c r="F732" i="20"/>
  <c r="G733" i="20" s="1"/>
  <c r="E742" i="20"/>
  <c r="E808" i="20"/>
  <c r="E856" i="20"/>
  <c r="E895" i="20"/>
  <c r="F919" i="20"/>
  <c r="G920" i="20" s="1"/>
  <c r="E993" i="20"/>
  <c r="E1001" i="20"/>
  <c r="E1031" i="20"/>
  <c r="F1054" i="20"/>
  <c r="G1055" i="20" s="1"/>
  <c r="E1116" i="20"/>
  <c r="E1156" i="20"/>
  <c r="C196" i="5"/>
  <c r="H200" i="5"/>
  <c r="I200" i="5"/>
  <c r="J201" i="5"/>
  <c r="J207" i="5" s="1"/>
  <c r="E38" i="1"/>
  <c r="E40" i="1" s="1"/>
  <c r="E13" i="1" s="1"/>
  <c r="E50" i="20"/>
  <c r="D50" i="20"/>
  <c r="F295" i="20"/>
  <c r="G296" i="20" s="1"/>
  <c r="E295" i="20"/>
  <c r="D493" i="20"/>
  <c r="F493" i="20"/>
  <c r="G494" i="20" s="1"/>
  <c r="E493" i="20"/>
  <c r="E568" i="20"/>
  <c r="F568" i="20"/>
  <c r="G569" i="20" s="1"/>
  <c r="F642" i="20"/>
  <c r="G643" i="20" s="1"/>
  <c r="E642" i="20"/>
  <c r="D44" i="20"/>
  <c r="F44" i="20"/>
  <c r="G45" i="20" s="1"/>
  <c r="F50" i="20"/>
  <c r="G51" i="20" s="1"/>
  <c r="D86" i="20"/>
  <c r="D532" i="20"/>
  <c r="F532" i="20"/>
  <c r="G533" i="20" s="1"/>
  <c r="E532" i="20"/>
  <c r="D642" i="20"/>
  <c r="F663" i="20"/>
  <c r="G664" i="20" s="1"/>
  <c r="F708" i="20"/>
  <c r="G709" i="20" s="1"/>
  <c r="E708" i="20"/>
  <c r="D708" i="20"/>
  <c r="D775" i="20"/>
  <c r="F775" i="20"/>
  <c r="G776" i="20" s="1"/>
  <c r="E984" i="20"/>
  <c r="F984" i="20"/>
  <c r="G985" i="20" s="1"/>
  <c r="D1191" i="20"/>
  <c r="D80" i="20"/>
  <c r="F86" i="20"/>
  <c r="G87" i="20" s="1"/>
  <c r="F111" i="20"/>
  <c r="G112" i="20" s="1"/>
  <c r="E397" i="20"/>
  <c r="F418" i="20"/>
  <c r="G419" i="20" s="1"/>
  <c r="E418" i="20"/>
  <c r="D418" i="20"/>
  <c r="D450" i="20"/>
  <c r="D458" i="20"/>
  <c r="D479" i="20"/>
  <c r="E479" i="20"/>
  <c r="F701" i="20"/>
  <c r="G702" i="20" s="1"/>
  <c r="E701" i="20"/>
  <c r="F898" i="20"/>
  <c r="G899" i="20" s="1"/>
  <c r="E898" i="20"/>
  <c r="AB22" i="13"/>
  <c r="J22" i="13"/>
  <c r="U22" i="13" s="1"/>
  <c r="F11" i="10"/>
  <c r="G11" i="10" s="1"/>
  <c r="K11" i="10" s="1"/>
  <c r="F31" i="20"/>
  <c r="G32" i="20" s="1"/>
  <c r="F36" i="20"/>
  <c r="G37" i="20" s="1"/>
  <c r="F51" i="20"/>
  <c r="G52" i="20" s="1"/>
  <c r="E59" i="20"/>
  <c r="D59" i="20"/>
  <c r="E80" i="20"/>
  <c r="D125" i="20"/>
  <c r="E144" i="20"/>
  <c r="E313" i="20"/>
  <c r="F313" i="20"/>
  <c r="G314" i="20" s="1"/>
  <c r="F397" i="20"/>
  <c r="G398" i="20" s="1"/>
  <c r="E472" i="20"/>
  <c r="D472" i="20"/>
  <c r="F479" i="20"/>
  <c r="G480" i="20" s="1"/>
  <c r="E656" i="20"/>
  <c r="D701" i="20"/>
  <c r="F746" i="20"/>
  <c r="G747" i="20" s="1"/>
  <c r="D786" i="20"/>
  <c r="D898" i="20"/>
  <c r="E975" i="20"/>
  <c r="F975" i="20"/>
  <c r="G976" i="20" s="1"/>
  <c r="D9" i="20"/>
  <c r="F9" i="20"/>
  <c r="G10" i="20" s="1"/>
  <c r="E9" i="20"/>
  <c r="D88" i="20"/>
  <c r="F88" i="20"/>
  <c r="G89" i="20" s="1"/>
  <c r="E88" i="20"/>
  <c r="D196" i="20"/>
  <c r="D242" i="20"/>
  <c r="F242" i="20"/>
  <c r="G243" i="20" s="1"/>
  <c r="D297" i="20"/>
  <c r="E551" i="20"/>
  <c r="F551" i="20"/>
  <c r="G552" i="20" s="1"/>
  <c r="D684" i="20"/>
  <c r="E684" i="20"/>
  <c r="E786" i="20"/>
  <c r="D1040" i="20"/>
  <c r="F1040" i="20"/>
  <c r="G1041" i="20" s="1"/>
  <c r="E1040" i="20"/>
  <c r="F1100" i="20"/>
  <c r="G1101" i="20" s="1"/>
  <c r="E1100" i="20"/>
  <c r="D1167" i="20"/>
  <c r="Y22" i="13"/>
  <c r="AB50" i="13"/>
  <c r="J50" i="13"/>
  <c r="X50" i="13" s="1"/>
  <c r="Y50" i="13"/>
  <c r="E32" i="20"/>
  <c r="F32" i="20"/>
  <c r="G33" i="20" s="1"/>
  <c r="D45" i="20"/>
  <c r="F68" i="20"/>
  <c r="G69" i="20" s="1"/>
  <c r="E75" i="20"/>
  <c r="E398" i="20"/>
  <c r="D451" i="20"/>
  <c r="F451" i="20"/>
  <c r="G452" i="20" s="1"/>
  <c r="D551" i="20"/>
  <c r="F684" i="20"/>
  <c r="G685" i="20" s="1"/>
  <c r="F1068" i="20"/>
  <c r="G1069" i="20" s="1"/>
  <c r="E1068" i="20"/>
  <c r="D1090" i="20"/>
  <c r="D1236" i="20"/>
  <c r="F1236" i="20"/>
  <c r="G1237" i="20" s="1"/>
  <c r="E1236" i="20"/>
  <c r="D1254" i="20"/>
  <c r="F22" i="10"/>
  <c r="H22" i="10" s="1"/>
  <c r="AB51" i="13"/>
  <c r="AA51" i="13"/>
  <c r="F3" i="20"/>
  <c r="G4" i="20" s="1"/>
  <c r="E3" i="20"/>
  <c r="D32" i="20"/>
  <c r="E53" i="20"/>
  <c r="F53" i="20"/>
  <c r="G54" i="20" s="1"/>
  <c r="E133" i="20"/>
  <c r="E145" i="20"/>
  <c r="E211" i="20"/>
  <c r="F289" i="20"/>
  <c r="G290" i="20" s="1"/>
  <c r="E380" i="20"/>
  <c r="F398" i="20"/>
  <c r="G399" i="20" s="1"/>
  <c r="E552" i="20"/>
  <c r="F552" i="20"/>
  <c r="G553" i="20" s="1"/>
  <c r="D588" i="20"/>
  <c r="F588" i="20"/>
  <c r="G589" i="20" s="1"/>
  <c r="D666" i="20"/>
  <c r="D883" i="20"/>
  <c r="E966" i="20"/>
  <c r="F966" i="20"/>
  <c r="G967" i="20" s="1"/>
  <c r="F1146" i="20"/>
  <c r="G1147" i="20" s="1"/>
  <c r="E1146" i="20"/>
  <c r="D1146" i="20"/>
  <c r="D1205" i="20"/>
  <c r="F1205" i="20"/>
  <c r="G1206" i="20" s="1"/>
  <c r="E1205" i="20"/>
  <c r="F1254" i="20"/>
  <c r="G1255" i="20" s="1"/>
  <c r="F18" i="20"/>
  <c r="G19" i="20" s="1"/>
  <c r="F46" i="20"/>
  <c r="G47" i="20" s="1"/>
  <c r="D46" i="20"/>
  <c r="D53" i="20"/>
  <c r="D69" i="20"/>
  <c r="D98" i="20"/>
  <c r="F98" i="20"/>
  <c r="G99" i="20" s="1"/>
  <c r="E98" i="20"/>
  <c r="D126" i="20"/>
  <c r="F133" i="20"/>
  <c r="G134" i="20" s="1"/>
  <c r="F145" i="20"/>
  <c r="G146" i="20" s="1"/>
  <c r="F211" i="20"/>
  <c r="G212" i="20" s="1"/>
  <c r="D221" i="20"/>
  <c r="E221" i="20"/>
  <c r="E235" i="20"/>
  <c r="F250" i="20"/>
  <c r="G251" i="20" s="1"/>
  <c r="E250" i="20"/>
  <c r="E452" i="20"/>
  <c r="D452" i="20"/>
  <c r="D490" i="20"/>
  <c r="F490" i="20"/>
  <c r="G491" i="20" s="1"/>
  <c r="D544" i="20"/>
  <c r="E544" i="20"/>
  <c r="F806" i="20"/>
  <c r="G807" i="20" s="1"/>
  <c r="E806" i="20"/>
  <c r="D836" i="20"/>
  <c r="F1042" i="20"/>
  <c r="G1043" i="20" s="1"/>
  <c r="E1042" i="20"/>
  <c r="D1042" i="20"/>
  <c r="D1215" i="20"/>
  <c r="F69" i="5"/>
  <c r="J11" i="13"/>
  <c r="X11" i="13" s="1"/>
  <c r="J23" i="13"/>
  <c r="W23" i="13" s="1"/>
  <c r="AB30" i="13"/>
  <c r="D4" i="20"/>
  <c r="D274" i="20"/>
  <c r="E282" i="20"/>
  <c r="E290" i="20"/>
  <c r="D371" i="20"/>
  <c r="D392" i="20"/>
  <c r="F392" i="20"/>
  <c r="G393" i="20" s="1"/>
  <c r="E392" i="20"/>
  <c r="E444" i="20"/>
  <c r="F452" i="20"/>
  <c r="G453" i="20" s="1"/>
  <c r="D482" i="20"/>
  <c r="E490" i="20"/>
  <c r="F544" i="20"/>
  <c r="G545" i="20" s="1"/>
  <c r="D626" i="20"/>
  <c r="E903" i="20"/>
  <c r="F1159" i="20"/>
  <c r="G1160" i="20" s="1"/>
  <c r="E1159" i="20"/>
  <c r="F1239" i="20"/>
  <c r="G1240" i="20" s="1"/>
  <c r="E1239" i="20"/>
  <c r="D1239" i="20"/>
  <c r="Y11" i="13"/>
  <c r="D108" i="20"/>
  <c r="E206" i="20"/>
  <c r="E212" i="20"/>
  <c r="D362" i="20"/>
  <c r="E371" i="20"/>
  <c r="D382" i="20"/>
  <c r="E545" i="20"/>
  <c r="F545" i="20"/>
  <c r="G546" i="20" s="1"/>
  <c r="D607" i="20"/>
  <c r="E626" i="20"/>
  <c r="D649" i="20"/>
  <c r="D723" i="20"/>
  <c r="E723" i="20"/>
  <c r="D914" i="20"/>
  <c r="E914" i="20"/>
  <c r="F914" i="20"/>
  <c r="G915" i="20" s="1"/>
  <c r="D1130" i="20"/>
  <c r="F1130" i="20"/>
  <c r="G1131" i="20" s="1"/>
  <c r="D1159" i="20"/>
  <c r="F1215" i="20"/>
  <c r="G1216" i="20" s="1"/>
  <c r="F1220" i="20"/>
  <c r="G1221" i="20" s="1"/>
  <c r="Z23" i="13"/>
  <c r="Z51" i="13"/>
  <c r="D12" i="20"/>
  <c r="F34" i="20"/>
  <c r="G35" i="20" s="1"/>
  <c r="E63" i="20"/>
  <c r="D63" i="20"/>
  <c r="E108" i="20"/>
  <c r="E114" i="20"/>
  <c r="D136" i="20"/>
  <c r="D200" i="20"/>
  <c r="F206" i="20"/>
  <c r="G207" i="20" s="1"/>
  <c r="F212" i="20"/>
  <c r="G213" i="20" s="1"/>
  <c r="F244" i="20"/>
  <c r="G245" i="20" s="1"/>
  <c r="E244" i="20"/>
  <c r="E251" i="20"/>
  <c r="E382" i="20"/>
  <c r="D500" i="20"/>
  <c r="F500" i="20"/>
  <c r="G501" i="20" s="1"/>
  <c r="F528" i="20"/>
  <c r="G529" i="20" s="1"/>
  <c r="E607" i="20"/>
  <c r="F723" i="20"/>
  <c r="G724" i="20" s="1"/>
  <c r="E817" i="20"/>
  <c r="E944" i="20"/>
  <c r="F944" i="20"/>
  <c r="G945" i="20" s="1"/>
  <c r="E1130" i="20"/>
  <c r="F68" i="5"/>
  <c r="F12" i="20"/>
  <c r="G13" i="20" s="1"/>
  <c r="D93" i="20"/>
  <c r="D175" i="20"/>
  <c r="F433" i="20"/>
  <c r="G434" i="20" s="1"/>
  <c r="E433" i="20"/>
  <c r="D433" i="20"/>
  <c r="E500" i="20"/>
  <c r="F529" i="20"/>
  <c r="G530" i="20" s="1"/>
  <c r="E529" i="20"/>
  <c r="D529" i="20"/>
  <c r="F688" i="20"/>
  <c r="G689" i="20" s="1"/>
  <c r="F724" i="20"/>
  <c r="G725" i="20" s="1"/>
  <c r="E724" i="20"/>
  <c r="D724" i="20"/>
  <c r="E763" i="20"/>
  <c r="F763" i="20"/>
  <c r="G764" i="20" s="1"/>
  <c r="E771" i="20"/>
  <c r="D791" i="20"/>
  <c r="F791" i="20"/>
  <c r="G792" i="20" s="1"/>
  <c r="F817" i="20"/>
  <c r="G818" i="20" s="1"/>
  <c r="E838" i="20"/>
  <c r="D838" i="20"/>
  <c r="D989" i="20"/>
  <c r="E989" i="20"/>
  <c r="F1033" i="20"/>
  <c r="G1034" i="20" s="1"/>
  <c r="D1033" i="20"/>
  <c r="E1033" i="20"/>
  <c r="E1112" i="20"/>
  <c r="F1112" i="20"/>
  <c r="G1113" i="20" s="1"/>
  <c r="F1161" i="20"/>
  <c r="G1162" i="20" s="1"/>
  <c r="E1161" i="20"/>
  <c r="H12" i="10"/>
  <c r="Z12" i="13"/>
  <c r="J40" i="13"/>
  <c r="D201" i="20"/>
  <c r="F207" i="20"/>
  <c r="G208" i="20" s="1"/>
  <c r="F238" i="20"/>
  <c r="G239" i="20" s="1"/>
  <c r="E275" i="20"/>
  <c r="D346" i="20"/>
  <c r="F346" i="20"/>
  <c r="G347" i="20" s="1"/>
  <c r="D522" i="20"/>
  <c r="E716" i="20"/>
  <c r="D763" i="20"/>
  <c r="E859" i="20"/>
  <c r="D859" i="20"/>
  <c r="F916" i="20"/>
  <c r="G917" i="20" s="1"/>
  <c r="E916" i="20"/>
  <c r="F989" i="20"/>
  <c r="G990" i="20" s="1"/>
  <c r="F1026" i="20"/>
  <c r="G1027" i="20" s="1"/>
  <c r="E1026" i="20"/>
  <c r="F1095" i="20"/>
  <c r="G1096" i="20" s="1"/>
  <c r="E1095" i="20"/>
  <c r="D1161" i="20"/>
  <c r="D1250" i="20"/>
  <c r="F1250" i="20"/>
  <c r="G1251" i="20" s="1"/>
  <c r="E201" i="5"/>
  <c r="AA12" i="13"/>
  <c r="J20" i="15"/>
  <c r="F23" i="20"/>
  <c r="G24" i="20" s="1"/>
  <c r="D23" i="20"/>
  <c r="D64" i="20"/>
  <c r="F93" i="20"/>
  <c r="G94" i="20" s="1"/>
  <c r="F123" i="20"/>
  <c r="G124" i="20" s="1"/>
  <c r="E123" i="20"/>
  <c r="E158" i="20"/>
  <c r="F175" i="20"/>
  <c r="G176" i="20" s="1"/>
  <c r="E201" i="20"/>
  <c r="E245" i="20"/>
  <c r="E268" i="20"/>
  <c r="D293" i="20"/>
  <c r="E293" i="20"/>
  <c r="F293" i="20"/>
  <c r="G294" i="20" s="1"/>
  <c r="E301" i="20"/>
  <c r="F301" i="20"/>
  <c r="G302" i="20" s="1"/>
  <c r="F336" i="20"/>
  <c r="G337" i="20" s="1"/>
  <c r="D424" i="20"/>
  <c r="F424" i="20"/>
  <c r="G425" i="20" s="1"/>
  <c r="D434" i="20"/>
  <c r="F469" i="20"/>
  <c r="G470" i="20" s="1"/>
  <c r="E522" i="20"/>
  <c r="D567" i="20"/>
  <c r="D585" i="20"/>
  <c r="F585" i="20"/>
  <c r="G586" i="20" s="1"/>
  <c r="D610" i="20"/>
  <c r="F610" i="20"/>
  <c r="G611" i="20" s="1"/>
  <c r="E610" i="20"/>
  <c r="F818" i="20"/>
  <c r="G819" i="20" s="1"/>
  <c r="F859" i="20"/>
  <c r="G860" i="20" s="1"/>
  <c r="D916" i="20"/>
  <c r="D927" i="20"/>
  <c r="E927" i="20"/>
  <c r="D953" i="20"/>
  <c r="D1026" i="20"/>
  <c r="E1250" i="20"/>
  <c r="D330" i="20"/>
  <c r="F330" i="20"/>
  <c r="G331" i="20" s="1"/>
  <c r="E330" i="20"/>
  <c r="D558" i="20"/>
  <c r="F558" i="20"/>
  <c r="G559" i="20" s="1"/>
  <c r="F578" i="20"/>
  <c r="G579" i="20" s="1"/>
  <c r="E578" i="20"/>
  <c r="F991" i="20"/>
  <c r="G992" i="20" s="1"/>
  <c r="E991" i="20"/>
  <c r="D991" i="20"/>
  <c r="F1074" i="20"/>
  <c r="G1075" i="20" s="1"/>
  <c r="E1074" i="20"/>
  <c r="D1074" i="20"/>
  <c r="D31" i="20"/>
  <c r="D36" i="20"/>
  <c r="D111" i="20"/>
  <c r="D295" i="20"/>
  <c r="D405" i="20"/>
  <c r="F524" i="20"/>
  <c r="G525" i="20" s="1"/>
  <c r="E524" i="20"/>
  <c r="D578" i="20"/>
  <c r="E745" i="20"/>
  <c r="F745" i="20"/>
  <c r="G746" i="20" s="1"/>
  <c r="D745" i="20"/>
  <c r="F897" i="20"/>
  <c r="G898" i="20" s="1"/>
  <c r="E1098" i="20"/>
  <c r="E44" i="20"/>
  <c r="D144" i="20"/>
  <c r="E271" i="20"/>
  <c r="D339" i="20"/>
  <c r="E406" i="20"/>
  <c r="F406" i="20"/>
  <c r="G407" i="20" s="1"/>
  <c r="E673" i="20"/>
  <c r="F673" i="20"/>
  <c r="G674" i="20" s="1"/>
  <c r="F728" i="20"/>
  <c r="G729" i="20" s="1"/>
  <c r="D728" i="20"/>
  <c r="D756" i="20"/>
  <c r="F756" i="20"/>
  <c r="G757" i="20" s="1"/>
  <c r="E756" i="20"/>
  <c r="D984" i="20"/>
  <c r="D1175" i="20"/>
  <c r="F1175" i="20"/>
  <c r="G1176" i="20" s="1"/>
  <c r="E1191" i="20"/>
  <c r="E160" i="20"/>
  <c r="F160" i="20"/>
  <c r="G161" i="20" s="1"/>
  <c r="D160" i="20"/>
  <c r="F271" i="20"/>
  <c r="G272" i="20" s="1"/>
  <c r="E323" i="20"/>
  <c r="D323" i="20"/>
  <c r="E450" i="20"/>
  <c r="E458" i="20"/>
  <c r="E486" i="20"/>
  <c r="F486" i="20"/>
  <c r="G487" i="20" s="1"/>
  <c r="D486" i="20"/>
  <c r="E1175" i="20"/>
  <c r="F59" i="20"/>
  <c r="G60" i="20" s="1"/>
  <c r="D68" i="20"/>
  <c r="D75" i="20"/>
  <c r="F105" i="20"/>
  <c r="G106" i="20" s="1"/>
  <c r="E105" i="20"/>
  <c r="D105" i="20"/>
  <c r="E125" i="20"/>
  <c r="D226" i="20"/>
  <c r="D234" i="20"/>
  <c r="E248" i="20"/>
  <c r="D248" i="20"/>
  <c r="E304" i="20"/>
  <c r="F304" i="20"/>
  <c r="G305" i="20" s="1"/>
  <c r="D313" i="20"/>
  <c r="F323" i="20"/>
  <c r="G324" i="20" s="1"/>
  <c r="D419" i="20"/>
  <c r="E437" i="20"/>
  <c r="F466" i="20"/>
  <c r="G467" i="20" s="1"/>
  <c r="E466" i="20"/>
  <c r="F472" i="20"/>
  <c r="G473" i="20" s="1"/>
  <c r="F595" i="20"/>
  <c r="G596" i="20" s="1"/>
  <c r="D645" i="20"/>
  <c r="F645" i="20"/>
  <c r="G646" i="20" s="1"/>
  <c r="F656" i="20"/>
  <c r="G657" i="20" s="1"/>
  <c r="D938" i="20"/>
  <c r="F938" i="20"/>
  <c r="G939" i="20" s="1"/>
  <c r="E938" i="20"/>
  <c r="D965" i="20"/>
  <c r="D975" i="20"/>
  <c r="E196" i="20"/>
  <c r="E226" i="20"/>
  <c r="E234" i="20"/>
  <c r="E242" i="20"/>
  <c r="D263" i="20"/>
  <c r="E297" i="20"/>
  <c r="D409" i="20"/>
  <c r="F409" i="20"/>
  <c r="G410" i="20" s="1"/>
  <c r="E409" i="20"/>
  <c r="E419" i="20"/>
  <c r="F437" i="20"/>
  <c r="G438" i="20" s="1"/>
  <c r="F526" i="20"/>
  <c r="G527" i="20" s="1"/>
  <c r="E526" i="20"/>
  <c r="D526" i="20"/>
  <c r="D633" i="20"/>
  <c r="E645" i="20"/>
  <c r="F804" i="20"/>
  <c r="G805" i="20" s="1"/>
  <c r="E804" i="20"/>
  <c r="D804" i="20"/>
  <c r="E844" i="20"/>
  <c r="F844" i="20"/>
  <c r="G845" i="20" s="1"/>
  <c r="D844" i="20"/>
  <c r="F900" i="20"/>
  <c r="G901" i="20" s="1"/>
  <c r="E900" i="20"/>
  <c r="D900" i="20"/>
  <c r="E965" i="20"/>
  <c r="F1135" i="20"/>
  <c r="G1136" i="20" s="1"/>
  <c r="E1135" i="20"/>
  <c r="F1167" i="20"/>
  <c r="G1168" i="20" s="1"/>
  <c r="E1247" i="20"/>
  <c r="F1247" i="20"/>
  <c r="G1248" i="20" s="1"/>
  <c r="Z22" i="13"/>
  <c r="F10" i="20"/>
  <c r="G11" i="20" s="1"/>
  <c r="D10" i="20"/>
  <c r="E10" i="20"/>
  <c r="E18" i="20"/>
  <c r="E45" i="20"/>
  <c r="E263" i="20"/>
  <c r="E306" i="20"/>
  <c r="F306" i="20"/>
  <c r="G307" i="20" s="1"/>
  <c r="F343" i="20"/>
  <c r="G344" i="20" s="1"/>
  <c r="E343" i="20"/>
  <c r="E451" i="20"/>
  <c r="E543" i="20"/>
  <c r="E562" i="20"/>
  <c r="F562" i="20"/>
  <c r="G563" i="20" s="1"/>
  <c r="D562" i="20"/>
  <c r="E625" i="20"/>
  <c r="F633" i="20"/>
  <c r="G634" i="20" s="1"/>
  <c r="D949" i="20"/>
  <c r="F949" i="20"/>
  <c r="G950" i="20" s="1"/>
  <c r="E1090" i="20"/>
  <c r="D1135" i="20"/>
  <c r="D1194" i="20"/>
  <c r="F1194" i="20"/>
  <c r="G1195" i="20" s="1"/>
  <c r="D1226" i="20"/>
  <c r="E1226" i="20"/>
  <c r="F1226" i="20"/>
  <c r="G1227" i="20" s="1"/>
  <c r="AA22" i="13"/>
  <c r="Z30" i="13"/>
  <c r="J51" i="13"/>
  <c r="D3" i="20"/>
  <c r="D38" i="20"/>
  <c r="D171" i="20"/>
  <c r="F273" i="20"/>
  <c r="G274" i="20" s="1"/>
  <c r="D273" i="20"/>
  <c r="E273" i="20"/>
  <c r="E316" i="20"/>
  <c r="F316" i="20"/>
  <c r="G317" i="20" s="1"/>
  <c r="D316" i="20"/>
  <c r="D343" i="20"/>
  <c r="F380" i="20"/>
  <c r="G381" i="20" s="1"/>
  <c r="F399" i="20"/>
  <c r="G400" i="20" s="1"/>
  <c r="D399" i="20"/>
  <c r="E399" i="20"/>
  <c r="E410" i="20"/>
  <c r="F498" i="20"/>
  <c r="G499" i="20" s="1"/>
  <c r="E498" i="20"/>
  <c r="D518" i="20"/>
  <c r="F518" i="20"/>
  <c r="G519" i="20" s="1"/>
  <c r="F543" i="20"/>
  <c r="G544" i="20" s="1"/>
  <c r="D552" i="20"/>
  <c r="F574" i="20"/>
  <c r="G575" i="20" s="1"/>
  <c r="D574" i="20"/>
  <c r="E588" i="20"/>
  <c r="D597" i="20"/>
  <c r="F597" i="20"/>
  <c r="G598" i="20" s="1"/>
  <c r="F625" i="20"/>
  <c r="G626" i="20" s="1"/>
  <c r="E634" i="20"/>
  <c r="F634" i="20"/>
  <c r="G635" i="20" s="1"/>
  <c r="F658" i="20"/>
  <c r="G659" i="20" s="1"/>
  <c r="E658" i="20"/>
  <c r="F666" i="20"/>
  <c r="G667" i="20" s="1"/>
  <c r="D731" i="20"/>
  <c r="F731" i="20"/>
  <c r="G732" i="20" s="1"/>
  <c r="D779" i="20"/>
  <c r="F779" i="20"/>
  <c r="G780" i="20" s="1"/>
  <c r="E883" i="20"/>
  <c r="E949" i="20"/>
  <c r="D966" i="20"/>
  <c r="E1194" i="20"/>
  <c r="F1255" i="20"/>
  <c r="G1256" i="20" s="1"/>
  <c r="E1255" i="20"/>
  <c r="AB23" i="13"/>
  <c r="AA23" i="13"/>
  <c r="F27" i="20"/>
  <c r="G28" i="20" s="1"/>
  <c r="E27" i="20"/>
  <c r="F38" i="20"/>
  <c r="G39" i="20" s="1"/>
  <c r="E69" i="20"/>
  <c r="E91" i="20"/>
  <c r="F91" i="20"/>
  <c r="G92" i="20" s="1"/>
  <c r="F107" i="20"/>
  <c r="G108" i="20" s="1"/>
  <c r="E107" i="20"/>
  <c r="D107" i="20"/>
  <c r="D282" i="20"/>
  <c r="D290" i="20"/>
  <c r="E391" i="20"/>
  <c r="F410" i="20"/>
  <c r="G411" i="20" s="1"/>
  <c r="D444" i="20"/>
  <c r="E518" i="20"/>
  <c r="E553" i="20"/>
  <c r="F553" i="20"/>
  <c r="G554" i="20" s="1"/>
  <c r="E574" i="20"/>
  <c r="E597" i="20"/>
  <c r="E779" i="20"/>
  <c r="F942" i="20"/>
  <c r="G943" i="20" s="1"/>
  <c r="E942" i="20"/>
  <c r="D1255" i="20"/>
  <c r="J41" i="7"/>
  <c r="J42" i="7" s="1"/>
  <c r="D121" i="20"/>
  <c r="D250" i="20"/>
  <c r="F317" i="20"/>
  <c r="G318" i="20" s="1"/>
  <c r="E317" i="20"/>
  <c r="E462" i="20"/>
  <c r="F462" i="20"/>
  <c r="G463" i="20" s="1"/>
  <c r="D462" i="20"/>
  <c r="D508" i="20"/>
  <c r="D575" i="20"/>
  <c r="F575" i="20"/>
  <c r="G576" i="20" s="1"/>
  <c r="D636" i="20"/>
  <c r="F636" i="20"/>
  <c r="G637" i="20" s="1"/>
  <c r="E636" i="20"/>
  <c r="F770" i="20"/>
  <c r="G771" i="20" s="1"/>
  <c r="D770" i="20"/>
  <c r="D806" i="20"/>
  <c r="E836" i="20"/>
  <c r="D958" i="20"/>
  <c r="F958" i="20"/>
  <c r="G959" i="20" s="1"/>
  <c r="E958" i="20"/>
  <c r="F1179" i="20"/>
  <c r="G1180" i="20" s="1"/>
  <c r="D1179" i="20"/>
  <c r="E1179" i="20"/>
  <c r="E1220" i="20"/>
  <c r="Y23" i="13"/>
  <c r="Y51" i="13"/>
  <c r="E34" i="20"/>
  <c r="D48" i="20"/>
  <c r="E121" i="20"/>
  <c r="F191" i="20"/>
  <c r="G192" i="20" s="1"/>
  <c r="D191" i="20"/>
  <c r="D222" i="20"/>
  <c r="F222" i="20"/>
  <c r="G223" i="20" s="1"/>
  <c r="E222" i="20"/>
  <c r="E274" i="20"/>
  <c r="D317" i="20"/>
  <c r="E393" i="20"/>
  <c r="D393" i="20"/>
  <c r="F393" i="20"/>
  <c r="G394" i="20" s="1"/>
  <c r="D475" i="20"/>
  <c r="E482" i="20"/>
  <c r="E508" i="20"/>
  <c r="E528" i="20"/>
  <c r="D848" i="20"/>
  <c r="F903" i="20"/>
  <c r="G904" i="20" s="1"/>
  <c r="F1120" i="20"/>
  <c r="G1121" i="20" s="1"/>
  <c r="E1120" i="20"/>
  <c r="D1120" i="20"/>
  <c r="C205" i="5"/>
  <c r="E48" i="20"/>
  <c r="F148" i="20"/>
  <c r="G149" i="20" s="1"/>
  <c r="E148" i="20"/>
  <c r="E259" i="20"/>
  <c r="F259" i="20"/>
  <c r="G260" i="20" s="1"/>
  <c r="D318" i="20"/>
  <c r="F318" i="20"/>
  <c r="G319" i="20" s="1"/>
  <c r="E318" i="20"/>
  <c r="E345" i="20"/>
  <c r="D354" i="20"/>
  <c r="E362" i="20"/>
  <c r="F619" i="20"/>
  <c r="G620" i="20" s="1"/>
  <c r="E619" i="20"/>
  <c r="E696" i="20"/>
  <c r="F696" i="20"/>
  <c r="G697" i="20" s="1"/>
  <c r="E848" i="20"/>
  <c r="F1064" i="20"/>
  <c r="G1065" i="20" s="1"/>
  <c r="L20" i="15"/>
  <c r="F29" i="20"/>
  <c r="G30" i="20" s="1"/>
  <c r="E29" i="20"/>
  <c r="D40" i="20"/>
  <c r="D56" i="20"/>
  <c r="F63" i="20"/>
  <c r="G64" i="20" s="1"/>
  <c r="F137" i="20"/>
  <c r="G138" i="20" s="1"/>
  <c r="E137" i="20"/>
  <c r="D148" i="20"/>
  <c r="E238" i="20"/>
  <c r="D244" i="20"/>
  <c r="F345" i="20"/>
  <c r="G346" i="20" s="1"/>
  <c r="E354" i="20"/>
  <c r="E414" i="20"/>
  <c r="F414" i="20"/>
  <c r="G415" i="20" s="1"/>
  <c r="D423" i="20"/>
  <c r="E590" i="20"/>
  <c r="F590" i="20"/>
  <c r="G591" i="20" s="1"/>
  <c r="D716" i="20"/>
  <c r="E925" i="20"/>
  <c r="F925" i="20"/>
  <c r="G926" i="20" s="1"/>
  <c r="D944" i="20"/>
  <c r="G200" i="5"/>
  <c r="G201" i="5"/>
  <c r="G207" i="5" s="1"/>
  <c r="D29" i="20"/>
  <c r="F56" i="20"/>
  <c r="G57" i="20" s="1"/>
  <c r="F73" i="20"/>
  <c r="G74" i="20" s="1"/>
  <c r="E73" i="20"/>
  <c r="D73" i="20"/>
  <c r="D137" i="20"/>
  <c r="D165" i="20"/>
  <c r="E336" i="20"/>
  <c r="E395" i="20"/>
  <c r="D414" i="20"/>
  <c r="E423" i="20"/>
  <c r="E591" i="20"/>
  <c r="F591" i="20"/>
  <c r="G592" i="20" s="1"/>
  <c r="D591" i="20"/>
  <c r="F652" i="20"/>
  <c r="G653" i="20" s="1"/>
  <c r="E652" i="20"/>
  <c r="D652" i="20"/>
  <c r="F827" i="20"/>
  <c r="G828" i="20" s="1"/>
  <c r="F838" i="20"/>
  <c r="G839" i="20" s="1"/>
  <c r="E867" i="20"/>
  <c r="F867" i="20"/>
  <c r="G868" i="20" s="1"/>
  <c r="C183" i="5"/>
  <c r="C166" i="5"/>
  <c r="D163" i="5" s="1"/>
  <c r="D166" i="5" s="1"/>
  <c r="E163" i="5" s="1"/>
  <c r="E166" i="5" s="1"/>
  <c r="F201" i="5"/>
  <c r="F207" i="5" s="1"/>
  <c r="G22" i="7"/>
  <c r="E64" i="20"/>
  <c r="D94" i="20"/>
  <c r="F94" i="20"/>
  <c r="G95" i="20" s="1"/>
  <c r="F158" i="20"/>
  <c r="G159" i="20" s="1"/>
  <c r="E176" i="20"/>
  <c r="F176" i="20"/>
  <c r="G177" i="20" s="1"/>
  <c r="F186" i="20"/>
  <c r="G187" i="20" s="1"/>
  <c r="E186" i="20"/>
  <c r="F245" i="20"/>
  <c r="G246" i="20" s="1"/>
  <c r="D365" i="20"/>
  <c r="F365" i="20"/>
  <c r="G366" i="20" s="1"/>
  <c r="D425" i="20"/>
  <c r="F425" i="20"/>
  <c r="G426" i="20" s="1"/>
  <c r="E425" i="20"/>
  <c r="E567" i="20"/>
  <c r="E593" i="20"/>
  <c r="F593" i="20"/>
  <c r="G594" i="20" s="1"/>
  <c r="D629" i="20"/>
  <c r="E629" i="20"/>
  <c r="E671" i="20"/>
  <c r="D671" i="20"/>
  <c r="E953" i="20"/>
  <c r="D983" i="20"/>
  <c r="E983" i="20"/>
  <c r="D1200" i="20"/>
  <c r="F1200" i="20"/>
  <c r="G1201" i="20" s="1"/>
  <c r="E820" i="20"/>
  <c r="F820" i="20"/>
  <c r="G821" i="20" s="1"/>
  <c r="F865" i="20"/>
  <c r="G866" i="20" s="1"/>
  <c r="E865" i="20"/>
  <c r="E892" i="20"/>
  <c r="F892" i="20"/>
  <c r="G893" i="20" s="1"/>
  <c r="D892" i="20"/>
  <c r="D935" i="20"/>
  <c r="F935" i="20"/>
  <c r="G936" i="20" s="1"/>
  <c r="E935" i="20"/>
  <c r="E1058" i="20"/>
  <c r="F1058" i="20"/>
  <c r="G1059" i="20" s="1"/>
  <c r="D1058" i="20"/>
  <c r="F1084" i="20"/>
  <c r="G1085" i="20" s="1"/>
  <c r="E1084" i="20"/>
  <c r="D26" i="9"/>
  <c r="F96" i="20"/>
  <c r="G97" i="20" s="1"/>
  <c r="D96" i="20"/>
  <c r="E96" i="20"/>
  <c r="F299" i="20"/>
  <c r="G300" i="20" s="1"/>
  <c r="E299" i="20"/>
  <c r="D445" i="20"/>
  <c r="F445" i="20"/>
  <c r="G446" i="20" s="1"/>
  <c r="D627" i="20"/>
  <c r="E627" i="20"/>
  <c r="F627" i="20"/>
  <c r="G628" i="20" s="1"/>
  <c r="F772" i="20"/>
  <c r="G773" i="20" s="1"/>
  <c r="D772" i="20"/>
  <c r="E772" i="20"/>
  <c r="F781" i="20"/>
  <c r="G782" i="20" s="1"/>
  <c r="D781" i="20"/>
  <c r="D820" i="20"/>
  <c r="F831" i="20"/>
  <c r="G832" i="20" s="1"/>
  <c r="E831" i="20"/>
  <c r="D865" i="20"/>
  <c r="D884" i="20"/>
  <c r="D952" i="20"/>
  <c r="E967" i="20"/>
  <c r="D976" i="20"/>
  <c r="E1050" i="20"/>
  <c r="F1050" i="20"/>
  <c r="G1051" i="20" s="1"/>
  <c r="D1084" i="20"/>
  <c r="F1126" i="20"/>
  <c r="G1127" i="20" s="1"/>
  <c r="F1140" i="20"/>
  <c r="G1141" i="20" s="1"/>
  <c r="D1168" i="20"/>
  <c r="E1232" i="20"/>
  <c r="D1232" i="20"/>
  <c r="D1249" i="20"/>
  <c r="H10" i="10"/>
  <c r="Z13" i="13"/>
  <c r="M18" i="15"/>
  <c r="E122" i="20"/>
  <c r="D122" i="20"/>
  <c r="E187" i="20"/>
  <c r="E195" i="20"/>
  <c r="D214" i="20"/>
  <c r="D236" i="20"/>
  <c r="E236" i="20"/>
  <c r="F236" i="20"/>
  <c r="G237" i="20" s="1"/>
  <c r="D276" i="20"/>
  <c r="F276" i="20"/>
  <c r="G277" i="20" s="1"/>
  <c r="E445" i="20"/>
  <c r="F523" i="20"/>
  <c r="G524" i="20" s="1"/>
  <c r="E523" i="20"/>
  <c r="D594" i="20"/>
  <c r="E602" i="20"/>
  <c r="F602" i="20"/>
  <c r="G603" i="20" s="1"/>
  <c r="F620" i="20"/>
  <c r="G621" i="20" s="1"/>
  <c r="D657" i="20"/>
  <c r="D674" i="20"/>
  <c r="E674" i="20"/>
  <c r="F715" i="20"/>
  <c r="G716" i="20" s="1"/>
  <c r="E781" i="20"/>
  <c r="D831" i="20"/>
  <c r="E840" i="20"/>
  <c r="D849" i="20"/>
  <c r="E884" i="20"/>
  <c r="D920" i="20"/>
  <c r="E952" i="20"/>
  <c r="F967" i="20"/>
  <c r="G968" i="20" s="1"/>
  <c r="E976" i="20"/>
  <c r="D1141" i="20"/>
  <c r="F1141" i="20"/>
  <c r="G1142" i="20" s="1"/>
  <c r="E1168" i="20"/>
  <c r="D1185" i="20"/>
  <c r="F1185" i="20"/>
  <c r="G1186" i="20" s="1"/>
  <c r="D1211" i="20"/>
  <c r="F1232" i="20"/>
  <c r="G1233" i="20" s="1"/>
  <c r="F1249" i="20"/>
  <c r="G1250" i="20" s="1"/>
  <c r="F693" i="20"/>
  <c r="G694" i="20" s="1"/>
  <c r="E693" i="20"/>
  <c r="F747" i="20"/>
  <c r="G748" i="20" s="1"/>
  <c r="E747" i="20"/>
  <c r="D747" i="20"/>
  <c r="D784" i="20"/>
  <c r="F784" i="20"/>
  <c r="G785" i="20" s="1"/>
  <c r="E922" i="20"/>
  <c r="F922" i="20"/>
  <c r="G923" i="20" s="1"/>
  <c r="E1154" i="20"/>
  <c r="F1154" i="20"/>
  <c r="G1155" i="20" s="1"/>
  <c r="E1170" i="20"/>
  <c r="F1170" i="20"/>
  <c r="G1171" i="20" s="1"/>
  <c r="M37" i="7"/>
  <c r="E12" i="5"/>
  <c r="F157" i="5"/>
  <c r="H7" i="10"/>
  <c r="F16" i="20"/>
  <c r="G17" i="20" s="1"/>
  <c r="D16" i="20"/>
  <c r="E16" i="20"/>
  <c r="E272" i="20"/>
  <c r="D272" i="20"/>
  <c r="D278" i="20"/>
  <c r="E278" i="20"/>
  <c r="F278" i="20"/>
  <c r="G279" i="20" s="1"/>
  <c r="F341" i="20"/>
  <c r="G342" i="20" s="1"/>
  <c r="E341" i="20"/>
  <c r="D341" i="20"/>
  <c r="E435" i="20"/>
  <c r="F435" i="20"/>
  <c r="G436" i="20" s="1"/>
  <c r="D449" i="20"/>
  <c r="F449" i="20"/>
  <c r="G450" i="20" s="1"/>
  <c r="F506" i="20"/>
  <c r="G507" i="20" s="1"/>
  <c r="D506" i="20"/>
  <c r="E506" i="20"/>
  <c r="E566" i="20"/>
  <c r="F566" i="20"/>
  <c r="G567" i="20" s="1"/>
  <c r="E596" i="20"/>
  <c r="D596" i="20"/>
  <c r="E623" i="20"/>
  <c r="D693" i="20"/>
  <c r="E702" i="20"/>
  <c r="F702" i="20"/>
  <c r="G703" i="20" s="1"/>
  <c r="E784" i="20"/>
  <c r="D793" i="20"/>
  <c r="F793" i="20"/>
  <c r="G794" i="20" s="1"/>
  <c r="D816" i="20"/>
  <c r="E834" i="20"/>
  <c r="D852" i="20"/>
  <c r="E852" i="20"/>
  <c r="F852" i="20"/>
  <c r="G853" i="20" s="1"/>
  <c r="D922" i="20"/>
  <c r="D930" i="20"/>
  <c r="E994" i="20"/>
  <c r="E1010" i="20"/>
  <c r="D1078" i="20"/>
  <c r="D1088" i="20"/>
  <c r="F1088" i="20"/>
  <c r="G1089" i="20" s="1"/>
  <c r="E1088" i="20"/>
  <c r="F1097" i="20"/>
  <c r="G1098" i="20" s="1"/>
  <c r="D1097" i="20"/>
  <c r="D1154" i="20"/>
  <c r="D1170" i="20"/>
  <c r="F1188" i="20"/>
  <c r="G1189" i="20" s="1"/>
  <c r="E1188" i="20"/>
  <c r="J12" i="5"/>
  <c r="F12" i="5"/>
  <c r="D112" i="20"/>
  <c r="D157" i="20"/>
  <c r="F180" i="20"/>
  <c r="G181" i="20" s="1"/>
  <c r="D197" i="20"/>
  <c r="D218" i="20"/>
  <c r="F272" i="20"/>
  <c r="G273" i="20" s="1"/>
  <c r="E325" i="20"/>
  <c r="F334" i="20"/>
  <c r="G335" i="20" s="1"/>
  <c r="E334" i="20"/>
  <c r="F388" i="20"/>
  <c r="G389" i="20" s="1"/>
  <c r="E429" i="20"/>
  <c r="F429" i="20"/>
  <c r="G430" i="20" s="1"/>
  <c r="E449" i="20"/>
  <c r="D464" i="20"/>
  <c r="D541" i="20"/>
  <c r="E548" i="20"/>
  <c r="E557" i="20"/>
  <c r="D566" i="20"/>
  <c r="E576" i="20"/>
  <c r="F596" i="20"/>
  <c r="G597" i="20" s="1"/>
  <c r="F686" i="20"/>
  <c r="G687" i="20" s="1"/>
  <c r="E686" i="20"/>
  <c r="D702" i="20"/>
  <c r="D718" i="20"/>
  <c r="E732" i="20"/>
  <c r="F776" i="20"/>
  <c r="G777" i="20" s="1"/>
  <c r="E793" i="20"/>
  <c r="E816" i="20"/>
  <c r="D824" i="20"/>
  <c r="E824" i="20"/>
  <c r="D915" i="20"/>
  <c r="E930" i="20"/>
  <c r="F972" i="20"/>
  <c r="G973" i="20" s="1"/>
  <c r="F994" i="20"/>
  <c r="G995" i="20" s="1"/>
  <c r="D1001" i="20"/>
  <c r="F1010" i="20"/>
  <c r="G1011" i="20" s="1"/>
  <c r="D1045" i="20"/>
  <c r="F1045" i="20"/>
  <c r="G1046" i="20" s="1"/>
  <c r="F1078" i="20"/>
  <c r="G1079" i="20" s="1"/>
  <c r="E1097" i="20"/>
  <c r="D1188" i="20"/>
  <c r="F1196" i="20"/>
  <c r="G1197" i="20" s="1"/>
  <c r="E1225" i="20"/>
  <c r="F660" i="20"/>
  <c r="G661" i="20" s="1"/>
  <c r="E660" i="20"/>
  <c r="D668" i="20"/>
  <c r="E668" i="20"/>
  <c r="D712" i="20"/>
  <c r="F712" i="20"/>
  <c r="G713" i="20" s="1"/>
  <c r="E787" i="20"/>
  <c r="F787" i="20"/>
  <c r="G788" i="20" s="1"/>
  <c r="D931" i="20"/>
  <c r="F931" i="20"/>
  <c r="G932" i="20" s="1"/>
  <c r="E992" i="20"/>
  <c r="D992" i="20"/>
  <c r="F1209" i="20"/>
  <c r="G1210" i="20" s="1"/>
  <c r="E1209" i="20"/>
  <c r="D572" i="20"/>
  <c r="F572" i="20"/>
  <c r="G573" i="20" s="1"/>
  <c r="D605" i="20"/>
  <c r="D612" i="20"/>
  <c r="D660" i="20"/>
  <c r="F668" i="20"/>
  <c r="G669" i="20" s="1"/>
  <c r="D676" i="20"/>
  <c r="E727" i="20"/>
  <c r="D733" i="20"/>
  <c r="E800" i="20"/>
  <c r="D830" i="20"/>
  <c r="E837" i="20"/>
  <c r="D918" i="20"/>
  <c r="D926" i="20"/>
  <c r="E931" i="20"/>
  <c r="E961" i="20"/>
  <c r="F961" i="20"/>
  <c r="G962" i="20" s="1"/>
  <c r="D970" i="20"/>
  <c r="D1063" i="20"/>
  <c r="D1076" i="20"/>
  <c r="E1076" i="20"/>
  <c r="D1092" i="20"/>
  <c r="D1209" i="20"/>
  <c r="C95" i="5"/>
  <c r="K51" i="12"/>
  <c r="D33" i="20"/>
  <c r="D37" i="20"/>
  <c r="D43" i="20"/>
  <c r="E67" i="20"/>
  <c r="D78" i="20"/>
  <c r="E83" i="20"/>
  <c r="D90" i="20"/>
  <c r="F101" i="20"/>
  <c r="G102" i="20" s="1"/>
  <c r="D119" i="20"/>
  <c r="D185" i="20"/>
  <c r="D204" i="20"/>
  <c r="F216" i="20"/>
  <c r="G217" i="20" s="1"/>
  <c r="D216" i="20"/>
  <c r="D247" i="20"/>
  <c r="F327" i="20"/>
  <c r="G328" i="20" s="1"/>
  <c r="F421" i="20"/>
  <c r="G422" i="20" s="1"/>
  <c r="F430" i="20"/>
  <c r="G431" i="20" s="1"/>
  <c r="E572" i="20"/>
  <c r="E592" i="20"/>
  <c r="D598" i="20"/>
  <c r="E605" i="20"/>
  <c r="E612" i="20"/>
  <c r="E676" i="20"/>
  <c r="E683" i="20"/>
  <c r="E691" i="20"/>
  <c r="F727" i="20"/>
  <c r="G728" i="20" s="1"/>
  <c r="D788" i="20"/>
  <c r="F795" i="20"/>
  <c r="G796" i="20" s="1"/>
  <c r="F800" i="20"/>
  <c r="G801" i="20" s="1"/>
  <c r="E807" i="20"/>
  <c r="E830" i="20"/>
  <c r="F837" i="20"/>
  <c r="G838" i="20" s="1"/>
  <c r="E902" i="20"/>
  <c r="E918" i="20"/>
  <c r="E926" i="20"/>
  <c r="D961" i="20"/>
  <c r="E970" i="20"/>
  <c r="F1007" i="20"/>
  <c r="G1008" i="20" s="1"/>
  <c r="F1023" i="20"/>
  <c r="G1024" i="20" s="1"/>
  <c r="E1023" i="20"/>
  <c r="D1039" i="20"/>
  <c r="E1063" i="20"/>
  <c r="F1076" i="20"/>
  <c r="G1077" i="20" s="1"/>
  <c r="E1092" i="20"/>
  <c r="D1124" i="20"/>
  <c r="F1124" i="20"/>
  <c r="G1125" i="20" s="1"/>
  <c r="E1124" i="20"/>
  <c r="D1222" i="20"/>
  <c r="F1245" i="20"/>
  <c r="G1246" i="20" s="1"/>
  <c r="F621" i="20"/>
  <c r="G622" i="20" s="1"/>
  <c r="E621" i="20"/>
  <c r="D1228" i="20"/>
  <c r="F1228" i="20"/>
  <c r="G1229" i="20" s="1"/>
  <c r="D31" i="5"/>
  <c r="F223" i="20"/>
  <c r="G224" i="20" s="1"/>
  <c r="D223" i="20"/>
  <c r="E539" i="20"/>
  <c r="F635" i="20"/>
  <c r="G636" i="20" s="1"/>
  <c r="E635" i="20"/>
  <c r="E712" i="20"/>
  <c r="D902" i="20"/>
  <c r="F992" i="20"/>
  <c r="G993" i="20" s="1"/>
  <c r="E1007" i="20"/>
  <c r="D1101" i="20"/>
  <c r="F1101" i="20"/>
  <c r="G1102" i="20" s="1"/>
  <c r="F1138" i="20"/>
  <c r="G1139" i="20" s="1"/>
  <c r="E1138" i="20"/>
  <c r="E1228" i="20"/>
  <c r="D1245" i="20"/>
  <c r="D95" i="5"/>
  <c r="E32" i="1"/>
  <c r="E34" i="1" s="1"/>
  <c r="E14" i="1" s="1"/>
  <c r="E24" i="20"/>
  <c r="E43" i="20"/>
  <c r="F67" i="20"/>
  <c r="G68" i="20" s="1"/>
  <c r="E185" i="20"/>
  <c r="E204" i="20"/>
  <c r="F247" i="20"/>
  <c r="G248" i="20" s="1"/>
  <c r="E564" i="20"/>
  <c r="F587" i="20"/>
  <c r="G588" i="20" s="1"/>
  <c r="E587" i="20"/>
  <c r="F592" i="20"/>
  <c r="G593" i="20" s="1"/>
  <c r="D606" i="20"/>
  <c r="F606" i="20"/>
  <c r="G607" i="20" s="1"/>
  <c r="D613" i="20"/>
  <c r="F613" i="20"/>
  <c r="G614" i="20" s="1"/>
  <c r="E613" i="20"/>
  <c r="D654" i="20"/>
  <c r="D669" i="20"/>
  <c r="F683" i="20"/>
  <c r="G684" i="20" s="1"/>
  <c r="D699" i="20"/>
  <c r="E801" i="20"/>
  <c r="D801" i="20"/>
  <c r="F807" i="20"/>
  <c r="G808" i="20" s="1"/>
  <c r="F1013" i="20"/>
  <c r="G1014" i="20" s="1"/>
  <c r="D1023" i="20"/>
  <c r="D1070" i="20"/>
  <c r="F1070" i="20"/>
  <c r="G1071" i="20" s="1"/>
  <c r="E1150" i="20"/>
  <c r="D1150" i="20"/>
  <c r="F1158" i="20"/>
  <c r="G1159" i="20" s="1"/>
  <c r="D1186" i="20"/>
  <c r="F1202" i="20"/>
  <c r="G1203" i="20" s="1"/>
  <c r="E1202" i="20"/>
  <c r="F1222" i="20"/>
  <c r="G1223" i="20" s="1"/>
  <c r="D1246" i="20"/>
  <c r="F1246" i="20"/>
  <c r="G1247" i="20" s="1"/>
  <c r="E1246" i="20"/>
  <c r="D885" i="20"/>
  <c r="E885" i="20"/>
  <c r="E311" i="20"/>
  <c r="F311" i="20"/>
  <c r="G312" i="20" s="1"/>
  <c r="E499" i="20"/>
  <c r="D499" i="20"/>
  <c r="E525" i="20"/>
  <c r="F525" i="20"/>
  <c r="G526" i="20" s="1"/>
  <c r="F599" i="20"/>
  <c r="G600" i="20" s="1"/>
  <c r="D599" i="20"/>
  <c r="E675" i="20"/>
  <c r="F675" i="20"/>
  <c r="G676" i="20" s="1"/>
  <c r="E868" i="20"/>
  <c r="E950" i="20"/>
  <c r="D950" i="20"/>
  <c r="F963" i="20"/>
  <c r="G964" i="20" s="1"/>
  <c r="E971" i="20"/>
  <c r="D978" i="20"/>
  <c r="E1089" i="20"/>
  <c r="E1109" i="20"/>
  <c r="E1190" i="20"/>
  <c r="D1190" i="20"/>
  <c r="D833" i="20"/>
  <c r="E833" i="20"/>
  <c r="D1162" i="20"/>
  <c r="F1162" i="20"/>
  <c r="G1163" i="20" s="1"/>
  <c r="D1221" i="20"/>
  <c r="F1221" i="20"/>
  <c r="G1222" i="20" s="1"/>
  <c r="D1134" i="20"/>
  <c r="E1134" i="20"/>
  <c r="D1156" i="20"/>
  <c r="E1162" i="20"/>
  <c r="D1169" i="20"/>
  <c r="D1216" i="20"/>
  <c r="D1241" i="20"/>
  <c r="F106" i="5"/>
  <c r="F125" i="5" s="1"/>
  <c r="K106" i="5"/>
  <c r="K125" i="5" s="1"/>
  <c r="K133" i="5" s="1"/>
  <c r="J106" i="5"/>
  <c r="J125" i="5" s="1"/>
  <c r="J132" i="5" s="1"/>
  <c r="I106" i="5"/>
  <c r="I125" i="5" s="1"/>
  <c r="I131" i="5" s="1"/>
  <c r="H106" i="5"/>
  <c r="H125" i="5" s="1"/>
  <c r="H130" i="5" s="1"/>
  <c r="G106" i="5"/>
  <c r="G125" i="5" s="1"/>
  <c r="G129" i="5" s="1"/>
  <c r="AA31" i="13"/>
  <c r="AB31" i="13"/>
  <c r="F14" i="10"/>
  <c r="G14" i="10" s="1"/>
  <c r="K14" i="10" s="1"/>
  <c r="Z31" i="13"/>
  <c r="Y31" i="13"/>
  <c r="J31" i="13"/>
  <c r="E149" i="20"/>
  <c r="D149" i="20"/>
  <c r="F149" i="20"/>
  <c r="G150" i="20" s="1"/>
  <c r="E184" i="20"/>
  <c r="D184" i="20"/>
  <c r="F184" i="20"/>
  <c r="G185" i="20" s="1"/>
  <c r="K50" i="5"/>
  <c r="K74" i="5"/>
  <c r="K82" i="5" s="1"/>
  <c r="F162" i="20"/>
  <c r="G163" i="20" s="1"/>
  <c r="E162" i="20"/>
  <c r="D162" i="20"/>
  <c r="K49" i="9"/>
  <c r="L31" i="9"/>
  <c r="L49" i="9" s="1"/>
  <c r="F416" i="20"/>
  <c r="G417" i="20" s="1"/>
  <c r="D416" i="20"/>
  <c r="E416" i="20"/>
  <c r="D720" i="20"/>
  <c r="F720" i="20"/>
  <c r="G721" i="20" s="1"/>
  <c r="E720" i="20"/>
  <c r="F14" i="20"/>
  <c r="G15" i="20" s="1"/>
  <c r="E14" i="20"/>
  <c r="D14" i="20"/>
  <c r="D28" i="20"/>
  <c r="F130" i="20"/>
  <c r="G131" i="20" s="1"/>
  <c r="E1038" i="20"/>
  <c r="E28" i="20"/>
  <c r="M20" i="15"/>
  <c r="D71" i="20"/>
  <c r="E403" i="20"/>
  <c r="F403" i="20"/>
  <c r="G404" i="20" s="1"/>
  <c r="D403" i="20"/>
  <c r="F66" i="20"/>
  <c r="G67" i="20" s="1"/>
  <c r="E66" i="20"/>
  <c r="D66" i="20"/>
  <c r="E102" i="20"/>
  <c r="F102" i="20"/>
  <c r="G103" i="20" s="1"/>
  <c r="D102" i="20"/>
  <c r="F1102" i="20"/>
  <c r="G1103" i="20" s="1"/>
  <c r="E1102" i="20"/>
  <c r="D1102" i="20"/>
  <c r="D130" i="20"/>
  <c r="F135" i="20"/>
  <c r="G136" i="20" s="1"/>
  <c r="E13" i="20"/>
  <c r="F13" i="20"/>
  <c r="G14" i="20" s="1"/>
  <c r="D13" i="20"/>
  <c r="D979" i="20"/>
  <c r="F979" i="20"/>
  <c r="G980" i="20" s="1"/>
  <c r="E979" i="20"/>
  <c r="E31" i="5"/>
  <c r="E192" i="5"/>
  <c r="E193" i="5" s="1"/>
  <c r="E202" i="5"/>
  <c r="D196" i="5"/>
  <c r="F172" i="20"/>
  <c r="G173" i="20" s="1"/>
  <c r="E172" i="20"/>
  <c r="D172" i="20"/>
  <c r="F5" i="20"/>
  <c r="E5" i="20"/>
  <c r="D5" i="20"/>
  <c r="E54" i="20"/>
  <c r="F54" i="20"/>
  <c r="G55" i="20" s="1"/>
  <c r="D54" i="20"/>
  <c r="F815" i="20"/>
  <c r="G816" i="20" s="1"/>
  <c r="E815" i="20"/>
  <c r="D815" i="20"/>
  <c r="F875" i="20"/>
  <c r="G876" i="20" s="1"/>
  <c r="E875" i="20"/>
  <c r="E206" i="5"/>
  <c r="F72" i="20"/>
  <c r="G73" i="20" s="1"/>
  <c r="E72" i="20"/>
  <c r="D72" i="20"/>
  <c r="F792" i="20"/>
  <c r="G793" i="20" s="1"/>
  <c r="D792" i="20"/>
  <c r="E792" i="20"/>
  <c r="D875" i="20"/>
  <c r="D206" i="5"/>
  <c r="D207" i="5" s="1"/>
  <c r="F156" i="5"/>
  <c r="Z41" i="13"/>
  <c r="Y41" i="13"/>
  <c r="AB41" i="13"/>
  <c r="AA41" i="13"/>
  <c r="J41" i="13"/>
  <c r="F18" i="10"/>
  <c r="G18" i="10" s="1"/>
  <c r="K18" i="10" s="1"/>
  <c r="K21" i="15"/>
  <c r="H6" i="14" s="1"/>
  <c r="L6" i="14" s="1"/>
  <c r="L9" i="14" s="1"/>
  <c r="L12" i="14" s="1"/>
  <c r="K18" i="15"/>
  <c r="G6" i="14" s="1"/>
  <c r="K6" i="14" s="1"/>
  <c r="K9" i="14" s="1"/>
  <c r="K12" i="14" s="1"/>
  <c r="E314" i="20"/>
  <c r="F314" i="20"/>
  <c r="G315" i="20" s="1"/>
  <c r="E296" i="20"/>
  <c r="F296" i="20"/>
  <c r="G297" i="20" s="1"/>
  <c r="D296" i="20"/>
  <c r="D314" i="20"/>
  <c r="D353" i="20"/>
  <c r="F353" i="20"/>
  <c r="G354" i="20" s="1"/>
  <c r="E353" i="20"/>
  <c r="F360" i="20"/>
  <c r="G361" i="20" s="1"/>
  <c r="E360" i="20"/>
  <c r="D360" i="20"/>
  <c r="D495" i="20"/>
  <c r="E600" i="20"/>
  <c r="F600" i="20"/>
  <c r="G601" i="20" s="1"/>
  <c r="F710" i="20"/>
  <c r="G711" i="20" s="1"/>
  <c r="D710" i="20"/>
  <c r="F189" i="20"/>
  <c r="G190" i="20" s="1"/>
  <c r="D189" i="20"/>
  <c r="F121" i="5"/>
  <c r="G118" i="5" s="1"/>
  <c r="F119" i="5"/>
  <c r="F120" i="5"/>
  <c r="E1096" i="20"/>
  <c r="F1096" i="20"/>
  <c r="G1097" i="20" s="1"/>
  <c r="D1096" i="20"/>
  <c r="F41" i="20"/>
  <c r="G42" i="20" s="1"/>
  <c r="E41" i="20"/>
  <c r="D41" i="20"/>
  <c r="F42" i="5"/>
  <c r="G42" i="5" s="1"/>
  <c r="H42" i="5" s="1"/>
  <c r="I42" i="5" s="1"/>
  <c r="J42" i="5" s="1"/>
  <c r="K42" i="5" s="1"/>
  <c r="E374" i="20"/>
  <c r="F374" i="20"/>
  <c r="G375" i="20" s="1"/>
  <c r="D374" i="20"/>
  <c r="F110" i="20"/>
  <c r="G111" i="20" s="1"/>
  <c r="E110" i="20"/>
  <c r="E269" i="20"/>
  <c r="F269" i="20"/>
  <c r="G270" i="20" s="1"/>
  <c r="F814" i="20"/>
  <c r="G815" i="20" s="1"/>
  <c r="E814" i="20"/>
  <c r="D814" i="20"/>
  <c r="D12" i="5"/>
  <c r="G10" i="10"/>
  <c r="K10" i="10" s="1"/>
  <c r="E60" i="20"/>
  <c r="F60" i="20"/>
  <c r="G61" i="20" s="1"/>
  <c r="D60" i="20"/>
  <c r="E71" i="20"/>
  <c r="D269" i="20"/>
  <c r="E874" i="20"/>
  <c r="F874" i="20"/>
  <c r="G875" i="20" s="1"/>
  <c r="D874" i="20"/>
  <c r="D911" i="20"/>
  <c r="F31" i="1"/>
  <c r="D99" i="20"/>
  <c r="F99" i="20"/>
  <c r="G100" i="20" s="1"/>
  <c r="E99" i="20"/>
  <c r="E911" i="20"/>
  <c r="G7" i="10"/>
  <c r="K7" i="10" s="1"/>
  <c r="F386" i="20"/>
  <c r="G387" i="20" s="1"/>
  <c r="E386" i="20"/>
  <c r="D386" i="20"/>
  <c r="D889" i="20"/>
  <c r="F889" i="20"/>
  <c r="G890" i="20" s="1"/>
  <c r="E889" i="20"/>
  <c r="F209" i="20"/>
  <c r="G210" i="20" s="1"/>
  <c r="E209" i="20"/>
  <c r="Y52" i="13"/>
  <c r="F23" i="10"/>
  <c r="G23" i="10" s="1"/>
  <c r="K23" i="10" s="1"/>
  <c r="AA52" i="13"/>
  <c r="Z52" i="13"/>
  <c r="F194" i="20"/>
  <c r="G195" i="20" s="1"/>
  <c r="E194" i="20"/>
  <c r="F379" i="20"/>
  <c r="G380" i="20" s="1"/>
  <c r="E379" i="20"/>
  <c r="D379" i="20"/>
  <c r="F426" i="20"/>
  <c r="G427" i="20" s="1"/>
  <c r="E426" i="20"/>
  <c r="D426" i="20"/>
  <c r="F471" i="20"/>
  <c r="G472" i="20" s="1"/>
  <c r="D471" i="20"/>
  <c r="E471" i="20"/>
  <c r="F495" i="20"/>
  <c r="G496" i="20" s="1"/>
  <c r="D600" i="20"/>
  <c r="E710" i="20"/>
  <c r="C206" i="5"/>
  <c r="V13" i="13"/>
  <c r="J21" i="15"/>
  <c r="J18" i="15"/>
  <c r="J19" i="15"/>
  <c r="F320" i="20"/>
  <c r="G321" i="20" s="1"/>
  <c r="E320" i="20"/>
  <c r="F1199" i="20"/>
  <c r="G1200" i="20" s="1"/>
  <c r="E1199" i="20"/>
  <c r="D1199" i="20"/>
  <c r="F75" i="5"/>
  <c r="F199" i="20"/>
  <c r="G200" i="20" s="1"/>
  <c r="E199" i="20"/>
  <c r="F760" i="20"/>
  <c r="G761" i="20" s="1"/>
  <c r="E760" i="20"/>
  <c r="D760" i="20"/>
  <c r="F193" i="20"/>
  <c r="G194" i="20" s="1"/>
  <c r="E193" i="20"/>
  <c r="D193" i="20"/>
  <c r="C61" i="5"/>
  <c r="J8" i="13"/>
  <c r="AB8" i="13"/>
  <c r="AA8" i="13"/>
  <c r="Z8" i="13"/>
  <c r="J52" i="13"/>
  <c r="F15" i="5"/>
  <c r="D61" i="5"/>
  <c r="G68" i="5"/>
  <c r="G70" i="5"/>
  <c r="H67" i="5" s="1"/>
  <c r="G69" i="5"/>
  <c r="Y8" i="13"/>
  <c r="E182" i="20"/>
  <c r="F182" i="20"/>
  <c r="G183" i="20" s="1"/>
  <c r="D182" i="20"/>
  <c r="D194" i="20"/>
  <c r="D369" i="20"/>
  <c r="F369" i="20"/>
  <c r="G370" i="20" s="1"/>
  <c r="E369" i="20"/>
  <c r="E420" i="20"/>
  <c r="D420" i="20"/>
  <c r="E456" i="20"/>
  <c r="F456" i="20"/>
  <c r="G457" i="20" s="1"/>
  <c r="I40" i="5"/>
  <c r="H40" i="5"/>
  <c r="G40" i="5"/>
  <c r="F40" i="5"/>
  <c r="D135" i="20"/>
  <c r="E189" i="20"/>
  <c r="F764" i="20"/>
  <c r="G765" i="20" s="1"/>
  <c r="E764" i="20"/>
  <c r="D764" i="20"/>
  <c r="D1038" i="20"/>
  <c r="Q15" i="10"/>
  <c r="Q17" i="10" s="1"/>
  <c r="R15" i="10"/>
  <c r="R17" i="10" s="1"/>
  <c r="F42" i="20"/>
  <c r="G43" i="20" s="1"/>
  <c r="E42" i="20"/>
  <c r="D104" i="20"/>
  <c r="F104" i="20"/>
  <c r="G105" i="20" s="1"/>
  <c r="E104" i="20"/>
  <c r="F239" i="20"/>
  <c r="G240" i="20" s="1"/>
  <c r="E239" i="20"/>
  <c r="D239" i="20"/>
  <c r="F1018" i="20"/>
  <c r="G1019" i="20" s="1"/>
  <c r="D1018" i="20"/>
  <c r="E1018" i="20"/>
  <c r="H17" i="10"/>
  <c r="G17" i="10"/>
  <c r="K17" i="10" s="1"/>
  <c r="E344" i="20"/>
  <c r="D344" i="20"/>
  <c r="F344" i="20"/>
  <c r="G345" i="20" s="1"/>
  <c r="W13" i="13"/>
  <c r="U13" i="13"/>
  <c r="M21" i="15"/>
  <c r="J40" i="5"/>
  <c r="D773" i="20"/>
  <c r="F773" i="20"/>
  <c r="G774" i="20" s="1"/>
  <c r="F95" i="20"/>
  <c r="G96" i="20" s="1"/>
  <c r="D95" i="20"/>
  <c r="E95" i="20"/>
  <c r="D199" i="20"/>
  <c r="D209" i="20"/>
  <c r="E33" i="5"/>
  <c r="AB52" i="13"/>
  <c r="E188" i="20"/>
  <c r="F188" i="20"/>
  <c r="G189" i="20" s="1"/>
  <c r="E246" i="20"/>
  <c r="F246" i="20"/>
  <c r="G247" i="20" s="1"/>
  <c r="D246" i="20"/>
  <c r="F283" i="20"/>
  <c r="G284" i="20" s="1"/>
  <c r="D283" i="20"/>
  <c r="E283" i="20"/>
  <c r="F420" i="20"/>
  <c r="G421" i="20" s="1"/>
  <c r="D456" i="20"/>
  <c r="D705" i="20"/>
  <c r="F705" i="20"/>
  <c r="G706" i="20" s="1"/>
  <c r="E705" i="20"/>
  <c r="R12" i="10"/>
  <c r="L18" i="15"/>
  <c r="D21" i="20"/>
  <c r="E21" i="20"/>
  <c r="F26" i="20"/>
  <c r="G27" i="20" s="1"/>
  <c r="E26" i="20"/>
  <c r="D26" i="20"/>
  <c r="D115" i="20"/>
  <c r="F115" i="20"/>
  <c r="G116" i="20" s="1"/>
  <c r="F219" i="20"/>
  <c r="G220" i="20" s="1"/>
  <c r="E219" i="20"/>
  <c r="D219" i="20"/>
  <c r="D309" i="20"/>
  <c r="E309" i="20"/>
  <c r="F309" i="20"/>
  <c r="G310" i="20" s="1"/>
  <c r="F428" i="20"/>
  <c r="G429" i="20" s="1"/>
  <c r="D428" i="20"/>
  <c r="E520" i="20"/>
  <c r="F520" i="20"/>
  <c r="G521" i="20" s="1"/>
  <c r="D520" i="20"/>
  <c r="E1198" i="20"/>
  <c r="F1198" i="20"/>
  <c r="G1199" i="20" s="1"/>
  <c r="D1198" i="20"/>
  <c r="F159" i="20"/>
  <c r="G160" i="20" s="1"/>
  <c r="D159" i="20"/>
  <c r="E159" i="20"/>
  <c r="E232" i="20"/>
  <c r="F232" i="20"/>
  <c r="G233" i="20" s="1"/>
  <c r="F310" i="20"/>
  <c r="G311" i="20" s="1"/>
  <c r="E310" i="20"/>
  <c r="D310" i="20"/>
  <c r="E389" i="20"/>
  <c r="D389" i="20"/>
  <c r="E195" i="5"/>
  <c r="E203" i="5"/>
  <c r="G12" i="5"/>
  <c r="E116" i="20"/>
  <c r="D116" i="20"/>
  <c r="F116" i="20"/>
  <c r="G117" i="20" s="1"/>
  <c r="F213" i="20"/>
  <c r="G214" i="20" s="1"/>
  <c r="E213" i="20"/>
  <c r="D232" i="20"/>
  <c r="E237" i="20"/>
  <c r="F237" i="20"/>
  <c r="G238" i="20" s="1"/>
  <c r="D237" i="20"/>
  <c r="F389" i="20"/>
  <c r="G390" i="20" s="1"/>
  <c r="D411" i="20"/>
  <c r="H12" i="5"/>
  <c r="J12" i="13"/>
  <c r="AB12" i="13"/>
  <c r="Y12" i="13"/>
  <c r="D213" i="20"/>
  <c r="D394" i="20"/>
  <c r="E411" i="20"/>
  <c r="F22" i="20"/>
  <c r="G23" i="20" s="1"/>
  <c r="E22" i="20"/>
  <c r="D22" i="20"/>
  <c r="H16" i="10"/>
  <c r="F58" i="20"/>
  <c r="G59" i="20" s="1"/>
  <c r="E58" i="20"/>
  <c r="D58" i="20"/>
  <c r="F154" i="20"/>
  <c r="G155" i="20" s="1"/>
  <c r="E154" i="20"/>
  <c r="D154" i="20"/>
  <c r="E198" i="20"/>
  <c r="F198" i="20"/>
  <c r="G199" i="20" s="1"/>
  <c r="F203" i="20"/>
  <c r="G204" i="20" s="1"/>
  <c r="E203" i="20"/>
  <c r="D203" i="20"/>
  <c r="D233" i="20"/>
  <c r="E233" i="20"/>
  <c r="F287" i="20"/>
  <c r="G288" i="20" s="1"/>
  <c r="D287" i="20"/>
  <c r="E394" i="20"/>
  <c r="E405" i="20"/>
  <c r="I12" i="5"/>
  <c r="K12" i="5"/>
  <c r="Y39" i="13"/>
  <c r="J39" i="13"/>
  <c r="AA39" i="13"/>
  <c r="Z39" i="13"/>
  <c r="D19" i="20"/>
  <c r="F19" i="20"/>
  <c r="G20" i="20" s="1"/>
  <c r="F47" i="20"/>
  <c r="G48" i="20" s="1"/>
  <c r="E47" i="20"/>
  <c r="D47" i="20"/>
  <c r="E52" i="20"/>
  <c r="D52" i="20"/>
  <c r="D91" i="20"/>
  <c r="D198" i="20"/>
  <c r="F305" i="20"/>
  <c r="G306" i="20" s="1"/>
  <c r="E305" i="20"/>
  <c r="D305" i="20"/>
  <c r="Y21" i="13"/>
  <c r="J21" i="13"/>
  <c r="AA42" i="13"/>
  <c r="Y42" i="13"/>
  <c r="J42" i="13"/>
  <c r="F19" i="10"/>
  <c r="E215" i="20"/>
  <c r="D215" i="20"/>
  <c r="F215" i="20"/>
  <c r="G216" i="20" s="1"/>
  <c r="F292" i="20"/>
  <c r="G293" i="20" s="1"/>
  <c r="E292" i="20"/>
  <c r="D292" i="20"/>
  <c r="D577" i="20"/>
  <c r="F577" i="20"/>
  <c r="G578" i="20" s="1"/>
  <c r="E577" i="20"/>
  <c r="E681" i="20"/>
  <c r="F681" i="20"/>
  <c r="G682" i="20" s="1"/>
  <c r="D855" i="20"/>
  <c r="F855" i="20"/>
  <c r="G856" i="20" s="1"/>
  <c r="E1110" i="20"/>
  <c r="F1110" i="20"/>
  <c r="G1111" i="20" s="1"/>
  <c r="D1110" i="20"/>
  <c r="C31" i="5"/>
  <c r="F20" i="10"/>
  <c r="F262" i="20"/>
  <c r="G263" i="20" s="1"/>
  <c r="E262" i="20"/>
  <c r="D618" i="20"/>
  <c r="F618" i="20"/>
  <c r="G619" i="20" s="1"/>
  <c r="E77" i="20"/>
  <c r="F77" i="20"/>
  <c r="G78" i="20" s="1"/>
  <c r="E87" i="20"/>
  <c r="F87" i="20"/>
  <c r="G88" i="20" s="1"/>
  <c r="D87" i="20"/>
  <c r="E143" i="20"/>
  <c r="D143" i="20"/>
  <c r="F257" i="20"/>
  <c r="G258" i="20" s="1"/>
  <c r="D257" i="20"/>
  <c r="E280" i="20"/>
  <c r="F280" i="20"/>
  <c r="G281" i="20" s="1"/>
  <c r="D337" i="20"/>
  <c r="E337" i="20"/>
  <c r="F337" i="20"/>
  <c r="G338" i="20" s="1"/>
  <c r="F670" i="20"/>
  <c r="G671" i="20" s="1"/>
  <c r="E670" i="20"/>
  <c r="D670" i="20"/>
  <c r="E737" i="20"/>
  <c r="F737" i="20"/>
  <c r="G738" i="20" s="1"/>
  <c r="D737" i="20"/>
  <c r="Q8" i="10"/>
  <c r="AA21" i="13"/>
  <c r="AB42" i="13"/>
  <c r="D7" i="20"/>
  <c r="D77" i="20"/>
  <c r="F129" i="20"/>
  <c r="G130" i="20" s="1"/>
  <c r="D129" i="20"/>
  <c r="E134" i="20"/>
  <c r="F134" i="20"/>
  <c r="G135" i="20" s="1"/>
  <c r="F143" i="20"/>
  <c r="G144" i="20" s="1"/>
  <c r="F241" i="20"/>
  <c r="G242" i="20" s="1"/>
  <c r="E241" i="20"/>
  <c r="D241" i="20"/>
  <c r="E257" i="20"/>
  <c r="D280" i="20"/>
  <c r="D333" i="20"/>
  <c r="F333" i="20"/>
  <c r="G334" i="20" s="1"/>
  <c r="E333" i="20"/>
  <c r="F689" i="20"/>
  <c r="G690" i="20" s="1"/>
  <c r="Y13" i="13"/>
  <c r="F8" i="10"/>
  <c r="AB13" i="13"/>
  <c r="AA11" i="13"/>
  <c r="AB11" i="13"/>
  <c r="F6" i="10"/>
  <c r="AB21" i="13"/>
  <c r="Y30" i="13"/>
  <c r="J30" i="13"/>
  <c r="E17" i="20"/>
  <c r="E139" i="20"/>
  <c r="D139" i="20"/>
  <c r="F174" i="20"/>
  <c r="G175" i="20" s="1"/>
  <c r="E174" i="20"/>
  <c r="D174" i="20"/>
  <c r="D338" i="20"/>
  <c r="F338" i="20"/>
  <c r="G339" i="20" s="1"/>
  <c r="E338" i="20"/>
  <c r="F443" i="20"/>
  <c r="G444" i="20" s="1"/>
  <c r="E443" i="20"/>
  <c r="F489" i="20"/>
  <c r="G490" i="20" s="1"/>
  <c r="E489" i="20"/>
  <c r="D489" i="20"/>
  <c r="D517" i="20"/>
  <c r="F517" i="20"/>
  <c r="G518" i="20" s="1"/>
  <c r="F664" i="20"/>
  <c r="G665" i="20" s="1"/>
  <c r="E664" i="20"/>
  <c r="D664" i="20"/>
  <c r="F81" i="20"/>
  <c r="G82" i="20" s="1"/>
  <c r="E81" i="20"/>
  <c r="D81" i="20"/>
  <c r="E205" i="20"/>
  <c r="F205" i="20"/>
  <c r="G206" i="20" s="1"/>
  <c r="E842" i="20"/>
  <c r="F842" i="20"/>
  <c r="G843" i="20" s="1"/>
  <c r="D842" i="20"/>
  <c r="F878" i="20"/>
  <c r="G879" i="20" s="1"/>
  <c r="E878" i="20"/>
  <c r="E891" i="20"/>
  <c r="F891" i="20"/>
  <c r="G892" i="20" s="1"/>
  <c r="D891" i="20"/>
  <c r="E1206" i="20"/>
  <c r="F1206" i="20"/>
  <c r="G1207" i="20" s="1"/>
  <c r="D1206" i="20"/>
  <c r="E118" i="20"/>
  <c r="D118" i="20"/>
  <c r="E127" i="20"/>
  <c r="F127" i="20"/>
  <c r="G128" i="20" s="1"/>
  <c r="D127" i="20"/>
  <c r="D168" i="20"/>
  <c r="F168" i="20"/>
  <c r="G169" i="20" s="1"/>
  <c r="E228" i="20"/>
  <c r="D228" i="20"/>
  <c r="F307" i="20"/>
  <c r="G308" i="20" s="1"/>
  <c r="E307" i="20"/>
  <c r="D307" i="20"/>
  <c r="D531" i="20"/>
  <c r="F531" i="20"/>
  <c r="G532" i="20" s="1"/>
  <c r="E531" i="20"/>
  <c r="F765" i="20"/>
  <c r="G766" i="20" s="1"/>
  <c r="E765" i="20"/>
  <c r="D765" i="20"/>
  <c r="F850" i="20"/>
  <c r="G851" i="20" s="1"/>
  <c r="E850" i="20"/>
  <c r="D850" i="20"/>
  <c r="D1093" i="20"/>
  <c r="E1093" i="20"/>
  <c r="F1093" i="20"/>
  <c r="G1094" i="20" s="1"/>
  <c r="D1187" i="20"/>
  <c r="F1187" i="20"/>
  <c r="G1188" i="20" s="1"/>
  <c r="E1187" i="20"/>
  <c r="E6" i="20"/>
  <c r="D6" i="20"/>
  <c r="F118" i="20"/>
  <c r="G119" i="20" s="1"/>
  <c r="F152" i="20"/>
  <c r="G153" i="20" s="1"/>
  <c r="E152" i="20"/>
  <c r="D152" i="20"/>
  <c r="E168" i="20"/>
  <c r="D179" i="20"/>
  <c r="F179" i="20"/>
  <c r="G180" i="20" s="1"/>
  <c r="F228" i="20"/>
  <c r="G229" i="20" s="1"/>
  <c r="D268" i="20"/>
  <c r="F285" i="20"/>
  <c r="G286" i="20" s="1"/>
  <c r="E285" i="20"/>
  <c r="D285" i="20"/>
  <c r="D291" i="20"/>
  <c r="F291" i="20"/>
  <c r="G292" i="20" s="1"/>
  <c r="D563" i="20"/>
  <c r="F1081" i="20"/>
  <c r="G1082" i="20" s="1"/>
  <c r="E1081" i="20"/>
  <c r="D1081" i="20"/>
  <c r="D147" i="20"/>
  <c r="F147" i="20"/>
  <c r="G148" i="20" s="1"/>
  <c r="D229" i="20"/>
  <c r="F229" i="20"/>
  <c r="G230" i="20" s="1"/>
  <c r="E229" i="20"/>
  <c r="F367" i="20"/>
  <c r="G368" i="20" s="1"/>
  <c r="E367" i="20"/>
  <c r="D367" i="20"/>
  <c r="D384" i="20"/>
  <c r="F384" i="20"/>
  <c r="G385" i="20" s="1"/>
  <c r="E384" i="20"/>
  <c r="F448" i="20"/>
  <c r="G449" i="20" s="1"/>
  <c r="D448" i="20"/>
  <c r="F460" i="20"/>
  <c r="G461" i="20" s="1"/>
  <c r="E460" i="20"/>
  <c r="D460" i="20"/>
  <c r="E563" i="20"/>
  <c r="F569" i="20"/>
  <c r="G570" i="20" s="1"/>
  <c r="E569" i="20"/>
  <c r="D569" i="20"/>
  <c r="D581" i="20"/>
  <c r="F581" i="20"/>
  <c r="G582" i="20" s="1"/>
  <c r="E581" i="20"/>
  <c r="F985" i="20"/>
  <c r="G986" i="20" s="1"/>
  <c r="E985" i="20"/>
  <c r="D985" i="20"/>
  <c r="F1069" i="20"/>
  <c r="G1070" i="20" s="1"/>
  <c r="E1069" i="20"/>
  <c r="D1069" i="20"/>
  <c r="AB40" i="13"/>
  <c r="AA40" i="13"/>
  <c r="F21" i="10"/>
  <c r="H21" i="10" s="1"/>
  <c r="AA50" i="13"/>
  <c r="Z50" i="13"/>
  <c r="E20" i="20"/>
  <c r="D20" i="20"/>
  <c r="E23" i="20"/>
  <c r="E94" i="20"/>
  <c r="E147" i="20"/>
  <c r="F169" i="20"/>
  <c r="G170" i="20" s="1"/>
  <c r="E169" i="20"/>
  <c r="D169" i="20"/>
  <c r="D286" i="20"/>
  <c r="D432" i="20"/>
  <c r="E448" i="20"/>
  <c r="F476" i="20"/>
  <c r="G477" i="20" s="1"/>
  <c r="E476" i="20"/>
  <c r="D488" i="20"/>
  <c r="F640" i="20"/>
  <c r="G641" i="20" s="1"/>
  <c r="E640" i="20"/>
  <c r="D640" i="20"/>
  <c r="F751" i="20"/>
  <c r="G752" i="20" s="1"/>
  <c r="E751" i="20"/>
  <c r="D751" i="20"/>
  <c r="F802" i="20"/>
  <c r="G803" i="20" s="1"/>
  <c r="E802" i="20"/>
  <c r="E819" i="20"/>
  <c r="F82" i="20"/>
  <c r="G83" i="20" s="1"/>
  <c r="E82" i="20"/>
  <c r="D383" i="20"/>
  <c r="F383" i="20"/>
  <c r="G384" i="20" s="1"/>
  <c r="E383" i="20"/>
  <c r="E412" i="20"/>
  <c r="F412" i="20"/>
  <c r="G413" i="20" s="1"/>
  <c r="E473" i="20"/>
  <c r="F473" i="20"/>
  <c r="G474" i="20" s="1"/>
  <c r="D473" i="20"/>
  <c r="F540" i="20"/>
  <c r="G541" i="20" s="1"/>
  <c r="E540" i="20"/>
  <c r="D540" i="20"/>
  <c r="F659" i="20"/>
  <c r="G660" i="20" s="1"/>
  <c r="E659" i="20"/>
  <c r="D659" i="20"/>
  <c r="F677" i="20"/>
  <c r="G678" i="20" s="1"/>
  <c r="E677" i="20"/>
  <c r="D677" i="20"/>
  <c r="F1164" i="20"/>
  <c r="G1165" i="20" s="1"/>
  <c r="D1164" i="20"/>
  <c r="F1227" i="20"/>
  <c r="G1228" i="20" s="1"/>
  <c r="D1227" i="20"/>
  <c r="E1227" i="20"/>
  <c r="E356" i="20"/>
  <c r="D356" i="20"/>
  <c r="F356" i="20"/>
  <c r="G357" i="20" s="1"/>
  <c r="F407" i="20"/>
  <c r="G408" i="20" s="1"/>
  <c r="E407" i="20"/>
  <c r="F615" i="20"/>
  <c r="G616" i="20" s="1"/>
  <c r="E615" i="20"/>
  <c r="D615" i="20"/>
  <c r="E11" i="20"/>
  <c r="D11" i="20"/>
  <c r="F92" i="20"/>
  <c r="G93" i="20" s="1"/>
  <c r="D92" i="20"/>
  <c r="D407" i="20"/>
  <c r="E446" i="20"/>
  <c r="D446" i="20"/>
  <c r="E504" i="20"/>
  <c r="D504" i="20"/>
  <c r="F622" i="20"/>
  <c r="G623" i="20" s="1"/>
  <c r="E622" i="20"/>
  <c r="D622" i="20"/>
  <c r="D646" i="20"/>
  <c r="F646" i="20"/>
  <c r="G647" i="20" s="1"/>
  <c r="E646" i="20"/>
  <c r="D725" i="20"/>
  <c r="F725" i="20"/>
  <c r="G726" i="20" s="1"/>
  <c r="E725" i="20"/>
  <c r="D1258" i="20"/>
  <c r="F1258" i="20"/>
  <c r="G1259" i="20" s="1"/>
  <c r="F65" i="20"/>
  <c r="G66" i="20" s="1"/>
  <c r="D65" i="20"/>
  <c r="F132" i="20"/>
  <c r="G133" i="20" s="1"/>
  <c r="E132" i="20"/>
  <c r="D132" i="20"/>
  <c r="F156" i="20"/>
  <c r="G157" i="20" s="1"/>
  <c r="D156" i="20"/>
  <c r="F181" i="20"/>
  <c r="G182" i="20" s="1"/>
  <c r="E181" i="20"/>
  <c r="D254" i="20"/>
  <c r="E254" i="20"/>
  <c r="F265" i="20"/>
  <c r="G266" i="20" s="1"/>
  <c r="E265" i="20"/>
  <c r="D265" i="20"/>
  <c r="D281" i="20"/>
  <c r="F281" i="20"/>
  <c r="G282" i="20" s="1"/>
  <c r="E281" i="20"/>
  <c r="F351" i="20"/>
  <c r="G352" i="20" s="1"/>
  <c r="D351" i="20"/>
  <c r="F547" i="20"/>
  <c r="G548" i="20" s="1"/>
  <c r="E547" i="20"/>
  <c r="D547" i="20"/>
  <c r="F721" i="20"/>
  <c r="G722" i="20" s="1"/>
  <c r="E721" i="20"/>
  <c r="F835" i="20"/>
  <c r="G836" i="20" s="1"/>
  <c r="E835" i="20"/>
  <c r="E1000" i="20"/>
  <c r="F1000" i="20"/>
  <c r="G1001" i="20" s="1"/>
  <c r="D1000" i="20"/>
  <c r="D1021" i="20"/>
  <c r="F1021" i="20"/>
  <c r="G1022" i="20" s="1"/>
  <c r="E1021" i="20"/>
  <c r="D1178" i="20"/>
  <c r="F1178" i="20"/>
  <c r="G1179" i="20" s="1"/>
  <c r="E1178" i="20"/>
  <c r="E1258" i="20"/>
  <c r="E46" i="20"/>
  <c r="E65" i="20"/>
  <c r="F83" i="20"/>
  <c r="G84" i="20" s="1"/>
  <c r="E106" i="20"/>
  <c r="D106" i="20"/>
  <c r="F114" i="20"/>
  <c r="G115" i="20" s="1"/>
  <c r="E119" i="20"/>
  <c r="E156" i="20"/>
  <c r="E171" i="20"/>
  <c r="D181" i="20"/>
  <c r="D235" i="20"/>
  <c r="F254" i="20"/>
  <c r="G255" i="20" s="1"/>
  <c r="F266" i="20"/>
  <c r="G267" i="20" s="1"/>
  <c r="E266" i="20"/>
  <c r="D266" i="20"/>
  <c r="E329" i="20"/>
  <c r="F339" i="20"/>
  <c r="G340" i="20" s="1"/>
  <c r="E351" i="20"/>
  <c r="D401" i="20"/>
  <c r="E401" i="20"/>
  <c r="F401" i="20"/>
  <c r="G402" i="20" s="1"/>
  <c r="D447" i="20"/>
  <c r="F447" i="20"/>
  <c r="G448" i="20" s="1"/>
  <c r="E447" i="20"/>
  <c r="E505" i="20"/>
  <c r="D505" i="20"/>
  <c r="D617" i="20"/>
  <c r="D721" i="20"/>
  <c r="D835" i="20"/>
  <c r="F847" i="20"/>
  <c r="G848" i="20" s="1"/>
  <c r="E847" i="20"/>
  <c r="D847" i="20"/>
  <c r="E943" i="20"/>
  <c r="D943" i="20"/>
  <c r="E990" i="20"/>
  <c r="F990" i="20"/>
  <c r="G991" i="20" s="1"/>
  <c r="D990" i="20"/>
  <c r="E79" i="20"/>
  <c r="D79" i="20"/>
  <c r="E151" i="20"/>
  <c r="F151" i="20"/>
  <c r="G152" i="20" s="1"/>
  <c r="E166" i="20"/>
  <c r="F166" i="20"/>
  <c r="G167" i="20" s="1"/>
  <c r="D166" i="20"/>
  <c r="F220" i="20"/>
  <c r="G221" i="20" s="1"/>
  <c r="E220" i="20"/>
  <c r="D220" i="20"/>
  <c r="F255" i="20"/>
  <c r="G256" i="20" s="1"/>
  <c r="E255" i="20"/>
  <c r="D255" i="20"/>
  <c r="F267" i="20"/>
  <c r="G268" i="20" s="1"/>
  <c r="D267" i="20"/>
  <c r="F359" i="20"/>
  <c r="G360" i="20" s="1"/>
  <c r="D359" i="20"/>
  <c r="F542" i="20"/>
  <c r="G543" i="20" s="1"/>
  <c r="E542" i="20"/>
  <c r="D542" i="20"/>
  <c r="F554" i="20"/>
  <c r="G555" i="20" s="1"/>
  <c r="E554" i="20"/>
  <c r="D554" i="20"/>
  <c r="F617" i="20"/>
  <c r="G618" i="20" s="1"/>
  <c r="D628" i="20"/>
  <c r="F628" i="20"/>
  <c r="G629" i="20" s="1"/>
  <c r="F882" i="20"/>
  <c r="G883" i="20" s="1"/>
  <c r="E882" i="20"/>
  <c r="D882" i="20"/>
  <c r="F954" i="20"/>
  <c r="G955" i="20" s="1"/>
  <c r="E954" i="20"/>
  <c r="D954" i="20"/>
  <c r="E39" i="20"/>
  <c r="D39" i="20"/>
  <c r="F173" i="20"/>
  <c r="G174" i="20" s="1"/>
  <c r="E173" i="20"/>
  <c r="D173" i="20"/>
  <c r="E264" i="20"/>
  <c r="D264" i="20"/>
  <c r="E368" i="20"/>
  <c r="F368" i="20"/>
  <c r="G369" i="20" s="1"/>
  <c r="D368" i="20"/>
  <c r="D385" i="20"/>
  <c r="E385" i="20"/>
  <c r="F385" i="20"/>
  <c r="G386" i="20" s="1"/>
  <c r="F559" i="20"/>
  <c r="G560" i="20" s="1"/>
  <c r="E559" i="20"/>
  <c r="D582" i="20"/>
  <c r="F582" i="20"/>
  <c r="G583" i="20" s="1"/>
  <c r="F665" i="20"/>
  <c r="G666" i="20" s="1"/>
  <c r="E665" i="20"/>
  <c r="D665" i="20"/>
  <c r="F782" i="20"/>
  <c r="G783" i="20" s="1"/>
  <c r="E782" i="20"/>
  <c r="D782" i="20"/>
  <c r="D1107" i="20"/>
  <c r="F1107" i="20"/>
  <c r="G1108" i="20" s="1"/>
  <c r="F1115" i="20"/>
  <c r="G1116" i="20" s="1"/>
  <c r="E1115" i="20"/>
  <c r="D1115" i="20"/>
  <c r="E1165" i="20"/>
  <c r="D1165" i="20"/>
  <c r="F1165" i="20"/>
  <c r="G1166" i="20" s="1"/>
  <c r="F62" i="20"/>
  <c r="G63" i="20" s="1"/>
  <c r="E62" i="20"/>
  <c r="F561" i="20"/>
  <c r="G562" i="20" s="1"/>
  <c r="E561" i="20"/>
  <c r="F603" i="20"/>
  <c r="G604" i="20" s="1"/>
  <c r="E603" i="20"/>
  <c r="F713" i="20"/>
  <c r="G714" i="20" s="1"/>
  <c r="E713" i="20"/>
  <c r="F777" i="20"/>
  <c r="G778" i="20" s="1"/>
  <c r="E777" i="20"/>
  <c r="D777" i="20"/>
  <c r="D904" i="20"/>
  <c r="F904" i="20"/>
  <c r="G905" i="20" s="1"/>
  <c r="D939" i="20"/>
  <c r="F939" i="20"/>
  <c r="G940" i="20" s="1"/>
  <c r="F962" i="20"/>
  <c r="G963" i="20" s="1"/>
  <c r="E962" i="20"/>
  <c r="D968" i="20"/>
  <c r="F968" i="20"/>
  <c r="G969" i="20" s="1"/>
  <c r="E968" i="20"/>
  <c r="F1035" i="20"/>
  <c r="G1036" i="20" s="1"/>
  <c r="D1035" i="20"/>
  <c r="E1108" i="20"/>
  <c r="F1108" i="20"/>
  <c r="G1109" i="20" s="1"/>
  <c r="D1108" i="20"/>
  <c r="D1139" i="20"/>
  <c r="F1139" i="20"/>
  <c r="G1140" i="20" s="1"/>
  <c r="F89" i="20"/>
  <c r="G90" i="20" s="1"/>
  <c r="E89" i="20"/>
  <c r="D89" i="20"/>
  <c r="F284" i="20"/>
  <c r="G285" i="20" s="1"/>
  <c r="D284" i="20"/>
  <c r="F294" i="20"/>
  <c r="G295" i="20" s="1"/>
  <c r="D294" i="20"/>
  <c r="D312" i="20"/>
  <c r="F342" i="20"/>
  <c r="G343" i="20" s="1"/>
  <c r="E342" i="20"/>
  <c r="D342" i="20"/>
  <c r="D347" i="20"/>
  <c r="D352" i="20"/>
  <c r="F370" i="20"/>
  <c r="G371" i="20" s="1"/>
  <c r="D370" i="20"/>
  <c r="F381" i="20"/>
  <c r="G382" i="20" s="1"/>
  <c r="E381" i="20"/>
  <c r="D481" i="20"/>
  <c r="D513" i="20"/>
  <c r="D561" i="20"/>
  <c r="E573" i="20"/>
  <c r="D573" i="20"/>
  <c r="D603" i="20"/>
  <c r="E632" i="20"/>
  <c r="D632" i="20"/>
  <c r="E650" i="20"/>
  <c r="E661" i="20"/>
  <c r="D713" i="20"/>
  <c r="E741" i="20"/>
  <c r="F741" i="20"/>
  <c r="G742" i="20" s="1"/>
  <c r="F758" i="20"/>
  <c r="G759" i="20" s="1"/>
  <c r="E758" i="20"/>
  <c r="D758" i="20"/>
  <c r="E904" i="20"/>
  <c r="E939" i="20"/>
  <c r="D962" i="20"/>
  <c r="F1003" i="20"/>
  <c r="G1004" i="20" s="1"/>
  <c r="D1003" i="20"/>
  <c r="E1003" i="20"/>
  <c r="E1035" i="20"/>
  <c r="F1055" i="20"/>
  <c r="G1056" i="20" s="1"/>
  <c r="E1055" i="20"/>
  <c r="E1160" i="20"/>
  <c r="F1160" i="20"/>
  <c r="G1161" i="20" s="1"/>
  <c r="D1160" i="20"/>
  <c r="D1171" i="20"/>
  <c r="F1171" i="20"/>
  <c r="G1172" i="20" s="1"/>
  <c r="E1171" i="20"/>
  <c r="M19" i="15"/>
  <c r="E4" i="20"/>
  <c r="D30" i="20"/>
  <c r="E40" i="20"/>
  <c r="E70" i="20"/>
  <c r="F70" i="20"/>
  <c r="G71" i="20" s="1"/>
  <c r="E85" i="20"/>
  <c r="D101" i="20"/>
  <c r="D109" i="20"/>
  <c r="F124" i="20"/>
  <c r="G125" i="20" s="1"/>
  <c r="E165" i="20"/>
  <c r="E178" i="20"/>
  <c r="E191" i="20"/>
  <c r="E216" i="20"/>
  <c r="D225" i="20"/>
  <c r="E260" i="20"/>
  <c r="D279" i="20"/>
  <c r="E284" i="20"/>
  <c r="E294" i="20"/>
  <c r="D303" i="20"/>
  <c r="F312" i="20"/>
  <c r="G313" i="20" s="1"/>
  <c r="D326" i="20"/>
  <c r="F347" i="20"/>
  <c r="G348" i="20" s="1"/>
  <c r="E352" i="20"/>
  <c r="F357" i="20"/>
  <c r="G358" i="20" s="1"/>
  <c r="E357" i="20"/>
  <c r="D357" i="20"/>
  <c r="D364" i="20"/>
  <c r="E370" i="20"/>
  <c r="F376" i="20"/>
  <c r="G377" i="20" s="1"/>
  <c r="E376" i="20"/>
  <c r="D376" i="20"/>
  <c r="D381" i="20"/>
  <c r="D408" i="20"/>
  <c r="F408" i="20"/>
  <c r="G409" i="20" s="1"/>
  <c r="E408" i="20"/>
  <c r="D455" i="20"/>
  <c r="E481" i="20"/>
  <c r="E513" i="20"/>
  <c r="D533" i="20"/>
  <c r="F533" i="20"/>
  <c r="G534" i="20" s="1"/>
  <c r="F573" i="20"/>
  <c r="G574" i="20" s="1"/>
  <c r="F632" i="20"/>
  <c r="G633" i="20" s="1"/>
  <c r="F637" i="20"/>
  <c r="G638" i="20" s="1"/>
  <c r="E637" i="20"/>
  <c r="F650" i="20"/>
  <c r="G651" i="20" s="1"/>
  <c r="F661" i="20"/>
  <c r="G662" i="20" s="1"/>
  <c r="F667" i="20"/>
  <c r="G668" i="20" s="1"/>
  <c r="E667" i="20"/>
  <c r="D667" i="20"/>
  <c r="F672" i="20"/>
  <c r="G673" i="20" s="1"/>
  <c r="E672" i="20"/>
  <c r="D672" i="20"/>
  <c r="D741" i="20"/>
  <c r="E753" i="20"/>
  <c r="F766" i="20"/>
  <c r="G767" i="20" s="1"/>
  <c r="E766" i="20"/>
  <c r="D766" i="20"/>
  <c r="E934" i="20"/>
  <c r="F934" i="20"/>
  <c r="G935" i="20" s="1"/>
  <c r="D934" i="20"/>
  <c r="E1041" i="20"/>
  <c r="D1041" i="20"/>
  <c r="D1055" i="20"/>
  <c r="E1080" i="20"/>
  <c r="F1080" i="20"/>
  <c r="G1081" i="20" s="1"/>
  <c r="F1243" i="20"/>
  <c r="G1244" i="20" s="1"/>
  <c r="E1243" i="20"/>
  <c r="D1243" i="20"/>
  <c r="E51" i="20"/>
  <c r="D55" i="20"/>
  <c r="D70" i="20"/>
  <c r="E109" i="20"/>
  <c r="F153" i="20"/>
  <c r="G154" i="20" s="1"/>
  <c r="E153" i="20"/>
  <c r="D153" i="20"/>
  <c r="D161" i="20"/>
  <c r="F178" i="20"/>
  <c r="G179" i="20" s="1"/>
  <c r="F183" i="20"/>
  <c r="G184" i="20" s="1"/>
  <c r="E183" i="20"/>
  <c r="D183" i="20"/>
  <c r="F225" i="20"/>
  <c r="G226" i="20" s="1"/>
  <c r="F230" i="20"/>
  <c r="G231" i="20" s="1"/>
  <c r="E230" i="20"/>
  <c r="D251" i="20"/>
  <c r="D275" i="20"/>
  <c r="F279" i="20"/>
  <c r="G280" i="20" s="1"/>
  <c r="D299" i="20"/>
  <c r="E303" i="20"/>
  <c r="F326" i="20"/>
  <c r="G327" i="20" s="1"/>
  <c r="D388" i="20"/>
  <c r="E424" i="20"/>
  <c r="E430" i="20"/>
  <c r="E455" i="20"/>
  <c r="D470" i="20"/>
  <c r="E533" i="20"/>
  <c r="F614" i="20"/>
  <c r="G615" i="20" s="1"/>
  <c r="E614" i="20"/>
  <c r="D614" i="20"/>
  <c r="D637" i="20"/>
  <c r="D714" i="20"/>
  <c r="F753" i="20"/>
  <c r="G754" i="20" s="1"/>
  <c r="D1155" i="20"/>
  <c r="F1155" i="20"/>
  <c r="G1156" i="20" s="1"/>
  <c r="E1155" i="20"/>
  <c r="D1231" i="20"/>
  <c r="F1231" i="20"/>
  <c r="G1232" i="20" s="1"/>
  <c r="E1231" i="20"/>
  <c r="D1237" i="20"/>
  <c r="F1237" i="20"/>
  <c r="G1238" i="20" s="1"/>
  <c r="E1237" i="20"/>
  <c r="D277" i="20"/>
  <c r="E277" i="20"/>
  <c r="E372" i="20"/>
  <c r="F372" i="20"/>
  <c r="G373" i="20" s="1"/>
  <c r="D372" i="20"/>
  <c r="D417" i="20"/>
  <c r="F417" i="20"/>
  <c r="G418" i="20" s="1"/>
  <c r="E417" i="20"/>
  <c r="D521" i="20"/>
  <c r="F521" i="20"/>
  <c r="G522" i="20" s="1"/>
  <c r="E521" i="20"/>
  <c r="D608" i="20"/>
  <c r="E608" i="20"/>
  <c r="E690" i="20"/>
  <c r="D690" i="20"/>
  <c r="F690" i="20"/>
  <c r="G691" i="20" s="1"/>
  <c r="D809" i="20"/>
  <c r="F809" i="20"/>
  <c r="G810" i="20" s="1"/>
  <c r="F907" i="20"/>
  <c r="G908" i="20" s="1"/>
  <c r="E907" i="20"/>
  <c r="E951" i="20"/>
  <c r="F951" i="20"/>
  <c r="G952" i="20" s="1"/>
  <c r="D951" i="20"/>
  <c r="D1125" i="20"/>
  <c r="E1125" i="20"/>
  <c r="E1212" i="20"/>
  <c r="F1212" i="20"/>
  <c r="G1213" i="20" s="1"/>
  <c r="D1212" i="20"/>
  <c r="D270" i="20"/>
  <c r="D319" i="20"/>
  <c r="F331" i="20"/>
  <c r="G332" i="20" s="1"/>
  <c r="E331" i="20"/>
  <c r="D331" i="20"/>
  <c r="E340" i="20"/>
  <c r="F340" i="20"/>
  <c r="G341" i="20" s="1"/>
  <c r="D349" i="20"/>
  <c r="D358" i="20"/>
  <c r="D363" i="20"/>
  <c r="E363" i="20"/>
  <c r="D439" i="20"/>
  <c r="E501" i="20"/>
  <c r="F535" i="20"/>
  <c r="G536" i="20" s="1"/>
  <c r="E535" i="20"/>
  <c r="D550" i="20"/>
  <c r="F555" i="20"/>
  <c r="G556" i="20" s="1"/>
  <c r="E555" i="20"/>
  <c r="F608" i="20"/>
  <c r="G609" i="20" s="1"/>
  <c r="D755" i="20"/>
  <c r="E805" i="20"/>
  <c r="E809" i="20"/>
  <c r="F832" i="20"/>
  <c r="G833" i="20" s="1"/>
  <c r="E832" i="20"/>
  <c r="D832" i="20"/>
  <c r="D860" i="20"/>
  <c r="D890" i="20"/>
  <c r="F901" i="20"/>
  <c r="G902" i="20" s="1"/>
  <c r="E901" i="20"/>
  <c r="D901" i="20"/>
  <c r="D907" i="20"/>
  <c r="F1125" i="20"/>
  <c r="G1126" i="20" s="1"/>
  <c r="D1201" i="20"/>
  <c r="E1201" i="20"/>
  <c r="E126" i="20"/>
  <c r="E136" i="20"/>
  <c r="E146" i="20"/>
  <c r="E163" i="20"/>
  <c r="D170" i="20"/>
  <c r="D180" i="20"/>
  <c r="E190" i="20"/>
  <c r="E200" i="20"/>
  <c r="D207" i="20"/>
  <c r="E210" i="20"/>
  <c r="D217" i="20"/>
  <c r="E227" i="20"/>
  <c r="F248" i="20"/>
  <c r="G249" i="20" s="1"/>
  <c r="D252" i="20"/>
  <c r="D259" i="20"/>
  <c r="E270" i="20"/>
  <c r="D289" i="20"/>
  <c r="E300" i="20"/>
  <c r="D315" i="20"/>
  <c r="E319" i="20"/>
  <c r="D327" i="20"/>
  <c r="D340" i="20"/>
  <c r="E349" i="20"/>
  <c r="F358" i="20"/>
  <c r="G359" i="20" s="1"/>
  <c r="F363" i="20"/>
  <c r="G364" i="20" s="1"/>
  <c r="E373" i="20"/>
  <c r="F378" i="20"/>
  <c r="G379" i="20" s="1"/>
  <c r="D378" i="20"/>
  <c r="D396" i="20"/>
  <c r="E404" i="20"/>
  <c r="D404" i="20"/>
  <c r="F413" i="20"/>
  <c r="G414" i="20" s="1"/>
  <c r="E413" i="20"/>
  <c r="D422" i="20"/>
  <c r="D435" i="20"/>
  <c r="E439" i="20"/>
  <c r="E453" i="20"/>
  <c r="E477" i="20"/>
  <c r="F477" i="20"/>
  <c r="G478" i="20" s="1"/>
  <c r="D477" i="20"/>
  <c r="E487" i="20"/>
  <c r="D487" i="20"/>
  <c r="F487" i="20"/>
  <c r="G488" i="20" s="1"/>
  <c r="D497" i="20"/>
  <c r="F501" i="20"/>
  <c r="G502" i="20" s="1"/>
  <c r="D516" i="20"/>
  <c r="E550" i="20"/>
  <c r="F560" i="20"/>
  <c r="G561" i="20" s="1"/>
  <c r="E560" i="20"/>
  <c r="D560" i="20"/>
  <c r="F630" i="20"/>
  <c r="G631" i="20" s="1"/>
  <c r="E630" i="20"/>
  <c r="F685" i="20"/>
  <c r="G686" i="20" s="1"/>
  <c r="D685" i="20"/>
  <c r="E695" i="20"/>
  <c r="F749" i="20"/>
  <c r="G750" i="20" s="1"/>
  <c r="E749" i="20"/>
  <c r="E755" i="20"/>
  <c r="F805" i="20"/>
  <c r="G806" i="20" s="1"/>
  <c r="F860" i="20"/>
  <c r="G861" i="20" s="1"/>
  <c r="F872" i="20"/>
  <c r="G873" i="20" s="1"/>
  <c r="E872" i="20"/>
  <c r="F890" i="20"/>
  <c r="G891" i="20" s="1"/>
  <c r="E908" i="20"/>
  <c r="F908" i="20"/>
  <c r="G909" i="20" s="1"/>
  <c r="D908" i="20"/>
  <c r="D947" i="20"/>
  <c r="F947" i="20"/>
  <c r="G948" i="20" s="1"/>
  <c r="E1151" i="20"/>
  <c r="D1151" i="20"/>
  <c r="E1172" i="20"/>
  <c r="D1172" i="20"/>
  <c r="F1172" i="20"/>
  <c r="G1173" i="20" s="1"/>
  <c r="F1201" i="20"/>
  <c r="G1202" i="20" s="1"/>
  <c r="F163" i="20"/>
  <c r="G164" i="20" s="1"/>
  <c r="E217" i="20"/>
  <c r="F227" i="20"/>
  <c r="G228" i="20" s="1"/>
  <c r="D304" i="20"/>
  <c r="E315" i="20"/>
  <c r="F373" i="20"/>
  <c r="G374" i="20" s="1"/>
  <c r="E378" i="20"/>
  <c r="F387" i="20"/>
  <c r="G388" i="20" s="1"/>
  <c r="E387" i="20"/>
  <c r="D387" i="20"/>
  <c r="F404" i="20"/>
  <c r="G405" i="20" s="1"/>
  <c r="D413" i="20"/>
  <c r="F422" i="20"/>
  <c r="G423" i="20" s="1"/>
  <c r="F453" i="20"/>
  <c r="G454" i="20" s="1"/>
  <c r="E497" i="20"/>
  <c r="F502" i="20"/>
  <c r="G503" i="20" s="1"/>
  <c r="E502" i="20"/>
  <c r="E536" i="20"/>
  <c r="F536" i="20"/>
  <c r="G537" i="20" s="1"/>
  <c r="D536" i="20"/>
  <c r="E565" i="20"/>
  <c r="F570" i="20"/>
  <c r="G571" i="20" s="1"/>
  <c r="E570" i="20"/>
  <c r="F609" i="20"/>
  <c r="G610" i="20" s="1"/>
  <c r="E609" i="20"/>
  <c r="D609" i="20"/>
  <c r="D630" i="20"/>
  <c r="F647" i="20"/>
  <c r="G648" i="20" s="1"/>
  <c r="E647" i="20"/>
  <c r="D647" i="20"/>
  <c r="E653" i="20"/>
  <c r="F653" i="20"/>
  <c r="G654" i="20" s="1"/>
  <c r="D653" i="20"/>
  <c r="D679" i="20"/>
  <c r="F679" i="20"/>
  <c r="G680" i="20" s="1"/>
  <c r="E679" i="20"/>
  <c r="E685" i="20"/>
  <c r="D691" i="20"/>
  <c r="F695" i="20"/>
  <c r="G696" i="20" s="1"/>
  <c r="E733" i="20"/>
  <c r="D749" i="20"/>
  <c r="D827" i="20"/>
  <c r="F861" i="20"/>
  <c r="G862" i="20" s="1"/>
  <c r="E861" i="20"/>
  <c r="D872" i="20"/>
  <c r="F880" i="20"/>
  <c r="G881" i="20" s="1"/>
  <c r="E880" i="20"/>
  <c r="D880" i="20"/>
  <c r="F885" i="20"/>
  <c r="G886" i="20" s="1"/>
  <c r="D896" i="20"/>
  <c r="E947" i="20"/>
  <c r="D980" i="20"/>
  <c r="D1143" i="20"/>
  <c r="E1143" i="20"/>
  <c r="F1151" i="20"/>
  <c r="G1152" i="20" s="1"/>
  <c r="F321" i="20"/>
  <c r="G322" i="20" s="1"/>
  <c r="D321" i="20"/>
  <c r="F375" i="20"/>
  <c r="G376" i="20" s="1"/>
  <c r="D375" i="20"/>
  <c r="F415" i="20"/>
  <c r="G416" i="20" s="1"/>
  <c r="E415" i="20"/>
  <c r="E638" i="20"/>
  <c r="F638" i="20"/>
  <c r="G639" i="20" s="1"/>
  <c r="D638" i="20"/>
  <c r="E698" i="20"/>
  <c r="D698" i="20"/>
  <c r="E730" i="20"/>
  <c r="F730" i="20"/>
  <c r="G731" i="20" s="1"/>
  <c r="D730" i="20"/>
  <c r="E736" i="20"/>
  <c r="D736" i="20"/>
  <c r="F757" i="20"/>
  <c r="G758" i="20" s="1"/>
  <c r="E757" i="20"/>
  <c r="D757" i="20"/>
  <c r="F774" i="20"/>
  <c r="G775" i="20" s="1"/>
  <c r="E774" i="20"/>
  <c r="D774" i="20"/>
  <c r="E812" i="20"/>
  <c r="F812" i="20"/>
  <c r="G813" i="20" s="1"/>
  <c r="D812" i="20"/>
  <c r="F846" i="20"/>
  <c r="G847" i="20" s="1"/>
  <c r="D846" i="20"/>
  <c r="F955" i="20"/>
  <c r="G956" i="20" s="1"/>
  <c r="E955" i="20"/>
  <c r="D955" i="20"/>
  <c r="D1006" i="20"/>
  <c r="F1006" i="20"/>
  <c r="G1007" i="20" s="1"/>
  <c r="E1006" i="20"/>
  <c r="F1017" i="20"/>
  <c r="G1018" i="20" s="1"/>
  <c r="E1017" i="20"/>
  <c r="D1017" i="20"/>
  <c r="E1048" i="20"/>
  <c r="F1048" i="20"/>
  <c r="G1049" i="20" s="1"/>
  <c r="D1048" i="20"/>
  <c r="E1192" i="20"/>
  <c r="D1192" i="20"/>
  <c r="D1210" i="20"/>
  <c r="F1210" i="20"/>
  <c r="G1211" i="20" s="1"/>
  <c r="F461" i="20"/>
  <c r="G462" i="20" s="1"/>
  <c r="E461" i="20"/>
  <c r="D461" i="20"/>
  <c r="E584" i="20"/>
  <c r="F584" i="20"/>
  <c r="G585" i="20" s="1"/>
  <c r="F643" i="20"/>
  <c r="G644" i="20" s="1"/>
  <c r="E643" i="20"/>
  <c r="D643" i="20"/>
  <c r="F687" i="20"/>
  <c r="G688" i="20" s="1"/>
  <c r="E687" i="20"/>
  <c r="F783" i="20"/>
  <c r="G784" i="20" s="1"/>
  <c r="E783" i="20"/>
  <c r="F1009" i="20"/>
  <c r="G1010" i="20" s="1"/>
  <c r="E1009" i="20"/>
  <c r="E1022" i="20"/>
  <c r="F1022" i="20"/>
  <c r="G1023" i="20" s="1"/>
  <c r="D361" i="20"/>
  <c r="E402" i="20"/>
  <c r="D406" i="20"/>
  <c r="D421" i="20"/>
  <c r="D436" i="20"/>
  <c r="D485" i="20"/>
  <c r="F485" i="20"/>
  <c r="G486" i="20" s="1"/>
  <c r="D515" i="20"/>
  <c r="D519" i="20"/>
  <c r="D545" i="20"/>
  <c r="D584" i="20"/>
  <c r="E601" i="20"/>
  <c r="F601" i="20"/>
  <c r="G602" i="20" s="1"/>
  <c r="E697" i="20"/>
  <c r="D697" i="20"/>
  <c r="F717" i="20"/>
  <c r="G718" i="20" s="1"/>
  <c r="E717" i="20"/>
  <c r="D843" i="20"/>
  <c r="F977" i="20"/>
  <c r="G978" i="20" s="1"/>
  <c r="E977" i="20"/>
  <c r="D977" i="20"/>
  <c r="D1004" i="20"/>
  <c r="D1009" i="20"/>
  <c r="D1022" i="20"/>
  <c r="F1083" i="20"/>
  <c r="G1084" i="20" s="1"/>
  <c r="E1083" i="20"/>
  <c r="D1089" i="20"/>
  <c r="D1100" i="20"/>
  <c r="D328" i="20"/>
  <c r="E346" i="20"/>
  <c r="E365" i="20"/>
  <c r="D391" i="20"/>
  <c r="D395" i="20"/>
  <c r="F402" i="20"/>
  <c r="G403" i="20" s="1"/>
  <c r="D429" i="20"/>
  <c r="F436" i="20"/>
  <c r="G437" i="20" s="1"/>
  <c r="D457" i="20"/>
  <c r="F457" i="20"/>
  <c r="G458" i="20" s="1"/>
  <c r="E469" i="20"/>
  <c r="E485" i="20"/>
  <c r="D494" i="20"/>
  <c r="F494" i="20"/>
  <c r="G495" i="20" s="1"/>
  <c r="F519" i="20"/>
  <c r="G520" i="20" s="1"/>
  <c r="D601" i="20"/>
  <c r="F629" i="20"/>
  <c r="G630" i="20" s="1"/>
  <c r="F639" i="20"/>
  <c r="G640" i="20" s="1"/>
  <c r="E639" i="20"/>
  <c r="F644" i="20"/>
  <c r="G645" i="20" s="1"/>
  <c r="E644" i="20"/>
  <c r="E649" i="20"/>
  <c r="D682" i="20"/>
  <c r="F697" i="20"/>
  <c r="G698" i="20" s="1"/>
  <c r="D707" i="20"/>
  <c r="D717" i="20"/>
  <c r="D799" i="20"/>
  <c r="D834" i="20"/>
  <c r="E843" i="20"/>
  <c r="E919" i="20"/>
  <c r="E1004" i="20"/>
  <c r="D1117" i="20"/>
  <c r="F1117" i="20"/>
  <c r="G1118" i="20" s="1"/>
  <c r="E1117" i="20"/>
  <c r="F1182" i="20"/>
  <c r="G1183" i="20" s="1"/>
  <c r="E1182" i="20"/>
  <c r="D1235" i="20"/>
  <c r="F1235" i="20"/>
  <c r="G1236" i="20" s="1"/>
  <c r="F503" i="20"/>
  <c r="G504" i="20" s="1"/>
  <c r="E503" i="20"/>
  <c r="D549" i="20"/>
  <c r="F549" i="20"/>
  <c r="G550" i="20" s="1"/>
  <c r="E549" i="20"/>
  <c r="F571" i="20"/>
  <c r="G572" i="20" s="1"/>
  <c r="E571" i="20"/>
  <c r="D571" i="20"/>
  <c r="F738" i="20"/>
  <c r="G739" i="20" s="1"/>
  <c r="E738" i="20"/>
  <c r="E762" i="20"/>
  <c r="D762" i="20"/>
  <c r="F762" i="20"/>
  <c r="G763" i="20" s="1"/>
  <c r="E778" i="20"/>
  <c r="F778" i="20"/>
  <c r="G779" i="20" s="1"/>
  <c r="F813" i="20"/>
  <c r="G814" i="20" s="1"/>
  <c r="D813" i="20"/>
  <c r="E813" i="20"/>
  <c r="F909" i="20"/>
  <c r="G910" i="20" s="1"/>
  <c r="D909" i="20"/>
  <c r="E909" i="20"/>
  <c r="E941" i="20"/>
  <c r="F941" i="20"/>
  <c r="G942" i="20" s="1"/>
  <c r="D941" i="20"/>
  <c r="F1005" i="20"/>
  <c r="G1006" i="20" s="1"/>
  <c r="E1005" i="20"/>
  <c r="E1046" i="20"/>
  <c r="F1046" i="20"/>
  <c r="G1047" i="20" s="1"/>
  <c r="D1053" i="20"/>
  <c r="F1053" i="20"/>
  <c r="G1054" i="20" s="1"/>
  <c r="D1059" i="20"/>
  <c r="F1059" i="20"/>
  <c r="G1060" i="20" s="1"/>
  <c r="E1059" i="20"/>
  <c r="E1118" i="20"/>
  <c r="F1118" i="20"/>
  <c r="G1119" i="20" s="1"/>
  <c r="D1182" i="20"/>
  <c r="D1219" i="20"/>
  <c r="F1219" i="20"/>
  <c r="G1220" i="20" s="1"/>
  <c r="E1224" i="20"/>
  <c r="F1224" i="20"/>
  <c r="G1225" i="20" s="1"/>
  <c r="E1235" i="20"/>
  <c r="F427" i="20"/>
  <c r="G428" i="20" s="1"/>
  <c r="D427" i="20"/>
  <c r="F459" i="20"/>
  <c r="G460" i="20" s="1"/>
  <c r="D459" i="20"/>
  <c r="F496" i="20"/>
  <c r="G497" i="20" s="1"/>
  <c r="E496" i="20"/>
  <c r="F651" i="20"/>
  <c r="G652" i="20" s="1"/>
  <c r="E651" i="20"/>
  <c r="D651" i="20"/>
  <c r="F709" i="20"/>
  <c r="G710" i="20" s="1"/>
  <c r="E709" i="20"/>
  <c r="D709" i="20"/>
  <c r="E729" i="20"/>
  <c r="D729" i="20"/>
  <c r="F734" i="20"/>
  <c r="G735" i="20" s="1"/>
  <c r="E734" i="20"/>
  <c r="D759" i="20"/>
  <c r="E759" i="20"/>
  <c r="E810" i="20"/>
  <c r="F810" i="20"/>
  <c r="G811" i="20" s="1"/>
  <c r="D841" i="20"/>
  <c r="F841" i="20"/>
  <c r="G842" i="20" s="1"/>
  <c r="F879" i="20"/>
  <c r="G880" i="20" s="1"/>
  <c r="E879" i="20"/>
  <c r="D879" i="20"/>
  <c r="F912" i="20"/>
  <c r="G913" i="20" s="1"/>
  <c r="E912" i="20"/>
  <c r="E1062" i="20"/>
  <c r="D1062" i="20"/>
  <c r="F1067" i="20"/>
  <c r="G1068" i="20" s="1"/>
  <c r="D1067" i="20"/>
  <c r="E1067" i="20"/>
  <c r="F1113" i="20"/>
  <c r="G1114" i="20" s="1"/>
  <c r="E1113" i="20"/>
  <c r="F1148" i="20"/>
  <c r="G1149" i="20" s="1"/>
  <c r="E1148" i="20"/>
  <c r="D1148" i="20"/>
  <c r="F1177" i="20"/>
  <c r="G1178" i="20" s="1"/>
  <c r="E1177" i="20"/>
  <c r="F1193" i="20"/>
  <c r="G1194" i="20" s="1"/>
  <c r="E1193" i="20"/>
  <c r="D1193" i="20"/>
  <c r="F853" i="20"/>
  <c r="G854" i="20" s="1"/>
  <c r="E853" i="20"/>
  <c r="D853" i="20"/>
  <c r="F936" i="20"/>
  <c r="G937" i="20" s="1"/>
  <c r="E936" i="20"/>
  <c r="E945" i="20"/>
  <c r="F945" i="20"/>
  <c r="G946" i="20" s="1"/>
  <c r="D945" i="20"/>
  <c r="D995" i="20"/>
  <c r="F995" i="20"/>
  <c r="G996" i="20" s="1"/>
  <c r="F1121" i="20"/>
  <c r="G1122" i="20" s="1"/>
  <c r="E1121" i="20"/>
  <c r="D1251" i="20"/>
  <c r="F1251" i="20"/>
  <c r="G1252" i="20" s="1"/>
  <c r="D454" i="20"/>
  <c r="D507" i="20"/>
  <c r="D525" i="20"/>
  <c r="D553" i="20"/>
  <c r="D590" i="20"/>
  <c r="D631" i="20"/>
  <c r="D675" i="20"/>
  <c r="D735" i="20"/>
  <c r="E752" i="20"/>
  <c r="D776" i="20"/>
  <c r="D780" i="20"/>
  <c r="D785" i="20"/>
  <c r="F798" i="20"/>
  <c r="G799" i="20" s="1"/>
  <c r="E798" i="20"/>
  <c r="F821" i="20"/>
  <c r="G822" i="20" s="1"/>
  <c r="E821" i="20"/>
  <c r="D826" i="20"/>
  <c r="E839" i="20"/>
  <c r="D887" i="20"/>
  <c r="F887" i="20"/>
  <c r="G888" i="20" s="1"/>
  <c r="E887" i="20"/>
  <c r="D936" i="20"/>
  <c r="D972" i="20"/>
  <c r="E995" i="20"/>
  <c r="D1011" i="20"/>
  <c r="F1011" i="20"/>
  <c r="G1012" i="20" s="1"/>
  <c r="D1016" i="20"/>
  <c r="D1051" i="20"/>
  <c r="E1101" i="20"/>
  <c r="D1121" i="20"/>
  <c r="D1142" i="20"/>
  <c r="E1173" i="20"/>
  <c r="E1251" i="20"/>
  <c r="E440" i="20"/>
  <c r="D440" i="20"/>
  <c r="E475" i="20"/>
  <c r="E507" i="20"/>
  <c r="E511" i="20"/>
  <c r="D539" i="20"/>
  <c r="D564" i="20"/>
  <c r="D623" i="20"/>
  <c r="E631" i="20"/>
  <c r="E663" i="20"/>
  <c r="D726" i="20"/>
  <c r="F735" i="20"/>
  <c r="G736" i="20" s="1"/>
  <c r="F752" i="20"/>
  <c r="G753" i="20" s="1"/>
  <c r="D794" i="20"/>
  <c r="D798" i="20"/>
  <c r="D821" i="20"/>
  <c r="F826" i="20"/>
  <c r="G827" i="20" s="1"/>
  <c r="F839" i="20"/>
  <c r="G840" i="20" s="1"/>
  <c r="F869" i="20"/>
  <c r="G870" i="20" s="1"/>
  <c r="E869" i="20"/>
  <c r="D869" i="20"/>
  <c r="D981" i="20"/>
  <c r="F981" i="20"/>
  <c r="G982" i="20" s="1"/>
  <c r="E981" i="20"/>
  <c r="F1034" i="20"/>
  <c r="G1035" i="20" s="1"/>
  <c r="E1034" i="20"/>
  <c r="F1073" i="20"/>
  <c r="G1074" i="20" s="1"/>
  <c r="E1073" i="20"/>
  <c r="D1073" i="20"/>
  <c r="E1086" i="20"/>
  <c r="F1086" i="20"/>
  <c r="G1087" i="20" s="1"/>
  <c r="F1127" i="20"/>
  <c r="G1128" i="20" s="1"/>
  <c r="E1127" i="20"/>
  <c r="F1137" i="20"/>
  <c r="G1138" i="20" s="1"/>
  <c r="E1137" i="20"/>
  <c r="F1142" i="20"/>
  <c r="G1143" i="20" s="1"/>
  <c r="F1173" i="20"/>
  <c r="G1174" i="20" s="1"/>
  <c r="E1180" i="20"/>
  <c r="D1180" i="20"/>
  <c r="E1252" i="20"/>
  <c r="D1252" i="20"/>
  <c r="F1257" i="20"/>
  <c r="G1258" i="20" s="1"/>
  <c r="E1257" i="20"/>
  <c r="D1257" i="20"/>
  <c r="D1123" i="20"/>
  <c r="F1123" i="20"/>
  <c r="G1124" i="20" s="1"/>
  <c r="E1123" i="20"/>
  <c r="D1233" i="20"/>
  <c r="F1233" i="20"/>
  <c r="G1234" i="20" s="1"/>
  <c r="E1233" i="20"/>
  <c r="E1244" i="20"/>
  <c r="F1244" i="20"/>
  <c r="G1245" i="20" s="1"/>
  <c r="D1244" i="20"/>
  <c r="E616" i="20"/>
  <c r="F616" i="20"/>
  <c r="G617" i="20" s="1"/>
  <c r="D616" i="20"/>
  <c r="D823" i="20"/>
  <c r="F823" i="20"/>
  <c r="G824" i="20" s="1"/>
  <c r="E924" i="20"/>
  <c r="F924" i="20"/>
  <c r="G925" i="20" s="1"/>
  <c r="F974" i="20"/>
  <c r="G975" i="20" s="1"/>
  <c r="E974" i="20"/>
  <c r="D997" i="20"/>
  <c r="E997" i="20"/>
  <c r="E1037" i="20"/>
  <c r="D1037" i="20"/>
  <c r="D1098" i="20"/>
  <c r="F1145" i="20"/>
  <c r="G1146" i="20" s="1"/>
  <c r="E1145" i="20"/>
  <c r="D1145" i="20"/>
  <c r="D711" i="20"/>
  <c r="F711" i="20"/>
  <c r="G712" i="20" s="1"/>
  <c r="E711" i="20"/>
  <c r="D1043" i="20"/>
  <c r="F1043" i="20"/>
  <c r="G1044" i="20" s="1"/>
  <c r="F1131" i="20"/>
  <c r="G1132" i="20" s="1"/>
  <c r="D1131" i="20"/>
  <c r="E1181" i="20"/>
  <c r="F1181" i="20"/>
  <c r="G1182" i="20" s="1"/>
  <c r="D595" i="20"/>
  <c r="D602" i="20"/>
  <c r="D620" i="20"/>
  <c r="D634" i="20"/>
  <c r="D641" i="20"/>
  <c r="E648" i="20"/>
  <c r="F648" i="20"/>
  <c r="G649" i="20" s="1"/>
  <c r="D655" i="20"/>
  <c r="D673" i="20"/>
  <c r="D680" i="20"/>
  <c r="D696" i="20"/>
  <c r="D700" i="20"/>
  <c r="F704" i="20"/>
  <c r="G705" i="20" s="1"/>
  <c r="E704" i="20"/>
  <c r="F750" i="20"/>
  <c r="G751" i="20" s="1"/>
  <c r="E750" i="20"/>
  <c r="D787" i="20"/>
  <c r="D795" i="20"/>
  <c r="D828" i="20"/>
  <c r="F845" i="20"/>
  <c r="G846" i="20" s="1"/>
  <c r="D845" i="20"/>
  <c r="E857" i="20"/>
  <c r="D867" i="20"/>
  <c r="E871" i="20"/>
  <c r="D893" i="20"/>
  <c r="D897" i="20"/>
  <c r="D905" i="20"/>
  <c r="F905" i="20"/>
  <c r="G906" i="20" s="1"/>
  <c r="D923" i="20"/>
  <c r="E932" i="20"/>
  <c r="F932" i="20"/>
  <c r="G933" i="20" s="1"/>
  <c r="D932" i="20"/>
  <c r="E964" i="20"/>
  <c r="E1014" i="20"/>
  <c r="F1014" i="20"/>
  <c r="G1015" i="20" s="1"/>
  <c r="D1014" i="20"/>
  <c r="D1020" i="20"/>
  <c r="E1025" i="20"/>
  <c r="D1025" i="20"/>
  <c r="E1043" i="20"/>
  <c r="D1050" i="20"/>
  <c r="D1079" i="20"/>
  <c r="F1079" i="20"/>
  <c r="G1080" i="20" s="1"/>
  <c r="E1079" i="20"/>
  <c r="D1094" i="20"/>
  <c r="E1131" i="20"/>
  <c r="D1181" i="20"/>
  <c r="E1189" i="20"/>
  <c r="D568" i="20"/>
  <c r="D648" i="20"/>
  <c r="F655" i="20"/>
  <c r="G656" i="20" s="1"/>
  <c r="E688" i="20"/>
  <c r="D704" i="20"/>
  <c r="D746" i="20"/>
  <c r="D750" i="20"/>
  <c r="D771" i="20"/>
  <c r="E791" i="20"/>
  <c r="F803" i="20"/>
  <c r="G804" i="20" s="1"/>
  <c r="E803" i="20"/>
  <c r="F828" i="20"/>
  <c r="G829" i="20" s="1"/>
  <c r="E845" i="20"/>
  <c r="F857" i="20"/>
  <c r="G858" i="20" s="1"/>
  <c r="F871" i="20"/>
  <c r="G872" i="20" s="1"/>
  <c r="E876" i="20"/>
  <c r="F876" i="20"/>
  <c r="G877" i="20" s="1"/>
  <c r="E893" i="20"/>
  <c r="E905" i="20"/>
  <c r="F923" i="20"/>
  <c r="G924" i="20" s="1"/>
  <c r="F964" i="20"/>
  <c r="G965" i="20" s="1"/>
  <c r="F969" i="20"/>
  <c r="G970" i="20" s="1"/>
  <c r="E969" i="20"/>
  <c r="F1025" i="20"/>
  <c r="G1026" i="20" s="1"/>
  <c r="D1030" i="20"/>
  <c r="E1085" i="20"/>
  <c r="F1094" i="20"/>
  <c r="G1095" i="20" s="1"/>
  <c r="D1112" i="20"/>
  <c r="D1147" i="20"/>
  <c r="E1229" i="20"/>
  <c r="F1229" i="20"/>
  <c r="G1230" i="20" s="1"/>
  <c r="D1229" i="20"/>
  <c r="D1027" i="20"/>
  <c r="F1027" i="20"/>
  <c r="G1028" i="20" s="1"/>
  <c r="F1052" i="20"/>
  <c r="G1053" i="20" s="1"/>
  <c r="E1052" i="20"/>
  <c r="F1057" i="20"/>
  <c r="G1058" i="20" s="1"/>
  <c r="E1057" i="20"/>
  <c r="D1057" i="20"/>
  <c r="F1114" i="20"/>
  <c r="G1115" i="20" s="1"/>
  <c r="E1114" i="20"/>
  <c r="F1163" i="20"/>
  <c r="G1164" i="20" s="1"/>
  <c r="D1163" i="20"/>
  <c r="E1153" i="20"/>
  <c r="D1153" i="20"/>
  <c r="D1203" i="20"/>
  <c r="E1203" i="20"/>
  <c r="F1259" i="20"/>
  <c r="G1260" i="20" s="1"/>
  <c r="D1259" i="20"/>
  <c r="D851" i="20"/>
  <c r="D858" i="20"/>
  <c r="D862" i="20"/>
  <c r="D899" i="20"/>
  <c r="D906" i="20"/>
  <c r="D910" i="20"/>
  <c r="D917" i="20"/>
  <c r="D940" i="20"/>
  <c r="D986" i="20"/>
  <c r="E998" i="20"/>
  <c r="D998" i="20"/>
  <c r="E1002" i="20"/>
  <c r="D1019" i="20"/>
  <c r="E1044" i="20"/>
  <c r="D1044" i="20"/>
  <c r="F1049" i="20"/>
  <c r="G1050" i="20" s="1"/>
  <c r="E1049" i="20"/>
  <c r="D1061" i="20"/>
  <c r="E1061" i="20"/>
  <c r="E1077" i="20"/>
  <c r="D1082" i="20"/>
  <c r="D1144" i="20"/>
  <c r="D1149" i="20"/>
  <c r="F1149" i="20"/>
  <c r="G1150" i="20" s="1"/>
  <c r="F1153" i="20"/>
  <c r="G1154" i="20" s="1"/>
  <c r="D1166" i="20"/>
  <c r="D1174" i="20"/>
  <c r="D1195" i="20"/>
  <c r="F1203" i="20"/>
  <c r="G1204" i="20" s="1"/>
  <c r="D1213" i="20"/>
  <c r="E1259" i="20"/>
  <c r="D768" i="20"/>
  <c r="E789" i="20"/>
  <c r="D818" i="20"/>
  <c r="E825" i="20"/>
  <c r="D829" i="20"/>
  <c r="E851" i="20"/>
  <c r="F858" i="20"/>
  <c r="G859" i="20" s="1"/>
  <c r="E862" i="20"/>
  <c r="D873" i="20"/>
  <c r="F873" i="20"/>
  <c r="G874" i="20" s="1"/>
  <c r="F877" i="20"/>
  <c r="G878" i="20" s="1"/>
  <c r="D877" i="20"/>
  <c r="E899" i="20"/>
  <c r="F906" i="20"/>
  <c r="G907" i="20" s="1"/>
  <c r="E910" i="20"/>
  <c r="E917" i="20"/>
  <c r="D925" i="20"/>
  <c r="E940" i="20"/>
  <c r="D959" i="20"/>
  <c r="E982" i="20"/>
  <c r="F982" i="20"/>
  <c r="G983" i="20" s="1"/>
  <c r="E986" i="20"/>
  <c r="F998" i="20"/>
  <c r="G999" i="20" s="1"/>
  <c r="F1002" i="20"/>
  <c r="G1003" i="20" s="1"/>
  <c r="E1019" i="20"/>
  <c r="D1032" i="20"/>
  <c r="D1036" i="20"/>
  <c r="F1044" i="20"/>
  <c r="G1045" i="20" s="1"/>
  <c r="D1049" i="20"/>
  <c r="F1061" i="20"/>
  <c r="G1062" i="20" s="1"/>
  <c r="F1077" i="20"/>
  <c r="G1078" i="20" s="1"/>
  <c r="E1082" i="20"/>
  <c r="D1087" i="20"/>
  <c r="E1111" i="20"/>
  <c r="D1132" i="20"/>
  <c r="D1140" i="20"/>
  <c r="F1144" i="20"/>
  <c r="G1145" i="20" s="1"/>
  <c r="E1149" i="20"/>
  <c r="E1166" i="20"/>
  <c r="F1174" i="20"/>
  <c r="G1175" i="20" s="1"/>
  <c r="E1195" i="20"/>
  <c r="E1204" i="20"/>
  <c r="D1204" i="20"/>
  <c r="F1213" i="20"/>
  <c r="G1214" i="20" s="1"/>
  <c r="E1238" i="20"/>
  <c r="D1238" i="20"/>
  <c r="D1247" i="20"/>
  <c r="E715" i="20"/>
  <c r="E743" i="20"/>
  <c r="E775" i="20"/>
  <c r="F789" i="20"/>
  <c r="G790" i="20" s="1"/>
  <c r="F825" i="20"/>
  <c r="G826" i="20" s="1"/>
  <c r="E829" i="20"/>
  <c r="D866" i="20"/>
  <c r="E873" i="20"/>
  <c r="E877" i="20"/>
  <c r="E921" i="20"/>
  <c r="F959" i="20"/>
  <c r="G960" i="20" s="1"/>
  <c r="E963" i="20"/>
  <c r="D971" i="20"/>
  <c r="D982" i="20"/>
  <c r="F1032" i="20"/>
  <c r="G1033" i="20" s="1"/>
  <c r="E1036" i="20"/>
  <c r="D1054" i="20"/>
  <c r="E1087" i="20"/>
  <c r="F1111" i="20"/>
  <c r="G1112" i="20" s="1"/>
  <c r="D1128" i="20"/>
  <c r="E1132" i="20"/>
  <c r="D1158" i="20"/>
  <c r="F1204" i="20"/>
  <c r="G1205" i="20" s="1"/>
  <c r="E1221" i="20"/>
  <c r="D1225" i="20"/>
  <c r="F1260" i="20"/>
  <c r="E1260" i="20"/>
  <c r="D1260" i="20"/>
  <c r="D1075" i="20"/>
  <c r="F1075" i="20"/>
  <c r="G1076" i="20" s="1"/>
  <c r="E1208" i="20"/>
  <c r="F1208" i="20"/>
  <c r="G1209" i="20" s="1"/>
  <c r="E1240" i="20"/>
  <c r="F1240" i="20"/>
  <c r="G1241" i="20" s="1"/>
  <c r="E1013" i="20"/>
  <c r="D1029" i="20"/>
  <c r="E1029" i="20"/>
  <c r="D1064" i="20"/>
  <c r="D1068" i="20"/>
  <c r="E1075" i="20"/>
  <c r="E1091" i="20"/>
  <c r="D1095" i="20"/>
  <c r="F1099" i="20"/>
  <c r="G1100" i="20" s="1"/>
  <c r="D1099" i="20"/>
  <c r="D1126" i="20"/>
  <c r="E1141" i="20"/>
  <c r="D1157" i="20"/>
  <c r="E1157" i="20"/>
  <c r="D1176" i="20"/>
  <c r="E1196" i="20"/>
  <c r="D1208" i="20"/>
  <c r="D1240" i="20"/>
  <c r="F4" i="25" l="1"/>
  <c r="F26" i="24"/>
  <c r="F63" i="24" s="1"/>
  <c r="X6" i="2"/>
  <c r="G6" i="7" s="1"/>
  <c r="V7" i="2"/>
  <c r="C3" i="5" s="1"/>
  <c r="F1" i="7"/>
  <c r="D2" i="28"/>
  <c r="V32" i="13"/>
  <c r="H13" i="10"/>
  <c r="U32" i="13"/>
  <c r="Z27" i="13"/>
  <c r="D2" i="5"/>
  <c r="D210" i="5" s="1"/>
  <c r="G2" i="24"/>
  <c r="K45" i="9"/>
  <c r="U50" i="13"/>
  <c r="H14" i="10"/>
  <c r="Z35" i="13"/>
  <c r="Z15" i="13"/>
  <c r="AB36" i="13"/>
  <c r="AA36" i="13"/>
  <c r="V49" i="13"/>
  <c r="G9" i="10"/>
  <c r="K9" i="10" s="1"/>
  <c r="X49" i="13"/>
  <c r="AB53" i="13"/>
  <c r="W49" i="13"/>
  <c r="C207" i="5"/>
  <c r="Z17" i="13"/>
  <c r="X14" i="13"/>
  <c r="U14" i="13"/>
  <c r="W14" i="13"/>
  <c r="X23" i="13"/>
  <c r="U23" i="13"/>
  <c r="E207" i="5"/>
  <c r="G21" i="10"/>
  <c r="K21" i="10" s="1"/>
  <c r="H15" i="10"/>
  <c r="V23" i="13"/>
  <c r="V50" i="13"/>
  <c r="V22" i="13"/>
  <c r="W50" i="13"/>
  <c r="Y53" i="13"/>
  <c r="V11" i="13"/>
  <c r="W11" i="13"/>
  <c r="AB45" i="13"/>
  <c r="Z24" i="13"/>
  <c r="AB55" i="13"/>
  <c r="X5" i="2"/>
  <c r="X32" i="13"/>
  <c r="D13" i="5"/>
  <c r="F22" i="7"/>
  <c r="F97" i="5"/>
  <c r="E22" i="7"/>
  <c r="J22" i="5"/>
  <c r="F158" i="5"/>
  <c r="AB44" i="13"/>
  <c r="V51" i="13"/>
  <c r="U51" i="13"/>
  <c r="W51" i="13"/>
  <c r="X51" i="13"/>
  <c r="Y55" i="13"/>
  <c r="Z34" i="13"/>
  <c r="AB54" i="13"/>
  <c r="E196" i="5"/>
  <c r="J203" i="5"/>
  <c r="J195" i="5"/>
  <c r="Y56" i="13"/>
  <c r="H203" i="5"/>
  <c r="H195" i="5"/>
  <c r="Z53" i="13"/>
  <c r="AB56" i="13"/>
  <c r="J12" i="20"/>
  <c r="J5" i="20"/>
  <c r="Z25" i="13"/>
  <c r="H11" i="10"/>
  <c r="U11" i="13"/>
  <c r="X40" i="13"/>
  <c r="W40" i="13"/>
  <c r="V40" i="13"/>
  <c r="U40" i="13"/>
  <c r="G195" i="5"/>
  <c r="G203" i="5"/>
  <c r="Y16" i="13"/>
  <c r="L37" i="7"/>
  <c r="K37" i="7" s="1"/>
  <c r="N37" i="7"/>
  <c r="O37" i="7" s="1"/>
  <c r="L10" i="20"/>
  <c r="M28" i="20" s="1"/>
  <c r="L12" i="20"/>
  <c r="I203" i="5"/>
  <c r="I195" i="5"/>
  <c r="Z36" i="13"/>
  <c r="K195" i="5"/>
  <c r="K203" i="5"/>
  <c r="Z33" i="13"/>
  <c r="F18" i="5"/>
  <c r="F29" i="5" s="1"/>
  <c r="F31" i="5" s="1"/>
  <c r="W22" i="13"/>
  <c r="X22" i="13"/>
  <c r="G22" i="10"/>
  <c r="K22" i="10" s="1"/>
  <c r="Z26" i="13"/>
  <c r="Z18" i="13"/>
  <c r="Z16" i="13"/>
  <c r="H70" i="5"/>
  <c r="I67" i="5" s="1"/>
  <c r="H69" i="5"/>
  <c r="H68" i="5"/>
  <c r="L20" i="20"/>
  <c r="AB34" i="13"/>
  <c r="G119" i="5"/>
  <c r="G121" i="5"/>
  <c r="H118" i="5" s="1"/>
  <c r="AA55" i="13"/>
  <c r="AA53" i="13"/>
  <c r="AA56" i="13"/>
  <c r="M20" i="20"/>
  <c r="Y54" i="13"/>
  <c r="AB33" i="13"/>
  <c r="U8" i="13"/>
  <c r="W8" i="13"/>
  <c r="V8" i="13"/>
  <c r="X8" i="13"/>
  <c r="U41" i="13"/>
  <c r="X41" i="13"/>
  <c r="W41" i="13"/>
  <c r="V41" i="13"/>
  <c r="AB35" i="13"/>
  <c r="AA43" i="13"/>
  <c r="AA46" i="13"/>
  <c r="AA45" i="13"/>
  <c r="AA44" i="13"/>
  <c r="Y17" i="13"/>
  <c r="AB46" i="13"/>
  <c r="U39" i="13"/>
  <c r="X39" i="13"/>
  <c r="W39" i="13"/>
  <c r="V39" i="13"/>
  <c r="L17" i="20"/>
  <c r="H8" i="10"/>
  <c r="G8" i="10"/>
  <c r="K8" i="10" s="1"/>
  <c r="Y44" i="13"/>
  <c r="Y45" i="13"/>
  <c r="Y46" i="13"/>
  <c r="Y43" i="13"/>
  <c r="F74" i="5"/>
  <c r="F45" i="5"/>
  <c r="F56" i="5" s="1"/>
  <c r="F58" i="5" s="1"/>
  <c r="F60" i="5" s="1"/>
  <c r="G39" i="5" s="1"/>
  <c r="H18" i="10"/>
  <c r="G120" i="5"/>
  <c r="J20" i="20"/>
  <c r="H20" i="5"/>
  <c r="G74" i="5"/>
  <c r="G78" i="5" s="1"/>
  <c r="G46" i="5"/>
  <c r="H22" i="7"/>
  <c r="AA54" i="13"/>
  <c r="H20" i="10"/>
  <c r="G20" i="10"/>
  <c r="K20" i="10" s="1"/>
  <c r="E13" i="5"/>
  <c r="E61" i="5"/>
  <c r="H47" i="5"/>
  <c r="H74" i="5"/>
  <c r="H79" i="5" s="1"/>
  <c r="I48" i="5"/>
  <c r="I74" i="5"/>
  <c r="I80" i="5" s="1"/>
  <c r="AA33" i="13"/>
  <c r="W52" i="13"/>
  <c r="V52" i="13"/>
  <c r="X52" i="13"/>
  <c r="U52" i="13"/>
  <c r="F172" i="5"/>
  <c r="F173" i="5"/>
  <c r="G19" i="10"/>
  <c r="K19" i="10" s="1"/>
  <c r="H19" i="10"/>
  <c r="K23" i="5"/>
  <c r="AA35" i="13"/>
  <c r="K18" i="20"/>
  <c r="AA34" i="13"/>
  <c r="W31" i="13"/>
  <c r="X31" i="13"/>
  <c r="U31" i="13"/>
  <c r="V31" i="13"/>
  <c r="K5" i="20"/>
  <c r="K4" i="20"/>
  <c r="J4" i="20"/>
  <c r="H23" i="10"/>
  <c r="F128" i="5"/>
  <c r="F139" i="5" s="1"/>
  <c r="F141" i="5" s="1"/>
  <c r="F109" i="5" s="1"/>
  <c r="J19" i="20"/>
  <c r="J18" i="20"/>
  <c r="Z45" i="13"/>
  <c r="Z43" i="13"/>
  <c r="Z44" i="13"/>
  <c r="Z46" i="13"/>
  <c r="M18" i="20"/>
  <c r="AB43" i="13"/>
  <c r="X30" i="13"/>
  <c r="U30" i="13"/>
  <c r="V30" i="13"/>
  <c r="W30" i="13"/>
  <c r="X42" i="13"/>
  <c r="W42" i="13"/>
  <c r="V42" i="13"/>
  <c r="U42" i="13"/>
  <c r="L11" i="20"/>
  <c r="K12" i="20"/>
  <c r="K10" i="20"/>
  <c r="J10" i="20"/>
  <c r="K11" i="20"/>
  <c r="J11" i="20"/>
  <c r="Y34" i="13"/>
  <c r="Y33" i="13"/>
  <c r="Y36" i="13"/>
  <c r="Y35" i="13"/>
  <c r="Z56" i="13"/>
  <c r="K19" i="20"/>
  <c r="AB24" i="13"/>
  <c r="AB25" i="13"/>
  <c r="AB27" i="13"/>
  <c r="AB26" i="13"/>
  <c r="Z55" i="13"/>
  <c r="M19" i="20"/>
  <c r="AB15" i="13"/>
  <c r="AB17" i="13"/>
  <c r="AB18" i="13"/>
  <c r="AB16" i="13"/>
  <c r="F203" i="5"/>
  <c r="F195" i="5"/>
  <c r="Y26" i="13"/>
  <c r="Y25" i="13"/>
  <c r="Y27" i="13"/>
  <c r="Y24" i="13"/>
  <c r="L18" i="20"/>
  <c r="AA16" i="13"/>
  <c r="AA18" i="13"/>
  <c r="AA17" i="13"/>
  <c r="AA15" i="13"/>
  <c r="U12" i="13"/>
  <c r="X12" i="13"/>
  <c r="V12" i="13"/>
  <c r="W12" i="13"/>
  <c r="Y15" i="13"/>
  <c r="F37" i="1"/>
  <c r="F38" i="1" s="1"/>
  <c r="F40" i="1" s="1"/>
  <c r="F13" i="1" s="1"/>
  <c r="G31" i="1"/>
  <c r="K17" i="20"/>
  <c r="Y18" i="13"/>
  <c r="G19" i="5"/>
  <c r="AA26" i="13"/>
  <c r="AA27" i="13"/>
  <c r="AA24" i="13"/>
  <c r="AA25" i="13"/>
  <c r="J49" i="5"/>
  <c r="J74" i="5"/>
  <c r="J81" i="5" s="1"/>
  <c r="F108" i="5"/>
  <c r="F110" i="5" s="1"/>
  <c r="F112" i="5" s="1"/>
  <c r="G105" i="5" s="1"/>
  <c r="J205" i="5"/>
  <c r="J153" i="5"/>
  <c r="H6" i="10"/>
  <c r="G6" i="10"/>
  <c r="U21" i="13"/>
  <c r="X21" i="13"/>
  <c r="W21" i="13"/>
  <c r="V21" i="13"/>
  <c r="I21" i="5"/>
  <c r="Z54" i="13"/>
  <c r="G6" i="20"/>
  <c r="J17" i="20"/>
  <c r="K20" i="20"/>
  <c r="L19" i="20"/>
  <c r="M17" i="20"/>
  <c r="F32" i="1"/>
  <c r="F34" i="1" s="1"/>
  <c r="F14" i="1" s="1"/>
  <c r="Y6" i="2" l="1"/>
  <c r="H6" i="7" s="1"/>
  <c r="W7" i="2"/>
  <c r="F3" i="24"/>
  <c r="F27" i="24" s="1"/>
  <c r="F51" i="24" s="1"/>
  <c r="G4" i="25"/>
  <c r="G26" i="24"/>
  <c r="G63" i="24" s="1"/>
  <c r="G1" i="7"/>
  <c r="E2" i="28"/>
  <c r="X54" i="13"/>
  <c r="X18" i="13"/>
  <c r="X56" i="13"/>
  <c r="X55" i="13"/>
  <c r="X53" i="13"/>
  <c r="D3" i="5"/>
  <c r="G3" i="24"/>
  <c r="G27" i="24" s="1"/>
  <c r="G51" i="24" s="1"/>
  <c r="E2" i="5"/>
  <c r="E210" i="5" s="1"/>
  <c r="H2" i="24"/>
  <c r="U18" i="13"/>
  <c r="H7" i="9" s="1"/>
  <c r="L7" i="9" s="1"/>
  <c r="U15" i="13"/>
  <c r="G7" i="9" s="1"/>
  <c r="G38" i="9" s="1"/>
  <c r="U53" i="13"/>
  <c r="G23" i="9" s="1"/>
  <c r="G42" i="9" s="1"/>
  <c r="Y5" i="2"/>
  <c r="W54" i="13"/>
  <c r="V53" i="13"/>
  <c r="V18" i="13"/>
  <c r="U16" i="13"/>
  <c r="U17" i="13"/>
  <c r="F7" i="9" s="1"/>
  <c r="J7" i="9" s="1"/>
  <c r="Q5" i="20"/>
  <c r="W17" i="13"/>
  <c r="W56" i="13"/>
  <c r="V15" i="13"/>
  <c r="E233" i="5"/>
  <c r="V16" i="13"/>
  <c r="Z6" i="2"/>
  <c r="I6" i="7" s="1"/>
  <c r="X7" i="2"/>
  <c r="F142" i="5"/>
  <c r="F144" i="5" s="1"/>
  <c r="F146" i="5" s="1"/>
  <c r="F33" i="5"/>
  <c r="G11" i="5" s="1"/>
  <c r="P5" i="20"/>
  <c r="V55" i="13"/>
  <c r="F147" i="5"/>
  <c r="V54" i="13"/>
  <c r="V56" i="13"/>
  <c r="X17" i="13"/>
  <c r="X15" i="13"/>
  <c r="W18" i="13"/>
  <c r="V17" i="13"/>
  <c r="W15" i="13"/>
  <c r="F153" i="5"/>
  <c r="F205" i="5"/>
  <c r="P12" i="20"/>
  <c r="Q4" i="20"/>
  <c r="P4" i="20"/>
  <c r="W44" i="13"/>
  <c r="W46" i="13"/>
  <c r="W45" i="13"/>
  <c r="W43" i="13"/>
  <c r="I153" i="5"/>
  <c r="I205" i="5"/>
  <c r="X44" i="13"/>
  <c r="X45" i="13"/>
  <c r="X43" i="13"/>
  <c r="X46" i="13"/>
  <c r="U46" i="13"/>
  <c r="H19" i="9" s="1"/>
  <c r="U44" i="13"/>
  <c r="U43" i="13"/>
  <c r="G19" i="9" s="1"/>
  <c r="U45" i="13"/>
  <c r="F19" i="9" s="1"/>
  <c r="I68" i="5"/>
  <c r="I70" i="5"/>
  <c r="J67" i="5" s="1"/>
  <c r="I69" i="5"/>
  <c r="V27" i="13"/>
  <c r="V26" i="13"/>
  <c r="V24" i="13"/>
  <c r="V25" i="13"/>
  <c r="W55" i="13"/>
  <c r="U56" i="13"/>
  <c r="H23" i="9" s="1"/>
  <c r="U55" i="13"/>
  <c r="F23" i="9" s="1"/>
  <c r="U54" i="13"/>
  <c r="H121" i="5"/>
  <c r="I118" i="5" s="1"/>
  <c r="H119" i="5"/>
  <c r="H120" i="5"/>
  <c r="W24" i="13"/>
  <c r="W25" i="13"/>
  <c r="W27" i="13"/>
  <c r="W26" i="13"/>
  <c r="W53" i="13"/>
  <c r="F77" i="5"/>
  <c r="F88" i="5" s="1"/>
  <c r="X25" i="13"/>
  <c r="X24" i="13"/>
  <c r="X27" i="13"/>
  <c r="X26" i="13"/>
  <c r="I22" i="7"/>
  <c r="G108" i="5"/>
  <c r="G110" i="5" s="1"/>
  <c r="G112" i="5" s="1"/>
  <c r="H105" i="5" s="1"/>
  <c r="U27" i="13"/>
  <c r="H11" i="9" s="1"/>
  <c r="U26" i="13"/>
  <c r="F11" i="9" s="1"/>
  <c r="U24" i="13"/>
  <c r="G11" i="9" s="1"/>
  <c r="U25" i="13"/>
  <c r="S19" i="20"/>
  <c r="P19" i="20"/>
  <c r="R19" i="20"/>
  <c r="Q19" i="20"/>
  <c r="K6" i="10"/>
  <c r="T33" i="10" s="1"/>
  <c r="W33" i="10" s="1"/>
  <c r="G25" i="10"/>
  <c r="G24" i="10"/>
  <c r="H25" i="10"/>
  <c r="H24" i="10"/>
  <c r="G153" i="5"/>
  <c r="G205" i="5"/>
  <c r="W36" i="13"/>
  <c r="W34" i="13"/>
  <c r="W35" i="13"/>
  <c r="W33" i="13"/>
  <c r="V36" i="13"/>
  <c r="V34" i="13"/>
  <c r="V35" i="13"/>
  <c r="V33" i="13"/>
  <c r="Q12" i="20"/>
  <c r="R17" i="20"/>
  <c r="S17" i="20"/>
  <c r="Q17" i="20"/>
  <c r="P17" i="20"/>
  <c r="U33" i="13"/>
  <c r="G15" i="9" s="1"/>
  <c r="U34" i="13"/>
  <c r="U36" i="13"/>
  <c r="H15" i="9" s="1"/>
  <c r="U35" i="13"/>
  <c r="F15" i="9" s="1"/>
  <c r="H205" i="5"/>
  <c r="H153" i="5"/>
  <c r="W16" i="13"/>
  <c r="X16" i="13"/>
  <c r="R12" i="20"/>
  <c r="M29" i="20"/>
  <c r="R10" i="20"/>
  <c r="Q10" i="20"/>
  <c r="P10" i="20"/>
  <c r="K205" i="5"/>
  <c r="K153" i="5"/>
  <c r="F174" i="5"/>
  <c r="V45" i="13"/>
  <c r="V44" i="13"/>
  <c r="V46" i="13"/>
  <c r="V43" i="13"/>
  <c r="J26" i="20" a="1"/>
  <c r="J26" i="20" s="1"/>
  <c r="K26" i="20"/>
  <c r="G37" i="1"/>
  <c r="G38" i="1" s="1"/>
  <c r="G40" i="1" s="1"/>
  <c r="G13" i="1" s="1"/>
  <c r="G32" i="1"/>
  <c r="G34" i="1" s="1"/>
  <c r="G14" i="1" s="1"/>
  <c r="P11" i="20"/>
  <c r="R11" i="20"/>
  <c r="Q11" i="20"/>
  <c r="X36" i="13"/>
  <c r="X34" i="13"/>
  <c r="X33" i="13"/>
  <c r="X35" i="13"/>
  <c r="R18" i="20"/>
  <c r="Q18" i="20"/>
  <c r="P18" i="20"/>
  <c r="S18" i="20"/>
  <c r="P20" i="20"/>
  <c r="S20" i="20"/>
  <c r="R20" i="20"/>
  <c r="Q20" i="20"/>
  <c r="H4" i="25" l="1"/>
  <c r="H26" i="24"/>
  <c r="H63" i="24" s="1"/>
  <c r="H38" i="9"/>
  <c r="K23" i="9"/>
  <c r="K42" i="9" s="1"/>
  <c r="F2" i="28"/>
  <c r="H1" i="7"/>
  <c r="K7" i="9"/>
  <c r="K38" i="9" s="1"/>
  <c r="K43" i="9" s="1"/>
  <c r="G43" i="9" s="1"/>
  <c r="I2" i="24"/>
  <c r="E3" i="5"/>
  <c r="H3" i="24"/>
  <c r="H27" i="24" s="1"/>
  <c r="H51" i="24" s="1"/>
  <c r="F2" i="5"/>
  <c r="F210" i="5" s="1"/>
  <c r="Z5" i="2"/>
  <c r="F38" i="9"/>
  <c r="AA6" i="2"/>
  <c r="J6" i="7" s="1"/>
  <c r="Y7" i="2"/>
  <c r="K7" i="20" a="1"/>
  <c r="K7" i="20" s="1"/>
  <c r="M7" i="20" s="1"/>
  <c r="F192" i="5"/>
  <c r="F193" i="5" s="1"/>
  <c r="F196" i="5" s="1"/>
  <c r="F202" i="5"/>
  <c r="G124" i="5"/>
  <c r="G126" i="5" s="1"/>
  <c r="F61" i="5"/>
  <c r="K14" i="20" a="1"/>
  <c r="K14" i="20" s="1"/>
  <c r="M14" i="20" s="1"/>
  <c r="K22" i="20" a="1"/>
  <c r="K22" i="20" s="1"/>
  <c r="M22" i="20" s="1"/>
  <c r="K11" i="9"/>
  <c r="K39" i="9" s="1"/>
  <c r="G39" i="9"/>
  <c r="J11" i="9"/>
  <c r="J39" i="9" s="1"/>
  <c r="F39" i="9"/>
  <c r="L23" i="9"/>
  <c r="L42" i="9" s="1"/>
  <c r="H42" i="9"/>
  <c r="K24" i="10"/>
  <c r="K25" i="10"/>
  <c r="J38" i="9"/>
  <c r="J43" i="9" s="1"/>
  <c r="F43" i="9" s="1"/>
  <c r="I119" i="5"/>
  <c r="I121" i="5"/>
  <c r="J118" i="5" s="1"/>
  <c r="I120" i="5"/>
  <c r="B78" i="5"/>
  <c r="B79" i="5" s="1"/>
  <c r="B80" i="5" s="1"/>
  <c r="B81" i="5" s="1"/>
  <c r="B82" i="5" s="1"/>
  <c r="B83" i="5" s="1"/>
  <c r="B84" i="5" s="1"/>
  <c r="B85" i="5" s="1"/>
  <c r="B86" i="5" s="1"/>
  <c r="B87" i="5" s="1"/>
  <c r="B18" i="5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45" i="5"/>
  <c r="B46" i="5" s="1"/>
  <c r="B47" i="5" s="1"/>
  <c r="B48" i="5" s="1"/>
  <c r="B49" i="5" s="1"/>
  <c r="B50" i="5" s="1"/>
  <c r="B51" i="5" s="1"/>
  <c r="B52" i="5" s="1"/>
  <c r="B53" i="5" s="1"/>
  <c r="B54" i="5" s="1"/>
  <c r="B55" i="5" s="1"/>
  <c r="B128" i="5"/>
  <c r="B129" i="5" s="1"/>
  <c r="B130" i="5" s="1"/>
  <c r="B131" i="5" s="1"/>
  <c r="B132" i="5" s="1"/>
  <c r="B133" i="5" s="1"/>
  <c r="B134" i="5" s="1"/>
  <c r="B135" i="5" s="1"/>
  <c r="B136" i="5" s="1"/>
  <c r="B137" i="5" s="1"/>
  <c r="B138" i="5" s="1"/>
  <c r="J23" i="9"/>
  <c r="J42" i="9" s="1"/>
  <c r="F42" i="9"/>
  <c r="K22" i="7"/>
  <c r="J22" i="7"/>
  <c r="F152" i="5"/>
  <c r="F98" i="5"/>
  <c r="F90" i="5"/>
  <c r="F91" i="5" s="1"/>
  <c r="H39" i="9"/>
  <c r="L11" i="9"/>
  <c r="L39" i="9" s="1"/>
  <c r="J70" i="5"/>
  <c r="K67" i="5" s="1"/>
  <c r="J69" i="5"/>
  <c r="J68" i="5"/>
  <c r="G171" i="5"/>
  <c r="F185" i="5"/>
  <c r="J15" i="9"/>
  <c r="J40" i="9" s="1"/>
  <c r="F40" i="9"/>
  <c r="H40" i="9"/>
  <c r="L15" i="9"/>
  <c r="L40" i="9" s="1"/>
  <c r="F41" i="9"/>
  <c r="J19" i="9"/>
  <c r="J41" i="9" s="1"/>
  <c r="K19" i="9"/>
  <c r="K41" i="9" s="1"/>
  <c r="G41" i="9"/>
  <c r="L38" i="9"/>
  <c r="L43" i="9" s="1"/>
  <c r="H43" i="9" s="1"/>
  <c r="K15" i="9"/>
  <c r="K40" i="9" s="1"/>
  <c r="G40" i="9"/>
  <c r="H108" i="5"/>
  <c r="H110" i="5" s="1"/>
  <c r="H112" i="5" s="1"/>
  <c r="I105" i="5" s="1"/>
  <c r="H41" i="9"/>
  <c r="L19" i="9"/>
  <c r="L41" i="9" s="1"/>
  <c r="I4" i="25" l="1"/>
  <c r="I26" i="24"/>
  <c r="I63" i="24" s="1"/>
  <c r="G2" i="28"/>
  <c r="I1" i="7"/>
  <c r="J2" i="24"/>
  <c r="C3" i="26"/>
  <c r="F3" i="5"/>
  <c r="I3" i="24"/>
  <c r="I27" i="24" s="1"/>
  <c r="I51" i="24" s="1"/>
  <c r="J51" i="24" s="1"/>
  <c r="K51" i="24" s="1"/>
  <c r="L51" i="24" s="1"/>
  <c r="M51" i="24" s="1"/>
  <c r="N51" i="24" s="1"/>
  <c r="G2" i="5"/>
  <c r="G210" i="5" s="1"/>
  <c r="G2" i="4"/>
  <c r="AA5" i="2"/>
  <c r="AB6" i="2"/>
  <c r="K6" i="7" s="1"/>
  <c r="Z7" i="2"/>
  <c r="L26" i="9"/>
  <c r="L29" i="9" s="1"/>
  <c r="AB5" i="2"/>
  <c r="G18" i="5"/>
  <c r="G29" i="5" s="1"/>
  <c r="Q25" i="10"/>
  <c r="Q26" i="10" s="1"/>
  <c r="Q28" i="10" s="1"/>
  <c r="R25" i="10"/>
  <c r="R26" i="10" s="1"/>
  <c r="R28" i="10" s="1"/>
  <c r="K68" i="5"/>
  <c r="K70" i="5"/>
  <c r="K69" i="5"/>
  <c r="J121" i="5"/>
  <c r="K118" i="5" s="1"/>
  <c r="J119" i="5"/>
  <c r="J120" i="5"/>
  <c r="G73" i="5"/>
  <c r="F93" i="5"/>
  <c r="F95" i="5" s="1"/>
  <c r="L22" i="7"/>
  <c r="G77" i="5"/>
  <c r="G88" i="5" s="1"/>
  <c r="G98" i="5" s="1"/>
  <c r="G128" i="5"/>
  <c r="G139" i="5" s="1"/>
  <c r="G141" i="5" s="1"/>
  <c r="G45" i="5"/>
  <c r="G56" i="5" s="1"/>
  <c r="G58" i="5" s="1"/>
  <c r="G60" i="5" s="1"/>
  <c r="H39" i="5" s="1"/>
  <c r="G15" i="5"/>
  <c r="H19" i="5"/>
  <c r="I108" i="5"/>
  <c r="I110" i="5" s="1"/>
  <c r="I112" i="5" s="1"/>
  <c r="J105" i="5" s="1"/>
  <c r="K26" i="9"/>
  <c r="G151" i="5"/>
  <c r="J26" i="9"/>
  <c r="J4" i="25" l="1"/>
  <c r="J26" i="24"/>
  <c r="J63" i="24" s="1"/>
  <c r="K1" i="7"/>
  <c r="I2" i="28"/>
  <c r="J1" i="7"/>
  <c r="H2" i="28"/>
  <c r="L2" i="24"/>
  <c r="E3" i="26"/>
  <c r="K2" i="24"/>
  <c r="D3" i="26"/>
  <c r="G3" i="5"/>
  <c r="J3" i="24"/>
  <c r="J27" i="24" s="1"/>
  <c r="I2" i="5"/>
  <c r="I210" i="5" s="1"/>
  <c r="I2" i="4"/>
  <c r="H2" i="5"/>
  <c r="H210" i="5" s="1"/>
  <c r="H2" i="4"/>
  <c r="AA7" i="2"/>
  <c r="AC6" i="2"/>
  <c r="L6" i="7" s="1"/>
  <c r="H26" i="9"/>
  <c r="AC5" i="2"/>
  <c r="H18" i="5"/>
  <c r="H29" i="5" s="1"/>
  <c r="G31" i="5"/>
  <c r="J108" i="5"/>
  <c r="J110" i="5" s="1"/>
  <c r="J112" i="5" s="1"/>
  <c r="K105" i="5" s="1"/>
  <c r="H128" i="5"/>
  <c r="H78" i="5"/>
  <c r="H77" i="5"/>
  <c r="H88" i="5" s="1"/>
  <c r="H98" i="5" s="1"/>
  <c r="H45" i="5"/>
  <c r="H56" i="5" s="1"/>
  <c r="H58" i="5" s="1"/>
  <c r="H60" i="5" s="1"/>
  <c r="I39" i="5" s="1"/>
  <c r="H129" i="5"/>
  <c r="H46" i="5"/>
  <c r="H15" i="5"/>
  <c r="G109" i="5"/>
  <c r="G147" i="5"/>
  <c r="L47" i="9"/>
  <c r="L32" i="9"/>
  <c r="L51" i="9" s="1"/>
  <c r="R29" i="10"/>
  <c r="I20" i="5"/>
  <c r="I19" i="5"/>
  <c r="G75" i="5"/>
  <c r="K121" i="5"/>
  <c r="K119" i="5"/>
  <c r="K120" i="5"/>
  <c r="F26" i="9"/>
  <c r="J29" i="9"/>
  <c r="G26" i="9"/>
  <c r="K29" i="9"/>
  <c r="G142" i="5"/>
  <c r="K4" i="25" l="1"/>
  <c r="K26" i="24"/>
  <c r="K63" i="24" s="1"/>
  <c r="J33" i="24"/>
  <c r="J38" i="24"/>
  <c r="J41" i="24" s="1"/>
  <c r="J32" i="24"/>
  <c r="L4" i="25"/>
  <c r="L26" i="24"/>
  <c r="L63" i="24" s="1"/>
  <c r="L1" i="7"/>
  <c r="J2" i="28"/>
  <c r="M2" i="24"/>
  <c r="F3" i="26"/>
  <c r="H3" i="5"/>
  <c r="K3" i="24"/>
  <c r="K27" i="24" s="1"/>
  <c r="J2" i="5"/>
  <c r="J210" i="5" s="1"/>
  <c r="J2" i="4"/>
  <c r="AB7" i="2"/>
  <c r="AD6" i="2"/>
  <c r="AE6" i="2" s="1"/>
  <c r="N6" i="7" s="1"/>
  <c r="AD5" i="2"/>
  <c r="AE5" i="2" s="1"/>
  <c r="H139" i="5"/>
  <c r="H31" i="5"/>
  <c r="I18" i="5"/>
  <c r="I29" i="5" s="1"/>
  <c r="G33" i="5"/>
  <c r="H11" i="5" s="1"/>
  <c r="J32" i="9"/>
  <c r="J51" i="9" s="1"/>
  <c r="J47" i="9"/>
  <c r="K108" i="5"/>
  <c r="K110" i="5" s="1"/>
  <c r="K112" i="5" s="1"/>
  <c r="G202" i="5"/>
  <c r="G192" i="5"/>
  <c r="G193" i="5" s="1"/>
  <c r="G196" i="5" s="1"/>
  <c r="H124" i="5"/>
  <c r="G144" i="5"/>
  <c r="G146" i="5" s="1"/>
  <c r="N22" i="7"/>
  <c r="M22" i="7"/>
  <c r="G90" i="5"/>
  <c r="G91" i="5" s="1"/>
  <c r="G97" i="5"/>
  <c r="J19" i="5"/>
  <c r="J21" i="5"/>
  <c r="J20" i="5"/>
  <c r="J32" i="7"/>
  <c r="I45" i="5"/>
  <c r="I56" i="5" s="1"/>
  <c r="I58" i="5" s="1"/>
  <c r="I60" i="5" s="1"/>
  <c r="J39" i="5" s="1"/>
  <c r="I78" i="5"/>
  <c r="I128" i="5"/>
  <c r="I139" i="5" s="1"/>
  <c r="I47" i="5"/>
  <c r="I130" i="5"/>
  <c r="I79" i="5"/>
  <c r="I129" i="5"/>
  <c r="I77" i="5"/>
  <c r="I88" i="5" s="1"/>
  <c r="I98" i="5" s="1"/>
  <c r="I46" i="5"/>
  <c r="I15" i="5"/>
  <c r="K32" i="9"/>
  <c r="K51" i="9" s="1"/>
  <c r="K47" i="9"/>
  <c r="J35" i="24" l="1"/>
  <c r="J43" i="24" s="1"/>
  <c r="J46" i="24" s="1"/>
  <c r="K33" i="24"/>
  <c r="K32" i="24"/>
  <c r="K38" i="24"/>
  <c r="K41" i="24" s="1"/>
  <c r="M4" i="25"/>
  <c r="M26" i="24"/>
  <c r="M63" i="24" s="1"/>
  <c r="M1" i="7"/>
  <c r="K2" i="28"/>
  <c r="AC7" i="2"/>
  <c r="M3" i="24" s="1"/>
  <c r="M27" i="24" s="1"/>
  <c r="M6" i="7"/>
  <c r="G3" i="26"/>
  <c r="I3" i="5"/>
  <c r="L3" i="24"/>
  <c r="L27" i="24" s="1"/>
  <c r="K2" i="4"/>
  <c r="N2" i="24"/>
  <c r="K2" i="5"/>
  <c r="K210" i="5" s="1"/>
  <c r="G61" i="5"/>
  <c r="H33" i="5"/>
  <c r="H61" i="5" s="1"/>
  <c r="I31" i="5"/>
  <c r="J18" i="5"/>
  <c r="J29" i="5" s="1"/>
  <c r="H73" i="5"/>
  <c r="G93" i="5"/>
  <c r="G95" i="5" s="1"/>
  <c r="F27" i="7"/>
  <c r="H126" i="5"/>
  <c r="H141" i="5" s="1"/>
  <c r="K21" i="5"/>
  <c r="K19" i="5"/>
  <c r="K20" i="5"/>
  <c r="K22" i="5"/>
  <c r="H192" i="5"/>
  <c r="H193" i="5" s="1"/>
  <c r="H196" i="5" s="1"/>
  <c r="H202" i="5"/>
  <c r="J31" i="7"/>
  <c r="J30" i="7" s="1"/>
  <c r="J33" i="7"/>
  <c r="J34" i="7" s="1"/>
  <c r="J128" i="5"/>
  <c r="J131" i="5"/>
  <c r="J78" i="5"/>
  <c r="J80" i="5"/>
  <c r="J47" i="5"/>
  <c r="J129" i="5"/>
  <c r="J79" i="5"/>
  <c r="J45" i="5"/>
  <c r="J56" i="5" s="1"/>
  <c r="J58" i="5" s="1"/>
  <c r="J60" i="5" s="1"/>
  <c r="K39" i="5" s="1"/>
  <c r="J130" i="5"/>
  <c r="J15" i="5"/>
  <c r="J77" i="5"/>
  <c r="J88" i="5" s="1"/>
  <c r="J98" i="5" s="1"/>
  <c r="J48" i="5"/>
  <c r="J46" i="5"/>
  <c r="G152" i="5"/>
  <c r="G154" i="5" s="1"/>
  <c r="K35" i="24" l="1"/>
  <c r="K43" i="24" s="1"/>
  <c r="K46" i="24" s="1"/>
  <c r="L33" i="24"/>
  <c r="L32" i="24"/>
  <c r="L35" i="24" s="1"/>
  <c r="L38" i="24"/>
  <c r="L41" i="24" s="1"/>
  <c r="M32" i="24"/>
  <c r="M38" i="24"/>
  <c r="M41" i="24" s="1"/>
  <c r="M33" i="24"/>
  <c r="N4" i="25"/>
  <c r="N26" i="24"/>
  <c r="N63" i="24" s="1"/>
  <c r="AD7" i="2"/>
  <c r="K3" i="5" s="1"/>
  <c r="J3" i="5"/>
  <c r="G157" i="5"/>
  <c r="G156" i="5"/>
  <c r="I11" i="5"/>
  <c r="I33" i="5" s="1"/>
  <c r="I61" i="5" s="1"/>
  <c r="K18" i="5"/>
  <c r="K29" i="5" s="1"/>
  <c r="J31" i="5"/>
  <c r="J202" i="5" s="1"/>
  <c r="J139" i="5"/>
  <c r="H142" i="5"/>
  <c r="I124" i="5" s="1"/>
  <c r="H151" i="5"/>
  <c r="F29" i="7"/>
  <c r="I192" i="5"/>
  <c r="I193" i="5" s="1"/>
  <c r="I196" i="5" s="1"/>
  <c r="I202" i="5"/>
  <c r="H152" i="5"/>
  <c r="K45" i="5"/>
  <c r="K56" i="5" s="1"/>
  <c r="K58" i="5" s="1"/>
  <c r="K60" i="5" s="1"/>
  <c r="K48" i="5"/>
  <c r="K128" i="5"/>
  <c r="K47" i="5"/>
  <c r="K49" i="5"/>
  <c r="K79" i="5"/>
  <c r="K129" i="5"/>
  <c r="K132" i="5"/>
  <c r="K77" i="5"/>
  <c r="K88" i="5" s="1"/>
  <c r="K98" i="5" s="1"/>
  <c r="K80" i="5"/>
  <c r="K46" i="5"/>
  <c r="K130" i="5"/>
  <c r="K78" i="5"/>
  <c r="K15" i="5"/>
  <c r="K81" i="5"/>
  <c r="K131" i="5"/>
  <c r="H109" i="5"/>
  <c r="H147" i="5"/>
  <c r="H75" i="5"/>
  <c r="L43" i="24" l="1"/>
  <c r="M35" i="24"/>
  <c r="M43" i="24" s="1"/>
  <c r="N3" i="24"/>
  <c r="N27" i="24" s="1"/>
  <c r="AE7" i="2"/>
  <c r="H154" i="5"/>
  <c r="H157" i="5" s="1"/>
  <c r="G172" i="5"/>
  <c r="G173" i="5"/>
  <c r="G158" i="5"/>
  <c r="J152" i="5"/>
  <c r="J192" i="5"/>
  <c r="J193" i="5" s="1"/>
  <c r="J196" i="5" s="1"/>
  <c r="K31" i="5"/>
  <c r="K192" i="5" s="1"/>
  <c r="K193" i="5" s="1"/>
  <c r="K196" i="5" s="1"/>
  <c r="J11" i="5"/>
  <c r="J33" i="5" s="1"/>
  <c r="K11" i="5" s="1"/>
  <c r="K139" i="5"/>
  <c r="H144" i="5"/>
  <c r="H146" i="5" s="1"/>
  <c r="F31" i="7"/>
  <c r="F33" i="7" s="1"/>
  <c r="H90" i="5"/>
  <c r="H91" i="5" s="1"/>
  <c r="H97" i="5"/>
  <c r="I126" i="5"/>
  <c r="I141" i="5" s="1"/>
  <c r="I152" i="5"/>
  <c r="L46" i="24" l="1"/>
  <c r="M46" i="24"/>
  <c r="N33" i="24"/>
  <c r="N32" i="24"/>
  <c r="N38" i="24"/>
  <c r="N41" i="24" s="1"/>
  <c r="K33" i="5"/>
  <c r="K61" i="5" s="1"/>
  <c r="H156" i="5"/>
  <c r="H172" i="5" s="1"/>
  <c r="G174" i="5"/>
  <c r="J61" i="5"/>
  <c r="K152" i="5"/>
  <c r="K202" i="5"/>
  <c r="I142" i="5"/>
  <c r="I73" i="5"/>
  <c r="H93" i="5"/>
  <c r="H95" i="5" s="1"/>
  <c r="J37" i="7"/>
  <c r="J29" i="7"/>
  <c r="H158" i="5"/>
  <c r="I109" i="5"/>
  <c r="I147" i="5"/>
  <c r="N35" i="24" l="1"/>
  <c r="N43" i="24" s="1"/>
  <c r="N46" i="24" s="1"/>
  <c r="H173" i="5"/>
  <c r="H171" i="5"/>
  <c r="G185" i="5"/>
  <c r="J124" i="5"/>
  <c r="I144" i="5"/>
  <c r="I146" i="5" s="1"/>
  <c r="I75" i="5"/>
  <c r="H174" i="5" l="1"/>
  <c r="I171" i="5" s="1"/>
  <c r="I90" i="5"/>
  <c r="I91" i="5" s="1"/>
  <c r="I97" i="5"/>
  <c r="J126" i="5"/>
  <c r="J141" i="5" s="1"/>
  <c r="I151" i="5"/>
  <c r="I154" i="5" s="1"/>
  <c r="H185" i="5" l="1"/>
  <c r="I93" i="5"/>
  <c r="I95" i="5" s="1"/>
  <c r="J73" i="5"/>
  <c r="I157" i="5"/>
  <c r="I156" i="5"/>
  <c r="J109" i="5"/>
  <c r="J147" i="5"/>
  <c r="J142" i="5"/>
  <c r="I158" i="5" l="1"/>
  <c r="I172" i="5"/>
  <c r="I173" i="5"/>
  <c r="J75" i="5"/>
  <c r="J144" i="5"/>
  <c r="J146" i="5" s="1"/>
  <c r="K124" i="5"/>
  <c r="I174" i="5" l="1"/>
  <c r="K126" i="5"/>
  <c r="K141" i="5" s="1"/>
  <c r="J90" i="5"/>
  <c r="J91" i="5" s="1"/>
  <c r="J97" i="5"/>
  <c r="J93" i="5" l="1"/>
  <c r="J95" i="5" s="1"/>
  <c r="K73" i="5"/>
  <c r="F28" i="7"/>
  <c r="K109" i="5"/>
  <c r="K147" i="5"/>
  <c r="K142" i="5"/>
  <c r="J171" i="5"/>
  <c r="I185" i="5"/>
  <c r="J151" i="5"/>
  <c r="J154" i="5" s="1"/>
  <c r="K75" i="5" l="1"/>
  <c r="J156" i="5"/>
  <c r="J157" i="5"/>
  <c r="K144" i="5"/>
  <c r="K146" i="5" s="1"/>
  <c r="J158" i="5" l="1"/>
  <c r="J172" i="5"/>
  <c r="J173" i="5"/>
  <c r="K90" i="5"/>
  <c r="K91" i="5" s="1"/>
  <c r="K97" i="5"/>
  <c r="J174" i="5" l="1"/>
  <c r="K93" i="5"/>
  <c r="K95" i="5" s="1"/>
  <c r="K171" i="5" l="1"/>
  <c r="J185" i="5"/>
  <c r="K151" i="5"/>
  <c r="K154" i="5" s="1"/>
  <c r="K157" i="5" l="1"/>
  <c r="K156" i="5"/>
  <c r="K172" i="5" l="1"/>
  <c r="K173" i="5"/>
  <c r="K158" i="5"/>
  <c r="K174" i="5" l="1"/>
  <c r="K185" i="5" l="1"/>
  <c r="Q41" i="15" l="1"/>
  <c r="Q43" i="15"/>
  <c r="Q44" i="15"/>
  <c r="L49" i="15"/>
  <c r="J49" i="15" s="1"/>
  <c r="G49" i="15" s="1"/>
  <c r="H49" i="15" s="1"/>
  <c r="Q42" i="15"/>
  <c r="R44" i="15"/>
  <c r="R43" i="15"/>
  <c r="R41" i="15"/>
  <c r="L50" i="15"/>
  <c r="J50" i="15" s="1"/>
  <c r="G50" i="15" s="1"/>
  <c r="H50" i="15" s="1"/>
  <c r="R42" i="15"/>
  <c r="J111" i="24" l="1"/>
  <c r="M111" i="24"/>
  <c r="M124" i="24" s="1"/>
  <c r="N111" i="24"/>
  <c r="N124" i="24" s="1"/>
  <c r="K111" i="24"/>
  <c r="K124" i="24" s="1"/>
  <c r="L111" i="24"/>
  <c r="L124" i="24" s="1"/>
  <c r="J124" i="24" l="1"/>
  <c r="J113" i="24"/>
  <c r="K110" i="24" s="1"/>
  <c r="K113" i="24" s="1"/>
  <c r="L110" i="24" s="1"/>
  <c r="L113" i="24" s="1"/>
  <c r="M110" i="24" s="1"/>
  <c r="M113" i="24" s="1"/>
  <c r="N110" i="24" s="1"/>
  <c r="N113" i="24" s="1"/>
  <c r="J125" i="24" l="1"/>
  <c r="J126" i="24" s="1"/>
  <c r="K123" i="24" s="1"/>
  <c r="K125" i="24" l="1"/>
  <c r="K126" i="24" s="1"/>
  <c r="L123" i="24" s="1"/>
  <c r="L125" i="24" l="1"/>
  <c r="L126" i="24" s="1"/>
  <c r="M123" i="24" s="1"/>
  <c r="M125" i="24" l="1"/>
  <c r="M126" i="24" s="1"/>
  <c r="N123" i="24" s="1"/>
  <c r="N125" i="24" l="1"/>
  <c r="N126" i="24" s="1"/>
  <c r="J9" i="24"/>
  <c r="K9" i="24" s="1"/>
  <c r="L9" i="24" s="1"/>
  <c r="J11" i="24"/>
  <c r="M9" i="24" l="1"/>
  <c r="L11" i="24"/>
  <c r="K11" i="24"/>
  <c r="N9" i="24" l="1"/>
  <c r="N11" i="24" s="1"/>
  <c r="M11" i="24"/>
  <c r="I6" i="36"/>
  <c r="J6" i="36"/>
  <c r="K6" i="36"/>
  <c r="L6" i="36"/>
  <c r="M6" i="36"/>
  <c r="I8" i="36"/>
  <c r="J8" i="36"/>
  <c r="K8" i="36"/>
  <c r="L8" i="36"/>
  <c r="M8" i="36"/>
  <c r="I10" i="36"/>
  <c r="J10" i="36"/>
  <c r="K10" i="36"/>
  <c r="L10" i="36"/>
  <c r="M10" i="36"/>
  <c r="I12" i="36"/>
  <c r="J12" i="36"/>
  <c r="K12" i="36"/>
  <c r="L12" i="36"/>
  <c r="M12" i="36"/>
  <c r="I15" i="36"/>
  <c r="J15" i="36"/>
  <c r="K15" i="36"/>
  <c r="L15" i="36"/>
  <c r="M15" i="36"/>
  <c r="I17" i="36"/>
  <c r="J17" i="36"/>
  <c r="K17" i="36"/>
  <c r="L17" i="36"/>
  <c r="M17" i="36"/>
  <c r="I19" i="36"/>
  <c r="J19" i="36"/>
  <c r="K19" i="36"/>
  <c r="L19" i="36"/>
  <c r="M19" i="36"/>
  <c r="I21" i="36"/>
  <c r="J21" i="36"/>
  <c r="K21" i="36"/>
  <c r="L21" i="36"/>
  <c r="M21" i="36"/>
  <c r="I22" i="36"/>
  <c r="J22" i="36"/>
  <c r="K22" i="36"/>
  <c r="L22" i="36"/>
  <c r="M22" i="36"/>
  <c r="I34" i="36"/>
  <c r="J34" i="36"/>
  <c r="K34" i="36"/>
  <c r="L34" i="36"/>
  <c r="M34" i="36"/>
  <c r="I36" i="36"/>
  <c r="J36" i="36"/>
  <c r="K36" i="36"/>
  <c r="L36" i="36"/>
  <c r="M36" i="36"/>
  <c r="I37" i="36"/>
  <c r="J37" i="36"/>
  <c r="K37" i="36"/>
  <c r="L37" i="36"/>
  <c r="M37" i="36"/>
  <c r="I38" i="36"/>
  <c r="J38" i="36"/>
  <c r="K38" i="36"/>
  <c r="L38" i="36"/>
  <c r="M38" i="36"/>
  <c r="I40" i="36"/>
  <c r="J40" i="36"/>
  <c r="K40" i="36"/>
  <c r="L40" i="36"/>
  <c r="M40" i="36"/>
  <c r="I41" i="36"/>
  <c r="J41" i="36"/>
  <c r="K41" i="36"/>
  <c r="L41" i="36"/>
  <c r="M41" i="36"/>
  <c r="I44" i="36"/>
  <c r="J44" i="36"/>
  <c r="K44" i="36"/>
  <c r="L44" i="36"/>
  <c r="M44" i="36"/>
  <c r="I45" i="36"/>
  <c r="J45" i="36"/>
  <c r="K45" i="36"/>
  <c r="L45" i="36"/>
  <c r="M45" i="36"/>
  <c r="I46" i="36"/>
  <c r="J46" i="36"/>
  <c r="K46" i="36"/>
  <c r="L46" i="36"/>
  <c r="M46" i="36"/>
  <c r="I48" i="36"/>
  <c r="J48" i="36"/>
  <c r="K48" i="36"/>
  <c r="L48" i="36"/>
  <c r="M48" i="36"/>
  <c r="I52" i="36"/>
  <c r="J52" i="36"/>
  <c r="K52" i="36"/>
  <c r="L52" i="36"/>
  <c r="M52" i="36"/>
  <c r="I53" i="36"/>
  <c r="J53" i="36"/>
  <c r="K53" i="36"/>
  <c r="L53" i="36"/>
  <c r="M53" i="36"/>
  <c r="I57" i="36"/>
  <c r="J57" i="36"/>
  <c r="K57" i="36"/>
  <c r="L57" i="36"/>
  <c r="M57" i="36"/>
  <c r="C12" i="5"/>
  <c r="C15" i="34"/>
  <c r="B20" i="34"/>
  <c r="B21" i="34"/>
  <c r="B23" i="34"/>
  <c r="B24" i="34"/>
  <c r="C26" i="34"/>
  <c r="D27" i="3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T3" authorId="0" shapeId="0" xr:uid="{755CC5EF-34D6-419B-B51A-1B64723CE69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information is for 2014 as there are no available information for 2015 in SEC gov or any other publicly available sources</t>
        </r>
      </text>
    </comment>
    <comment ref="J14" authorId="0" shapeId="0" xr:uid="{3A3BC76D-2F77-4B3F-A857-165CEF8E03B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derived to arrive at net income after tax
source: p.54 Globe 2015 D-IS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I4" authorId="0" shapeId="0" xr:uid="{00000000-0006-0000-0200-000001000000}">
      <text>
        <r>
          <rPr>
            <sz val="11"/>
            <color theme="1"/>
            <rFont val="Arial Narrow"/>
            <family val="2"/>
            <scheme val="minor"/>
          </rPr>
          <t>Author:
Gross Profit Margin (average for selected period) &gt; 50%
Operating Profit Margin (average for selected period) &gt; 20%
Cash Conversion Ratio (average for selected period) &gt; 80%
ROCE (Return on Capital Employed) over selected period &gt; 15% p.a.
Interest Coverage Ratio &gt; 10
Free Cash Flow Yield &gt; 3.5%
Free cash flow growth over selected period &gt; 5% p.a.
Discount to Fair Value using historical free cash flow growth (growth capped at 20% p.a., discount rate = 12%, terminal P/FCF = 15) &gt; 5%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F117" authorId="0" shapeId="0" xr:uid="{503B15B9-405E-4848-BFD6-066177551844}">
      <text>
        <r>
          <rPr>
            <sz val="11"/>
            <color theme="1"/>
            <rFont val="Arial Narrow"/>
            <family val="2"/>
            <scheme val="minor"/>
          </rPr>
          <t>Assumed full depreciation of assets sold and zero salvage value</t>
        </r>
      </text>
    </comment>
    <comment ref="J117" authorId="0" shapeId="0" xr:uid="{00000000-0006-0000-0800-000001000000}">
      <text>
        <r>
          <rPr>
            <sz val="11"/>
            <color theme="1"/>
            <rFont val="Arial Narrow"/>
            <family val="2"/>
            <scheme val="minor"/>
          </rPr>
          <t>Assumed full depreciation of assets sold and zero salvage value</t>
        </r>
      </text>
    </comment>
    <comment ref="F118" authorId="0" shapeId="0" xr:uid="{E3AC5B7E-32CE-4D25-90EF-2018F461F6F8}">
      <text>
        <r>
          <rPr>
            <sz val="11"/>
            <color theme="1"/>
            <rFont val="Arial Narrow"/>
            <family val="2"/>
            <scheme val="minor"/>
          </rPr>
          <t>Assumed same as 2008</t>
        </r>
      </text>
    </comment>
    <comment ref="J118" authorId="0" shapeId="0" xr:uid="{00000000-0006-0000-0800-000002000000}">
      <text>
        <r>
          <rPr>
            <sz val="11"/>
            <color theme="1"/>
            <rFont val="Arial Narrow"/>
            <family val="2"/>
            <scheme val="minor"/>
          </rPr>
          <t>Assumed same as 2008</t>
        </r>
      </text>
    </comment>
    <comment ref="F163" authorId="0" shapeId="0" xr:uid="{AC32DCE0-422B-4DDE-A640-EC117F497733}">
      <text>
        <r>
          <rPr>
            <sz val="11"/>
            <color theme="1"/>
            <rFont val="Arial Narrow"/>
            <family val="2"/>
            <scheme val="minor"/>
          </rPr>
          <t>Assumed a repayment of $5m based on trend between 2008-2011</t>
        </r>
      </text>
    </comment>
    <comment ref="J163" authorId="0" shapeId="0" xr:uid="{00000000-0006-0000-0800-000003000000}">
      <text>
        <r>
          <rPr>
            <sz val="11"/>
            <color theme="1"/>
            <rFont val="Arial Narrow"/>
            <family val="2"/>
            <scheme val="minor"/>
          </rPr>
          <t>Assumed a repayment of $5m based on trend between 2008-2011</t>
        </r>
      </text>
    </comment>
    <comment ref="J166" authorId="0" shapeId="0" xr:uid="{00000000-0006-0000-0800-000004000000}">
      <text>
        <r>
          <rPr>
            <sz val="11"/>
            <color theme="1"/>
            <rFont val="Arial Narrow"/>
            <family val="2"/>
            <scheme val="minor"/>
          </rPr>
          <t xml:space="preserve">Assumed a 1% spread to sovereing bonds yield of 5% 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1" authorId="0" shapeId="0" xr:uid="{00000000-0006-0000-0C00-000001000000}">
      <text>
        <r>
          <rPr>
            <sz val="9"/>
            <color rgb="FF000000"/>
            <rFont val="Arial Narrow"/>
            <family val="2"/>
            <scheme val="minor"/>
          </rPr>
          <t>Microsoft Office User:
This is the estimate for the ERP for a mature market, that then updates all of the ERP for other countries by adding the CRP to it. I update the ERP for the S&amp;P 500 at the start of every month on my website (damodaran.com) and if you want, you can change this number to ther most recent update.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30" authorId="0" shapeId="0" xr:uid="{5EA656A2-77A7-42DB-A868-052AC402C731}">
      <text>
        <r>
          <rPr>
            <sz val="9"/>
            <color rgb="FF000000"/>
            <rFont val="Arial Narrow"/>
            <family val="2"/>
            <scheme val="minor"/>
          </rPr>
          <t>Aswath Damodaran:
Check your company's annual report or 10K. If it does have options outstanding, enter the total number here (vested and non vested, in the money and out…)</t>
        </r>
      </text>
    </comment>
    <comment ref="B31" authorId="0" shapeId="0" xr:uid="{5AE328CF-D6A3-4CCC-9AFE-0846185598A0}">
      <text>
        <r>
          <rPr>
            <sz val="9"/>
            <color rgb="FF000000"/>
            <rFont val="Arial Narrow"/>
            <family val="2"/>
            <scheme val="minor"/>
          </rPr>
          <t>Aswath Damodaran:
Enter the weighted average strike price of your options. (Should be in your 10K or annual report.)</t>
        </r>
      </text>
    </comment>
    <comment ref="B32" authorId="0" shapeId="0" xr:uid="{3B3EF8DF-D836-4E43-8ED2-6816999B2C2A}">
      <text>
        <r>
          <rPr>
            <sz val="9"/>
            <color rgb="FF000000"/>
            <rFont val="Arial Narrow"/>
            <family val="2"/>
            <scheme val="minor"/>
          </rPr>
          <t>Aswath Damodaran:
The weighted average maturity of your options should be reported in your financial statements.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W32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Re-levered Beta (βrL) = βU x [1 + (1 - Tax %) x (Debt/Equity)]</t>
        </r>
      </text>
    </comment>
  </commentList>
</comments>
</file>

<file path=xl/sharedStrings.xml><?xml version="1.0" encoding="utf-8"?>
<sst xmlns="http://schemas.openxmlformats.org/spreadsheetml/2006/main" count="3676" uniqueCount="2283">
  <si>
    <t>Enterprise Value</t>
  </si>
  <si>
    <t>Low</t>
  </si>
  <si>
    <t>Mid</t>
  </si>
  <si>
    <t>High</t>
  </si>
  <si>
    <t>DCF</t>
  </si>
  <si>
    <t>SOTP</t>
  </si>
  <si>
    <t>Precedent Transactions</t>
  </si>
  <si>
    <t xml:space="preserve">Consensus Research </t>
  </si>
  <si>
    <t>52-Week Trading</t>
  </si>
  <si>
    <t>Secondary Value Measures - Enterpise Value Calculation</t>
  </si>
  <si>
    <t>($) Per Share</t>
  </si>
  <si>
    <t>52-week Trading</t>
  </si>
  <si>
    <t>Equity Analyst Target Prices</t>
  </si>
  <si>
    <t>52-week Trading Range (per Share)</t>
  </si>
  <si>
    <t>Fully Diluted Shares Outstanding (MM)</t>
  </si>
  <si>
    <t>Market Capitalization</t>
  </si>
  <si>
    <t>Plus: Net Debt</t>
  </si>
  <si>
    <t>Implied Enterprise Value</t>
  </si>
  <si>
    <t>Equity Analyst Target Prices (Per Share)</t>
  </si>
  <si>
    <t>Control Pannel</t>
  </si>
  <si>
    <t>General Assumptions</t>
  </si>
  <si>
    <t>Income Statement Assumptions</t>
  </si>
  <si>
    <t>Revenue Forecast Assumptions</t>
  </si>
  <si>
    <t>Input</t>
  </si>
  <si>
    <t>Base Case Annual Growth Taper</t>
  </si>
  <si>
    <t>Subject Company</t>
  </si>
  <si>
    <t>WNS holdings</t>
  </si>
  <si>
    <t>Bull Case Growth (+ Base %)</t>
  </si>
  <si>
    <t>Valuation Date</t>
  </si>
  <si>
    <t>Bear Case Growth (- Base %)</t>
  </si>
  <si>
    <t>Other</t>
  </si>
  <si>
    <t>Expense Forecast Assumptions</t>
  </si>
  <si>
    <t>Cost of Sales</t>
  </si>
  <si>
    <t>Terminal Value: Exit Multiple</t>
  </si>
  <si>
    <t>Terminal Value: Perpetual Growth</t>
  </si>
  <si>
    <t>Terminal Value: Average</t>
  </si>
  <si>
    <t>Valuation Assumptions</t>
  </si>
  <si>
    <t>5-Year Average Tax Rate</t>
  </si>
  <si>
    <t>WACC</t>
  </si>
  <si>
    <t>Terminal Value EBITDA Multiple</t>
  </si>
  <si>
    <t>DCF Assumptions</t>
  </si>
  <si>
    <t>Balance Sheet Forecast Assumptions</t>
  </si>
  <si>
    <t>Cost of Sales (% Revenue)</t>
  </si>
  <si>
    <t>Current Asset &amp; Liabilities</t>
  </si>
  <si>
    <t>Accounts</t>
  </si>
  <si>
    <t>Recivable</t>
  </si>
  <si>
    <t>Payables</t>
  </si>
  <si>
    <t>Inventory</t>
  </si>
  <si>
    <t>WACC Inputs</t>
  </si>
  <si>
    <t>Days Outstanding</t>
  </si>
  <si>
    <t>Risk Free Rate</t>
  </si>
  <si>
    <t>Equity Risk Premium</t>
  </si>
  <si>
    <t>Accrued Expenses (% of Revenue)</t>
  </si>
  <si>
    <t>Country Risk Premium</t>
  </si>
  <si>
    <t>Unearned Revenue (% of Revenue)</t>
  </si>
  <si>
    <t>Size Premium</t>
  </si>
  <si>
    <t>Annual Growth in Marketable Securities</t>
  </si>
  <si>
    <t>Company Specific Risk Premium</t>
  </si>
  <si>
    <t>Target Capital Structure (% Debt)</t>
  </si>
  <si>
    <t>Property &amp; Equipment</t>
  </si>
  <si>
    <t>Target Price Thresholds (Versus Current Price)</t>
  </si>
  <si>
    <t>Cash Capex (% of Revenue)</t>
  </si>
  <si>
    <t>Sell</t>
  </si>
  <si>
    <t>Asset Average Useful Life</t>
  </si>
  <si>
    <t>Hold</t>
  </si>
  <si>
    <t>Buy</t>
  </si>
  <si>
    <t>Operating &amp; Finance Leases</t>
  </si>
  <si>
    <t>Operating</t>
  </si>
  <si>
    <t>Finance</t>
  </si>
  <si>
    <t>Financing Assumptions</t>
  </si>
  <si>
    <t>Net Annual Additions (% of Revenue)</t>
  </si>
  <si>
    <t>Interest Rate on Leases</t>
  </si>
  <si>
    <t>Projected Capital Raise - % Debt Financing</t>
  </si>
  <si>
    <t>Weighted-Average Remaining Lease Term (Existing Leases)</t>
  </si>
  <si>
    <t>Projected Capital Raise - % Equity Financing</t>
  </si>
  <si>
    <t>Lease Term (New Leases)</t>
  </si>
  <si>
    <t>Term of Additional Long-Term Debt</t>
  </si>
  <si>
    <t xml:space="preserve"> </t>
  </si>
  <si>
    <t>Revenue Summary</t>
  </si>
  <si>
    <t>Base Case</t>
  </si>
  <si>
    <t>Bull Case</t>
  </si>
  <si>
    <t>Bear Case</t>
  </si>
  <si>
    <t>EBITDA (Excluding SBC)</t>
  </si>
  <si>
    <t>Base Case EBITDA</t>
  </si>
  <si>
    <t>Bull Case EBITDA</t>
  </si>
  <si>
    <t xml:space="preserve">Bear Case EBITDA </t>
  </si>
  <si>
    <t>FCFF</t>
  </si>
  <si>
    <t>Base Case FCFF</t>
  </si>
  <si>
    <t>Bull Case FCFF</t>
  </si>
  <si>
    <t>Bear Case  FCFF</t>
  </si>
  <si>
    <t>Net Earnings</t>
  </si>
  <si>
    <t>Base Case Net Earnings</t>
  </si>
  <si>
    <t>Bull Case Net Earnings</t>
  </si>
  <si>
    <t>Bear Case  Net Earnings</t>
  </si>
  <si>
    <t>ROCE</t>
  </si>
  <si>
    <t>ROCE = EBIT / Capital Employed</t>
  </si>
  <si>
    <t>ROA</t>
  </si>
  <si>
    <t>ROE</t>
  </si>
  <si>
    <t>Cash conversion ratio</t>
  </si>
  <si>
    <t>Cash Conversion Ratio = Free Cash Flow / Net Profit</t>
  </si>
  <si>
    <t>gross Margins growth</t>
  </si>
  <si>
    <t>Operating margin growth</t>
  </si>
  <si>
    <t>Operating Profit Margin = Operating Profit / Revenue</t>
  </si>
  <si>
    <t>Operating Profit = Gross Profit – Operating Expenses – Depreciation and Amortization</t>
  </si>
  <si>
    <t>Interest coverage ratio</t>
  </si>
  <si>
    <t>nterest Coverage Ratio = EBIT / Interest Expenses</t>
  </si>
  <si>
    <t>Debt/equity</t>
  </si>
  <si>
    <t>Debt / Equity Ratio = Total Debt / Shareholder’s Equity</t>
  </si>
  <si>
    <t>Freec cashflow yield</t>
  </si>
  <si>
    <t>Free Cash Flow Yield = Free Cash Flow / Market Capitalization</t>
  </si>
  <si>
    <t xml:space="preserve">Free cashflow growth </t>
  </si>
  <si>
    <t>YoY growth in cashfows</t>
  </si>
  <si>
    <t> Return on Assets %</t>
  </si>
  <si>
    <t> Return on Equity %</t>
  </si>
  <si>
    <t> Return on Invested Capital %</t>
  </si>
  <si>
    <t>EBITDA Margin %</t>
  </si>
  <si>
    <t>Time Periods</t>
  </si>
  <si>
    <t>Days</t>
  </si>
  <si>
    <t>Online Stores</t>
  </si>
  <si>
    <t>Physical Stores</t>
  </si>
  <si>
    <t>Retail Third-Party Seller Services</t>
  </si>
  <si>
    <t>AWS</t>
  </si>
  <si>
    <t>Working Capital</t>
  </si>
  <si>
    <t>Accounts Receivable</t>
  </si>
  <si>
    <t>Accounts Payable</t>
  </si>
  <si>
    <t>Other Annual Inputs</t>
  </si>
  <si>
    <t>Inflation Rate</t>
  </si>
  <si>
    <t>Term Debt</t>
  </si>
  <si>
    <t>Common Equity</t>
  </si>
  <si>
    <t>Depreciation</t>
  </si>
  <si>
    <t>First Year Accounting Depreciation</t>
  </si>
  <si>
    <t>Useful Life: Existing Assets</t>
  </si>
  <si>
    <t>(Years)</t>
  </si>
  <si>
    <t>Useful Life: New Assets</t>
  </si>
  <si>
    <t/>
  </si>
  <si>
    <t>Net Income</t>
  </si>
  <si>
    <t>Inventories</t>
  </si>
  <si>
    <t>Supporting Schedules</t>
  </si>
  <si>
    <t>PP&amp;E Schedule</t>
  </si>
  <si>
    <t>PP&amp;E Opening Balance, Net</t>
  </si>
  <si>
    <t>Plus: Capex</t>
  </si>
  <si>
    <t>Plus: Other Net Additions</t>
  </si>
  <si>
    <t>Depreciation on Existing PP&amp;E</t>
  </si>
  <si>
    <t>Depreciation on New Capex</t>
  </si>
  <si>
    <t>Less: Total Depreciation Expense</t>
  </si>
  <si>
    <t>PP&amp;E Closing Balance, Net, Not Including Capital/Finance Leases</t>
  </si>
  <si>
    <t>Finance Leases Schedule</t>
  </si>
  <si>
    <t>Right-of-use Assets</t>
  </si>
  <si>
    <t>Beginning Balance</t>
  </si>
  <si>
    <t>Plus: Net Additions</t>
  </si>
  <si>
    <t>Depreciation on Existing ROU Assets</t>
  </si>
  <si>
    <t>Depreciation on New Additions</t>
  </si>
  <si>
    <t>Right-of-use Asset Ending Balance</t>
  </si>
  <si>
    <t>Total Property And Equipment, net</t>
  </si>
  <si>
    <t>Finance Lease Liability</t>
  </si>
  <si>
    <t>Existing Lease Liabilities</t>
  </si>
  <si>
    <t>Beginning Balance, Existing Lease Liability</t>
  </si>
  <si>
    <t>Plus: Interest</t>
  </si>
  <si>
    <t>Less: Lease Payments on Existing Lease Liability</t>
  </si>
  <si>
    <t>Ending Balance, Existing Lease Liability</t>
  </si>
  <si>
    <t>New Lease Liabilities</t>
  </si>
  <si>
    <t>Beginning Balance, New Lease Liability</t>
  </si>
  <si>
    <t>Plus: Additions</t>
  </si>
  <si>
    <t>Principle Repayment on New Lease Liabilities</t>
  </si>
  <si>
    <t>Principle Payments on New Additions</t>
  </si>
  <si>
    <t>Less: Lease Payments on New Lease Liabilities</t>
  </si>
  <si>
    <t>Ending Balance, New Lease Liabilities</t>
  </si>
  <si>
    <t>Ending Balance, Long-term Finance Lease Liabilities</t>
  </si>
  <si>
    <t>Less: Current Portion of Finance Leases</t>
  </si>
  <si>
    <t>Ending Balance, Long-Term Finance Lease Liabilities</t>
  </si>
  <si>
    <t>Finance Leases - Total Interest Expense</t>
  </si>
  <si>
    <t>Finance Leases - Total Principal Repayments</t>
  </si>
  <si>
    <t>Operating Leases Schedule</t>
  </si>
  <si>
    <t>Amortization on Existing ROU Assets</t>
  </si>
  <si>
    <t xml:space="preserve">Amortization on New ROU Assets </t>
  </si>
  <si>
    <t>Less: Total Amortization Expense</t>
  </si>
  <si>
    <t>Operating Lease Liability</t>
  </si>
  <si>
    <t>Ending Balance, Total Operating Lease Liabilities</t>
  </si>
  <si>
    <t>Less: Current Portion of Operating Lease Liabilities</t>
  </si>
  <si>
    <t>Ending Balance, Long-Term Operating Lease Liabilities</t>
  </si>
  <si>
    <t>Total Operating Lease Expense</t>
  </si>
  <si>
    <t>Additional Capital Requirnments Schedule</t>
  </si>
  <si>
    <t>Funding Shortfall</t>
  </si>
  <si>
    <t>Additional Capital - Long-Term Debt</t>
  </si>
  <si>
    <t>Additional Capital - Common Equity</t>
  </si>
  <si>
    <t>Additional Common Shares</t>
  </si>
  <si>
    <t>Existing Long-Term Debt Schedule</t>
  </si>
  <si>
    <t>Opening Balance</t>
  </si>
  <si>
    <t>Less: Principal Repayments - Existing Long-Term Debt</t>
  </si>
  <si>
    <t>Closing Balance</t>
  </si>
  <si>
    <t>Debt Additions Schedule</t>
  </si>
  <si>
    <t>Less: Principal Repayments</t>
  </si>
  <si>
    <t xml:space="preserve">Total Long-Term Debt Schedule </t>
  </si>
  <si>
    <t>Total Long-Term Debt</t>
  </si>
  <si>
    <t>Total Proceeds (Repayments) from Long-Term Debt and Other</t>
  </si>
  <si>
    <t>Long-Term Debt on Balance Sheet</t>
  </si>
  <si>
    <t>Current Portion of Long-Term Debt (Accrued Expenses)</t>
  </si>
  <si>
    <t>Interest Expense on Long-Term Debt</t>
  </si>
  <si>
    <t>Interest Rate on Long-Term Debt</t>
  </si>
  <si>
    <t>EBIT</t>
  </si>
  <si>
    <t>D&amp;A</t>
  </si>
  <si>
    <t>EBITDA (Including SBC)</t>
  </si>
  <si>
    <t>Stock-Based Compensation (SBC)</t>
  </si>
  <si>
    <t>Free Cash Flow to Firm (FCFF)</t>
  </si>
  <si>
    <t>Operating Profit</t>
  </si>
  <si>
    <t>Less: Unlevered Taxes</t>
  </si>
  <si>
    <t>Net Operating Profit After Tax (NOPAT)</t>
  </si>
  <si>
    <t>Plus: Depreciation &amp; Amortization</t>
  </si>
  <si>
    <t>Plus: Stock-Based Compensation</t>
  </si>
  <si>
    <t>Plus: Other Non-Cash Expenses</t>
  </si>
  <si>
    <t>Less: Cash Capex</t>
  </si>
  <si>
    <t>Plus: Changes in Net Working Capital</t>
  </si>
  <si>
    <t>NOPAT</t>
  </si>
  <si>
    <t>($ in millions)</t>
  </si>
  <si>
    <t>Less: COGS</t>
  </si>
  <si>
    <t>Gross Profit</t>
  </si>
  <si>
    <t>Less: SG&amp;A</t>
  </si>
  <si>
    <t>Operating Income (EBIT)</t>
  </si>
  <si>
    <t>Less: Interest Expense</t>
  </si>
  <si>
    <t>Pre-Tax Income (EBT)</t>
  </si>
  <si>
    <t>Less: Taxes</t>
  </si>
  <si>
    <t>Approach 1</t>
  </si>
  <si>
    <t>Approach 2</t>
  </si>
  <si>
    <t>Plus: Interest Expense</t>
  </si>
  <si>
    <t>Plus: Taxes</t>
  </si>
  <si>
    <t xml:space="preserve">Income statement </t>
  </si>
  <si>
    <t>2020</t>
  </si>
  <si>
    <t>2021</t>
  </si>
  <si>
    <t>2022</t>
  </si>
  <si>
    <t>2023</t>
  </si>
  <si>
    <t>Actual</t>
  </si>
  <si>
    <t>Fiscal</t>
  </si>
  <si>
    <t xml:space="preserve">    Total Revenue</t>
  </si>
  <si>
    <t xml:space="preserve">        Business Revenue</t>
  </si>
  <si>
    <t>Revenue</t>
  </si>
  <si>
    <t xml:space="preserve">    Cost of Revenue</t>
  </si>
  <si>
    <t>Net Sales</t>
  </si>
  <si>
    <t xml:space="preserve">        Operation Maintenance and Repairs</t>
  </si>
  <si>
    <t>Other Income, net</t>
  </si>
  <si>
    <t xml:space="preserve">        Staff Cost, Cost of Revenue</t>
  </si>
  <si>
    <t xml:space="preserve">        Dpreciation &amp; Amortization, Cost of Revenue</t>
  </si>
  <si>
    <t xml:space="preserve">        Other Costof Revenue</t>
  </si>
  <si>
    <t>Operating Income/Expenses</t>
  </si>
  <si>
    <t>Operating, SG&amp;A Expenses</t>
  </si>
  <si>
    <t xml:space="preserve">    Selling, General and Administrative Expenses</t>
  </si>
  <si>
    <t>Operating Income</t>
  </si>
  <si>
    <t xml:space="preserve">        Staff Costs</t>
  </si>
  <si>
    <t>Interest Expense</t>
  </si>
  <si>
    <t xml:space="preserve">        General and Administrative Expenses</t>
  </si>
  <si>
    <t>Capital Lease Interest Expense</t>
  </si>
  <si>
    <t xml:space="preserve">        Selling and Marketing Expenses</t>
  </si>
  <si>
    <t>Interest income</t>
  </si>
  <si>
    <t xml:space="preserve">    Depreciation, Amortization and Depletion</t>
  </si>
  <si>
    <t>Pre-Tax Income</t>
  </si>
  <si>
    <t xml:space="preserve">        Depreciation and Amortization</t>
  </si>
  <si>
    <t>Income Taxes</t>
  </si>
  <si>
    <t xml:space="preserve">            Amortization</t>
  </si>
  <si>
    <t>Minority Interest</t>
  </si>
  <si>
    <t>Total Operating Profit/Loss</t>
  </si>
  <si>
    <t>Non-Operating Income/Expense, Total</t>
  </si>
  <si>
    <t xml:space="preserve">    Total Net Finance Income/Expense</t>
  </si>
  <si>
    <t>Diluted Shares Outstanding</t>
  </si>
  <si>
    <t xml:space="preserve">        Net Interest Income/Expense</t>
  </si>
  <si>
    <t xml:space="preserve">            Interest Expense Net of Capitalized Interest</t>
  </si>
  <si>
    <t>Diluted Earnings per Share</t>
  </si>
  <si>
    <t xml:space="preserve">            Interest Income</t>
  </si>
  <si>
    <t xml:space="preserve">        Other Finance Income/Expenses</t>
  </si>
  <si>
    <t>EBITDA</t>
  </si>
  <si>
    <t xml:space="preserve">            Other Finance Expenses</t>
  </si>
  <si>
    <t>EBITDA Margin</t>
  </si>
  <si>
    <t xml:space="preserve">    Net Investment Income</t>
  </si>
  <si>
    <t xml:space="preserve">        Gain/Loss on Investments and Other Financial Instruments</t>
  </si>
  <si>
    <t xml:space="preserve">        Gain/Loss on Foreign Currency Exchange</t>
  </si>
  <si>
    <t xml:space="preserve">        Gain/Loss on Derivatives</t>
  </si>
  <si>
    <t xml:space="preserve">        Dividend and Investment Income</t>
  </si>
  <si>
    <t xml:space="preserve">    Other Income/Expense, Non-Operating</t>
  </si>
  <si>
    <t xml:space="preserve">    Irregular Income/Expense</t>
  </si>
  <si>
    <t>COGS, % of Net Sales</t>
  </si>
  <si>
    <t xml:space="preserve">        Goodwill Impairment/Write Off</t>
  </si>
  <si>
    <t>Op, SG&amp;A, % of Revenue</t>
  </si>
  <si>
    <t>Pretax Income</t>
  </si>
  <si>
    <t>Provision for Income Tax</t>
  </si>
  <si>
    <t>Minority Interest Growth</t>
  </si>
  <si>
    <t>Net Income before Extraordinary Items and Discontinued Operations</t>
  </si>
  <si>
    <t>Net Income after Extraordinary Items and Discontinued Operations</t>
  </si>
  <si>
    <t>Effective Tax Rate</t>
  </si>
  <si>
    <t>Net Income after Non-Controlling/Minority Interests</t>
  </si>
  <si>
    <t>Net Income Available to Common Stockholders</t>
  </si>
  <si>
    <t>Depreciation &amp; Amortization</t>
  </si>
  <si>
    <t>Diluted Net Income Available to Common Stockholders</t>
  </si>
  <si>
    <t>D&amp;A, % of Net Revenue</t>
  </si>
  <si>
    <t>Income Statement Supplemental Section</t>
  </si>
  <si>
    <t xml:space="preserve">    Reported Normalized and Operating Income/Expense Supplemental Section</t>
  </si>
  <si>
    <t xml:space="preserve">        Total Revenue as Reported, Supplemental</t>
  </si>
  <si>
    <t xml:space="preserve">        Reported Total Operating Profit/Loss</t>
  </si>
  <si>
    <t xml:space="preserve">        Reported Normalized Income</t>
  </si>
  <si>
    <t xml:space="preserve">        Reported Normalized Operating Profit</t>
  </si>
  <si>
    <t>Basic EPS</t>
  </si>
  <si>
    <t xml:space="preserve">    Basic EPS from Continuing Operations</t>
  </si>
  <si>
    <t>Diluted EPS</t>
  </si>
  <si>
    <t xml:space="preserve">    Diluted EPS from Continuing Operations</t>
  </si>
  <si>
    <t>Basic Weighted Average Shares Outstanding</t>
  </si>
  <si>
    <t>Diluted Weighted Average Shares Outstanding</t>
  </si>
  <si>
    <t>Reported Normalized Basic EPS</t>
  </si>
  <si>
    <t>Reported Normalized Diluted EPS</t>
  </si>
  <si>
    <t>Basic WASO</t>
  </si>
  <si>
    <t>Diluted WASO</t>
  </si>
  <si>
    <t>Balance Sheet</t>
  </si>
  <si>
    <t>Total Assets</t>
  </si>
  <si>
    <t xml:space="preserve">    Total Current Assets</t>
  </si>
  <si>
    <t xml:space="preserve">        Cash, Cash Equivalents and Short Term Investments</t>
  </si>
  <si>
    <t>ASSETS</t>
  </si>
  <si>
    <t xml:space="preserve">            Cash and Cash Equivalents</t>
  </si>
  <si>
    <t>Current Assets</t>
  </si>
  <si>
    <t xml:space="preserve">                Cash</t>
  </si>
  <si>
    <t>Cash &amp; Equivalents</t>
  </si>
  <si>
    <t xml:space="preserve">                Cash Equivalents</t>
  </si>
  <si>
    <t>Receivables</t>
  </si>
  <si>
    <t xml:space="preserve">            Short Term Investments</t>
  </si>
  <si>
    <t xml:space="preserve">                Other Short Term Investments</t>
  </si>
  <si>
    <t>Prepaid Expenses and Other</t>
  </si>
  <si>
    <t xml:space="preserve">        Cash Restricted or Pledged, Current</t>
  </si>
  <si>
    <t xml:space="preserve">        Derivative Investment and Hedging Assets, Current</t>
  </si>
  <si>
    <t xml:space="preserve">        Trade and Other Receivables, Current</t>
  </si>
  <si>
    <t>Net PPE</t>
  </si>
  <si>
    <t xml:space="preserve">            Trade/Accounts Receivable, Current</t>
  </si>
  <si>
    <t>Net Capital Leases</t>
  </si>
  <si>
    <t xml:space="preserve">                Gross Trade/Accounts Receivable, Current</t>
  </si>
  <si>
    <t>Goodwill</t>
  </si>
  <si>
    <t xml:space="preserve">                Allowance/Adjustments for Trade/Accounts Receivable, Current</t>
  </si>
  <si>
    <t>Other Assets and Deferred Charges</t>
  </si>
  <si>
    <t xml:space="preserve">            Taxes Receivable, Current</t>
  </si>
  <si>
    <t xml:space="preserve">            Accrued Income/Unbilled Revenue/Cost in Excess of Billings, Current</t>
  </si>
  <si>
    <t xml:space="preserve">            Other Receivables, Current</t>
  </si>
  <si>
    <t>LIABILITIES</t>
  </si>
  <si>
    <t xml:space="preserve">        Prepayments and Deposits, Current</t>
  </si>
  <si>
    <t>Current Liabilities</t>
  </si>
  <si>
    <t xml:space="preserve">        Other Current Assets</t>
  </si>
  <si>
    <t>Commercial Paper</t>
  </si>
  <si>
    <t xml:space="preserve">        Deferred Costs/Assets, Current</t>
  </si>
  <si>
    <t>Revolver</t>
  </si>
  <si>
    <t xml:space="preserve">    Total Non-Current Assets</t>
  </si>
  <si>
    <t xml:space="preserve">        Net Property, Plant and Equipment</t>
  </si>
  <si>
    <t>Accrued Liabilities</t>
  </si>
  <si>
    <t xml:space="preserve">            Gross Property, Plant and Equipment</t>
  </si>
  <si>
    <t>Accrued Income Taxes</t>
  </si>
  <si>
    <t xml:space="preserve">                Properties</t>
  </si>
  <si>
    <t>Current Portion of Long-Term Debt</t>
  </si>
  <si>
    <t xml:space="preserve">                    Buildings and Improvements</t>
  </si>
  <si>
    <t>Current Portion of Capital Leases</t>
  </si>
  <si>
    <t xml:space="preserve">                    Leasehold and Improvements</t>
  </si>
  <si>
    <t xml:space="preserve">                Machinery, Furniture and Equipment</t>
  </si>
  <si>
    <t xml:space="preserve">                    Furniture, Fixtures and Office Equipment</t>
  </si>
  <si>
    <t>Long-Term Debt</t>
  </si>
  <si>
    <t xml:space="preserve">                    Flight, Fleet, Vehicle and Related Equipment</t>
  </si>
  <si>
    <t>Capital Leases</t>
  </si>
  <si>
    <t xml:space="preserve">                Construction in Progress and Advance Payments</t>
  </si>
  <si>
    <t>Deferred Income Taxes &amp; Other</t>
  </si>
  <si>
    <t xml:space="preserve">                Leased Property, Plant and Equipment</t>
  </si>
  <si>
    <t xml:space="preserve">            Accumulated Depreciation and Impairment</t>
  </si>
  <si>
    <t xml:space="preserve">                Accumulated Depreciation</t>
  </si>
  <si>
    <t xml:space="preserve">                    Accumulated Depreciation of Properties</t>
  </si>
  <si>
    <t>SHAREHOLDERS' EQUITY</t>
  </si>
  <si>
    <t xml:space="preserve">                        Accumulated Depreciation of Buildings</t>
  </si>
  <si>
    <t>Common Stock</t>
  </si>
  <si>
    <t xml:space="preserve">                        Accumulated Depreciation of Leasehold and Improvements</t>
  </si>
  <si>
    <t>APIC</t>
  </si>
  <si>
    <t xml:space="preserve">                    Accumulated Depreciation of Machinery, Furniture and Equipment</t>
  </si>
  <si>
    <t>Retained Earnings</t>
  </si>
  <si>
    <t xml:space="preserve">                        Accumulated Depreciation of Furniture, Fixtures and Office Equipment</t>
  </si>
  <si>
    <t>Accumulated Other Comp. Income</t>
  </si>
  <si>
    <t xml:space="preserve">                        Accumulated Depreciation of Flight, Fleet, Vehicle and Related Equipments</t>
  </si>
  <si>
    <t xml:space="preserve">                    Accumulated Depreciation of Leased Property, Plant and Equipment</t>
  </si>
  <si>
    <t xml:space="preserve">        Net Intangible Assets</t>
  </si>
  <si>
    <t xml:space="preserve">            Gross Goodwill and Other Intangible Assets</t>
  </si>
  <si>
    <t xml:space="preserve">                Goodwill</t>
  </si>
  <si>
    <t>Check</t>
  </si>
  <si>
    <t xml:space="preserve">                Intangibles other than Goodwill</t>
  </si>
  <si>
    <t xml:space="preserve">                    Trademarks and Patents</t>
  </si>
  <si>
    <t xml:space="preserve">                    Software and Technology</t>
  </si>
  <si>
    <t xml:space="preserve">                    Licenses and Rights</t>
  </si>
  <si>
    <t xml:space="preserve">                    Customer Relationships</t>
  </si>
  <si>
    <t>Total Expenses</t>
  </si>
  <si>
    <t xml:space="preserve">                    Other Intangible Assets</t>
  </si>
  <si>
    <t xml:space="preserve">            Accumulated Amortization and Impairment</t>
  </si>
  <si>
    <t>Days Receivable Outstanding</t>
  </si>
  <si>
    <t xml:space="preserve">                Accumulated Amortization of Intangible Assets</t>
  </si>
  <si>
    <t>Days Inventories Outstanding</t>
  </si>
  <si>
    <t xml:space="preserve">                    Accumulated Amortization of Intangibles other than Goodwill</t>
  </si>
  <si>
    <t>Prepaid, % of Revenue</t>
  </si>
  <si>
    <t xml:space="preserve">                        Accumulated Amortization of Trademarks and Patents</t>
  </si>
  <si>
    <t>Other Assets, % of Revenue</t>
  </si>
  <si>
    <t xml:space="preserve">                        Accumulated Amortization of Software and Technology</t>
  </si>
  <si>
    <t>Days Payable Outstanding</t>
  </si>
  <si>
    <t xml:space="preserve">                        Accumulated Amortization of Licences and Rights</t>
  </si>
  <si>
    <t>Accrued Liabilities, % of Revenue</t>
  </si>
  <si>
    <t xml:space="preserve">                        Accumulated Amortization of Customer Relationships</t>
  </si>
  <si>
    <t>Note: Fiscal year ends January 31 of the next year.</t>
  </si>
  <si>
    <t xml:space="preserve">                        Accumulated Amortization of Other Intangible Assets</t>
  </si>
  <si>
    <t xml:space="preserve">                Accumulated Impairment of Intangible Assets</t>
  </si>
  <si>
    <t xml:space="preserve">                    Accumulated Impairment of Goodwill</t>
  </si>
  <si>
    <t xml:space="preserve">        Total Long Term Investments</t>
  </si>
  <si>
    <t xml:space="preserve">            Investment in Financial Assets, Non-Current</t>
  </si>
  <si>
    <t xml:space="preserve">                Other Financial Assets, Non-Current</t>
  </si>
  <si>
    <t xml:space="preserve">        Derivative Investment and Hedging Assets, Non-Current</t>
  </si>
  <si>
    <t xml:space="preserve">        Trade and Other Receivables, Non-Current</t>
  </si>
  <si>
    <t xml:space="preserve">            Taxes Receivable, Non-Current</t>
  </si>
  <si>
    <t xml:space="preserve">            Accrued Income/Unbilled Revenue/Cost in Excess of Billings, Non-Current</t>
  </si>
  <si>
    <t xml:space="preserve">            Trade/Accounts Receivable, Non-Current</t>
  </si>
  <si>
    <t xml:space="preserve">        Prepayments and Deposits, Non-Current</t>
  </si>
  <si>
    <t xml:space="preserve">            Deposits Paid for Business and Fixed Assets, Non-Current</t>
  </si>
  <si>
    <t xml:space="preserve">        Deferred Tax Assets, Non-Current</t>
  </si>
  <si>
    <t xml:space="preserve">        Other Non-Current Assets</t>
  </si>
  <si>
    <t xml:space="preserve">        Cash Restricted or Pledged, Non-Current</t>
  </si>
  <si>
    <t xml:space="preserve">        Deferred Costs/Assets, Non-Current</t>
  </si>
  <si>
    <t>Total Liabilities</t>
  </si>
  <si>
    <t xml:space="preserve">    Total Current Liabilities</t>
  </si>
  <si>
    <t xml:space="preserve">        Payables and Accrued Expenses, Current</t>
  </si>
  <si>
    <t xml:space="preserve">            Trade and Other Payables, Current</t>
  </si>
  <si>
    <t xml:space="preserve">                Trade/Accounts Payable, Current</t>
  </si>
  <si>
    <t xml:space="preserve">                Taxes Payable, Current</t>
  </si>
  <si>
    <t xml:space="preserve">                Other Payable, Current</t>
  </si>
  <si>
    <t xml:space="preserve">            Accrued Expenses, Current</t>
  </si>
  <si>
    <t xml:space="preserve">        Financial Liabilities, Current</t>
  </si>
  <si>
    <t xml:space="preserve">            Current Debt and Capital Lease Obligation</t>
  </si>
  <si>
    <t xml:space="preserve">                Current Portion of Long Term Debt and Capital Lease</t>
  </si>
  <si>
    <t xml:space="preserve">                    Current Portion of Long Term Debt</t>
  </si>
  <si>
    <t xml:space="preserve">                        Bank/Institutional Loans, Current Portion of LT Debt</t>
  </si>
  <si>
    <t xml:space="preserve">                    Capital Lease Obligations, Current</t>
  </si>
  <si>
    <t xml:space="preserve">                Current Debt</t>
  </si>
  <si>
    <t xml:space="preserve">                    Bank/Credit Facilities, Current Debt</t>
  </si>
  <si>
    <t xml:space="preserve">            Derivative and Hedging Liabilities, Current</t>
  </si>
  <si>
    <t xml:space="preserve">        Provisions, Current</t>
  </si>
  <si>
    <t xml:space="preserve">            Provision for Employee Entitlements, Current</t>
  </si>
  <si>
    <t xml:space="preserve">                Pension and Other Post-Retirement Benefit Plans, Current</t>
  </si>
  <si>
    <t xml:space="preserve">            Other Provisions, Current</t>
  </si>
  <si>
    <t xml:space="preserve">        Deferred Liabilities, Current</t>
  </si>
  <si>
    <t xml:space="preserve">            Deferred Income/Customer Advances/Billings in Excess of Cost, Current</t>
  </si>
  <si>
    <t xml:space="preserve">            Other Deferred Liabilities, Current</t>
  </si>
  <si>
    <t xml:space="preserve">        Other Current Liabilities</t>
  </si>
  <si>
    <t xml:space="preserve">    Total Non-Current Liabilities</t>
  </si>
  <si>
    <t xml:space="preserve">        Financial Liabilities, Non-Current</t>
  </si>
  <si>
    <t xml:space="preserve">            Long Term Debt and Capital Lease Obligation</t>
  </si>
  <si>
    <t xml:space="preserve">                Long Term Debt</t>
  </si>
  <si>
    <t xml:space="preserve">                    Bank/Institutional Loans, Non-Current</t>
  </si>
  <si>
    <t xml:space="preserve">                Capital Lease Obligations, Non-Current</t>
  </si>
  <si>
    <t xml:space="preserve">            Derivative and Hedging Liabilities, Non-Current</t>
  </si>
  <si>
    <t xml:space="preserve">        Provisions, Non-Current</t>
  </si>
  <si>
    <t xml:space="preserve">            Provision for Employee Entitlements, Non-Current</t>
  </si>
  <si>
    <t xml:space="preserve">                Pension and Other Post-Retirement Benefit Plans, Non-Current</t>
  </si>
  <si>
    <t xml:space="preserve">        Tax Liabilities, Non-Current</t>
  </si>
  <si>
    <t xml:space="preserve">            Deferred Tax Liabilities, Non-Current</t>
  </si>
  <si>
    <t xml:space="preserve">        Deferred Liabilities, Non-Current</t>
  </si>
  <si>
    <t xml:space="preserve">            Deferred Income/Customer Advances/Billings in Excess of Cost, Non-Current</t>
  </si>
  <si>
    <t xml:space="preserve">            Other Deferred Liabilities, Non-Current</t>
  </si>
  <si>
    <t xml:space="preserve">        Payables and Accrued Expenses, Non-Current</t>
  </si>
  <si>
    <t xml:space="preserve">            Trade and Other Payables, Non-Current</t>
  </si>
  <si>
    <t xml:space="preserve">                Other Payables, Non-Current</t>
  </si>
  <si>
    <t xml:space="preserve">        Other Non-Current Liabilities</t>
  </si>
  <si>
    <t>Total Equity</t>
  </si>
  <si>
    <t xml:space="preserve">    Equity Attributable to Parent Stockholders</t>
  </si>
  <si>
    <t xml:space="preserve">        Paid in Capital</t>
  </si>
  <si>
    <t xml:space="preserve">            Capital Stock</t>
  </si>
  <si>
    <t xml:space="preserve">                Common Stock</t>
  </si>
  <si>
    <t xml:space="preserve">                Additional Paid in Capital/Share Premium</t>
  </si>
  <si>
    <t xml:space="preserve">            Treasury Stock</t>
  </si>
  <si>
    <t xml:space="preserve">        Retained Earnings/Accumulated Deficit</t>
  </si>
  <si>
    <t xml:space="preserve">        Reserves/Accumulated Comprehensive Income/Losses</t>
  </si>
  <si>
    <t xml:space="preserve">            Other Reserves/Accum.Comp.Inc</t>
  </si>
  <si>
    <t xml:space="preserve">        Other Equity Interest</t>
  </si>
  <si>
    <t>Debt Maturity Schedule Total</t>
  </si>
  <si>
    <t xml:space="preserve">    Debt due in Year 1</t>
  </si>
  <si>
    <t xml:space="preserve">    Debt due in Year 2</t>
  </si>
  <si>
    <t xml:space="preserve">    Debt due in Year 4</t>
  </si>
  <si>
    <t xml:space="preserve">    Debt - Interests Charges and Other Adjustments</t>
  </si>
  <si>
    <t xml:space="preserve">    Debt due in Year 5</t>
  </si>
  <si>
    <t>Operating Lease Obligation Maturity Schedule Total</t>
  </si>
  <si>
    <t xml:space="preserve">    Operating Lease due in Year 1</t>
  </si>
  <si>
    <t xml:space="preserve">    Operating Lease due in Year 3</t>
  </si>
  <si>
    <t xml:space="preserve">    Operating Lease due Beyond</t>
  </si>
  <si>
    <t xml:space="preserve">    Operating Lease - Interests Charges and Other Adjustments</t>
  </si>
  <si>
    <t>Other Contractual Obligations Maturity Schedule Total</t>
  </si>
  <si>
    <t xml:space="preserve">    Other Contractual Obligations due in Year 1</t>
  </si>
  <si>
    <t xml:space="preserve">    Other Contractual Obligations due in Year 3</t>
  </si>
  <si>
    <t xml:space="preserve">    Other Contractual Obligations due in Year 5</t>
  </si>
  <si>
    <t xml:space="preserve">    Other Contractual Obligations due in Year 2</t>
  </si>
  <si>
    <t>Total Lease Liability</t>
  </si>
  <si>
    <t xml:space="preserve">    Total Lease Liability - Due in year 1</t>
  </si>
  <si>
    <t xml:space="preserve">    Total Lease Liability - Due in year 3</t>
  </si>
  <si>
    <t xml:space="preserve">    Total Lease Liability - Due in year 5</t>
  </si>
  <si>
    <t xml:space="preserve">    Total Lease Liability - Beyond</t>
  </si>
  <si>
    <t xml:space="preserve">    Total Lease Liability - Interest Charges and Other Adjustments</t>
  </si>
  <si>
    <t>Total Contractual Obligations</t>
  </si>
  <si>
    <t xml:space="preserve">    Total Contractual Obligations due in year 1</t>
  </si>
  <si>
    <t xml:space="preserve">    Total Contractual Obligations due in year 2</t>
  </si>
  <si>
    <t xml:space="preserve">    Total Contractual Obligations due in year 3</t>
  </si>
  <si>
    <t xml:space="preserve">    Total Contractual Obligations due in year 4</t>
  </si>
  <si>
    <t xml:space="preserve">    Total Contractual Obligations due in year 5</t>
  </si>
  <si>
    <t xml:space="preserve">    Total Contractual Obligations due Beyond</t>
  </si>
  <si>
    <t xml:space="preserve">    Total Contractual Obligations - Interests Charges and Other Adjustments</t>
  </si>
  <si>
    <t>Fiscal year ends in Mar 31 | USD</t>
  </si>
  <si>
    <t>Cashflow statement</t>
  </si>
  <si>
    <t>Cash Flow from Operating Activities, Indirect</t>
  </si>
  <si>
    <t xml:space="preserve">    Net Cash Flow from Continuing Operating Activities, Indirect</t>
  </si>
  <si>
    <t xml:space="preserve">        Cash Generated from Operating Activities</t>
  </si>
  <si>
    <t xml:space="preserve">            Income/Loss before Non-Cash Adjustment</t>
  </si>
  <si>
    <t xml:space="preserve">            Total Adjustments for Non-Cash Items</t>
  </si>
  <si>
    <t>Cash From Operating Activities:</t>
  </si>
  <si>
    <t xml:space="preserve">                Depreciation, Amortization and Depletion, Non-Cash Adjustment</t>
  </si>
  <si>
    <t xml:space="preserve">                    Depreciation and Amortization, Non-Cash Adjustment</t>
  </si>
  <si>
    <t xml:space="preserve">                Excess Tax Benefit from Stock-Based Compensation, Non-Cash Adjustment</t>
  </si>
  <si>
    <t xml:space="preserve">                Stock-Based Compensation, Non-Cash Adjustment</t>
  </si>
  <si>
    <t>Changes in Working Capital:</t>
  </si>
  <si>
    <t xml:space="preserve">                Deferred Taxes, Non-Cash Adjustment</t>
  </si>
  <si>
    <t xml:space="preserve">                Interest and Finance Income/Expenses, Non-Cash Adjustment</t>
  </si>
  <si>
    <t xml:space="preserve">                Other Provisions, Non-Cash Adjustment</t>
  </si>
  <si>
    <t xml:space="preserve">                Net Investment Income/Loss, Non-Cash Adjustment</t>
  </si>
  <si>
    <t xml:space="preserve">                    Realized Gain/Loss on Disposal/Sale of Financial Instruments, Non-Cash Adjustment</t>
  </si>
  <si>
    <t xml:space="preserve">                    Gain/Loss on Derivatives, Non-Cash Adjustment</t>
  </si>
  <si>
    <t xml:space="preserve">                    Net Foreign Currency Exchange Gain/Loss, Non-Cash Adjustment</t>
  </si>
  <si>
    <t>Total Change in Working Capital</t>
  </si>
  <si>
    <t xml:space="preserve">                    Dividend and Interest Income, Non-Cash Adjustment</t>
  </si>
  <si>
    <t>Total Cash From Operating Activities</t>
  </si>
  <si>
    <t xml:space="preserve">                    Unrealized Gain/Loss on Financial Assets/Liabilities, Non-Cash Adjustment</t>
  </si>
  <si>
    <t xml:space="preserve">                Irregular Income/Loss, Non-Cash Adjustment</t>
  </si>
  <si>
    <t>Cash From Investing Activities:</t>
  </si>
  <si>
    <t xml:space="preserve">                    Gain/Loss on Disposals, Non-Cash Adjustment</t>
  </si>
  <si>
    <t>(Increase)/Decrease in Capital Expenditures</t>
  </si>
  <si>
    <t xml:space="preserve">                        Gain/Loss on Disposal/Sale of Fixed Assets, Non-Cash Adjustment</t>
  </si>
  <si>
    <t>Total Cash From Investing Activities</t>
  </si>
  <si>
    <t xml:space="preserve">                    Impairment of Goodwill, Non-Cash Adjustment</t>
  </si>
  <si>
    <r>
      <rPr>
        <sz val="10"/>
        <color rgb="FFFFFFFF"/>
        <rFont val="Arial"/>
        <family val="2"/>
      </rPr>
      <t xml:space="preserve">Net </t>
    </r>
    <r>
      <rPr>
        <sz val="10"/>
        <color rgb="FFFFFFFF"/>
        <rFont val="Symbol"/>
        <family val="1"/>
        <charset val="2"/>
      </rPr>
      <t>D</t>
    </r>
    <r>
      <rPr>
        <sz val="10"/>
        <color rgb="FFFFFFFF"/>
        <rFont val="Arial"/>
        <family val="2"/>
      </rPr>
      <t xml:space="preserve"> in PPE</t>
    </r>
  </si>
  <si>
    <t xml:space="preserve">                    Reorganization and M&amp;A, Non-Cash Adjustment</t>
  </si>
  <si>
    <t>Cash From Financing Activities:</t>
  </si>
  <si>
    <t xml:space="preserve">                Other Non-Cash Items</t>
  </si>
  <si>
    <t>Issuance of Common Stock</t>
  </si>
  <si>
    <t xml:space="preserve">            Changes in Operating Capital</t>
  </si>
  <si>
    <t xml:space="preserve">Common Stock Dividends </t>
  </si>
  <si>
    <t xml:space="preserve">                Change in Trade and Other Receivables</t>
  </si>
  <si>
    <t>Net (Purchase) / Reissuance of Treasury Stock</t>
  </si>
  <si>
    <t xml:space="preserve">                Change in Other Current Assets</t>
  </si>
  <si>
    <t>Cash Available / (Required) Before Debt</t>
  </si>
  <si>
    <t xml:space="preserve">                Change in Payables and Accrued Expenses</t>
  </si>
  <si>
    <t xml:space="preserve">                    Change in Trade and Other Payables</t>
  </si>
  <si>
    <t>Debt Borrowing / (Repayment)</t>
  </si>
  <si>
    <t xml:space="preserve">                        Change in Trade/Accounts Payable</t>
  </si>
  <si>
    <t>Total Cash From Financing Activities</t>
  </si>
  <si>
    <t xml:space="preserve">                Change in Deferred Assets/Liabilities</t>
  </si>
  <si>
    <t xml:space="preserve">                Change in Other Current Liabilities</t>
  </si>
  <si>
    <t>Beginning Cash Balance</t>
  </si>
  <si>
    <t xml:space="preserve">        Interest Paid, CFO Indirect</t>
  </si>
  <si>
    <t>Change in Cash</t>
  </si>
  <si>
    <t xml:space="preserve">        Interest Received, CFO Indirect</t>
  </si>
  <si>
    <t>Ending Cash Balance</t>
  </si>
  <si>
    <t xml:space="preserve">        Taxes Refund/Paid, Indirect</t>
  </si>
  <si>
    <t>Average Cash Balance</t>
  </si>
  <si>
    <t>Cash Flow from Investing Activities</t>
  </si>
  <si>
    <t xml:space="preserve">    Cash Flow from Continuing Investing Activities</t>
  </si>
  <si>
    <t>Dividends Estimate</t>
  </si>
  <si>
    <t xml:space="preserve">        Purchase/Sale and Disposal of Property, Plant and Equipment, Net</t>
  </si>
  <si>
    <t>Dividends per Share</t>
  </si>
  <si>
    <t xml:space="preserve">            Purchase of Property, Plant and Equipment</t>
  </si>
  <si>
    <t>Dividends per Share Growth</t>
  </si>
  <si>
    <t xml:space="preserve">            Sale and Disposal of Property, Plant and Equipment</t>
  </si>
  <si>
    <t xml:space="preserve">        Purchase/Sale of Business, Net</t>
  </si>
  <si>
    <t>Basic Shares Outstanding</t>
  </si>
  <si>
    <t xml:space="preserve">            Purchase/Acquisition of Business</t>
  </si>
  <si>
    <t>Total Dividends</t>
  </si>
  <si>
    <t xml:space="preserve">            Sale of Business</t>
  </si>
  <si>
    <t xml:space="preserve">        Purchase/Sale of Investments, Net</t>
  </si>
  <si>
    <t>Share Repurchase</t>
  </si>
  <si>
    <t xml:space="preserve">            Purchase of Investments</t>
  </si>
  <si>
    <t>Share Repurchase Program</t>
  </si>
  <si>
    <t xml:space="preserve">            Sale of Investments</t>
  </si>
  <si>
    <t>Projected EPS (Trailing basis)</t>
  </si>
  <si>
    <t xml:space="preserve">        Dividends Received/Paid, CFI</t>
  </si>
  <si>
    <t>Assumed PE Ratio (Trailing basis)</t>
  </si>
  <si>
    <t xml:space="preserve">        Other Investing Cash Flow</t>
  </si>
  <si>
    <t>Implied Share Price</t>
  </si>
  <si>
    <t xml:space="preserve">        Increase/Decrease in Restricted Cash and Cash Equivalents</t>
  </si>
  <si>
    <t>Number Shares Repurchased</t>
  </si>
  <si>
    <t xml:space="preserve">        Payment for Loan Granted and Repayments Received, Net</t>
  </si>
  <si>
    <t xml:space="preserve">            Cash Advances and Loans Made to Other Parties</t>
  </si>
  <si>
    <t>Cash Flow from Financing Activities</t>
  </si>
  <si>
    <t xml:space="preserve">    Cash Flow from Continuing Financing Activities</t>
  </si>
  <si>
    <t xml:space="preserve">        Issuance of/Payments for Common Stock, Net</t>
  </si>
  <si>
    <t xml:space="preserve">            Payments for Common Stock</t>
  </si>
  <si>
    <t xml:space="preserve">            Proceeds from Issuance of Common Stock</t>
  </si>
  <si>
    <t xml:space="preserve">        Issuance of/Repayments for Debt, Net</t>
  </si>
  <si>
    <t xml:space="preserve">            Issuance of/Repayments for Short Term Debt, Net</t>
  </si>
  <si>
    <t xml:space="preserve">                Proceeds from Issuance of Short Term Debt</t>
  </si>
  <si>
    <t xml:space="preserve">                Repayments for Short Term Debt</t>
  </si>
  <si>
    <t xml:space="preserve">            Issuance of/Repayments for Long Term Debt, Net</t>
  </si>
  <si>
    <t xml:space="preserve">                Proceeds from Issuance of Long Term Debt</t>
  </si>
  <si>
    <t xml:space="preserve">                Repayments for Long Term Debt</t>
  </si>
  <si>
    <t xml:space="preserve">        Issuance of/Repayments for Lease Financing</t>
  </si>
  <si>
    <t xml:space="preserve">            Repayments for Lease Financing</t>
  </si>
  <si>
    <t xml:space="preserve">        Issue and Financing Costs</t>
  </si>
  <si>
    <t xml:space="preserve">            Share Issuance Costs</t>
  </si>
  <si>
    <t xml:space="preserve">            Debt Issuance Costs</t>
  </si>
  <si>
    <t xml:space="preserve">        Excess Tax Benefit from Share-Based Compensation, Financing Activities</t>
  </si>
  <si>
    <t xml:space="preserve">        Other Financing Cash Flow</t>
  </si>
  <si>
    <t xml:space="preserve">        Net Movement in Non-Controlling/Minority Interest</t>
  </si>
  <si>
    <t xml:space="preserve">        Proceeds from Issuance/Exercising of Stock Options/Warrants</t>
  </si>
  <si>
    <t>Cash and Cash Equivalents, End of Period</t>
  </si>
  <si>
    <t xml:space="preserve">    Change in Cash</t>
  </si>
  <si>
    <t xml:space="preserve">    Effect of Exchange Rate Changes</t>
  </si>
  <si>
    <t xml:space="preserve">    Cash and Cash Equivalents, Beginning of Period</t>
  </si>
  <si>
    <t>Cash Flow Supplemental Section</t>
  </si>
  <si>
    <t xml:space="preserve">    Change in Cash as Reported, Supplemental</t>
  </si>
  <si>
    <t>Discounted Cash Flow Analysis</t>
  </si>
  <si>
    <t>Valuation Date / Fiscal Year-End</t>
  </si>
  <si>
    <t>Terminal Value</t>
  </si>
  <si>
    <t>Selected Terminal Value</t>
  </si>
  <si>
    <t>Valuation FCFF</t>
  </si>
  <si>
    <r>
      <rPr>
        <b/>
        <sz val="11"/>
        <color rgb="FFD9E2F3"/>
        <rFont val="Arial Narrow"/>
        <family val="2"/>
      </rPr>
      <t xml:space="preserve">DCF Value Summary </t>
    </r>
    <r>
      <rPr>
        <b/>
        <i/>
        <sz val="11"/>
        <color rgb="FFD9E2F3"/>
        <rFont val="Arial Narrow"/>
        <family val="2"/>
      </rPr>
      <t>(US$MM)</t>
    </r>
  </si>
  <si>
    <t>Sensitivities - Instrinsic Value ($/share)</t>
  </si>
  <si>
    <t>NPV - Future Cash Flows</t>
  </si>
  <si>
    <t>NPV - Terminal Value</t>
  </si>
  <si>
    <t>Exit Multiple</t>
  </si>
  <si>
    <t>Less: Net Debt</t>
  </si>
  <si>
    <t>Discount Rate</t>
  </si>
  <si>
    <t>Equity Value</t>
  </si>
  <si>
    <t>Equity Value ($) per Share</t>
  </si>
  <si>
    <t>Cost of Sales (% of Revenue)</t>
  </si>
  <si>
    <t>Sensitivity Inputs  (Do Not Remove)</t>
  </si>
  <si>
    <t>Terminal EBITDA Multiple</t>
  </si>
  <si>
    <t>Perpetuity Growth Rate</t>
  </si>
  <si>
    <t>2021E</t>
  </si>
  <si>
    <t>Comparable Multiple Range</t>
  </si>
  <si>
    <t>Amazon 1P</t>
  </si>
  <si>
    <t>Total Amazon 1P</t>
  </si>
  <si>
    <t>Amazon 3P</t>
  </si>
  <si>
    <t>Total Amazon 3P</t>
  </si>
  <si>
    <t>Advertising</t>
  </si>
  <si>
    <t>Total Amazon Advertising</t>
  </si>
  <si>
    <t>Cloud</t>
  </si>
  <si>
    <t>Total Amazon Cloud</t>
  </si>
  <si>
    <t>Subscription</t>
  </si>
  <si>
    <t>Subscription Services</t>
  </si>
  <si>
    <t>Total Amazon Subscription Services</t>
  </si>
  <si>
    <t>Total Amazon Implied Enterprise Value</t>
  </si>
  <si>
    <t>Total Amazon Implied Equity Value</t>
  </si>
  <si>
    <r>
      <rPr>
        <sz val="11"/>
        <color theme="1"/>
        <rFont val="Arial Narrow"/>
        <family val="2"/>
      </rPr>
      <t xml:space="preserve">Fully Diluted Shares Outstanding </t>
    </r>
    <r>
      <rPr>
        <i/>
        <sz val="11"/>
        <color theme="1"/>
        <rFont val="Arial Narrow"/>
        <family val="2"/>
      </rPr>
      <t>(MM)</t>
    </r>
  </si>
  <si>
    <r>
      <rPr>
        <b/>
        <sz val="11"/>
        <color theme="1"/>
        <rFont val="Arial Narrow"/>
        <family val="2"/>
      </rPr>
      <t xml:space="preserve">Total Amazon Implied Equity Value per Share </t>
    </r>
    <r>
      <rPr>
        <b/>
        <i/>
        <sz val="11"/>
        <color theme="1"/>
        <rFont val="Arial Narrow"/>
        <family val="2"/>
      </rPr>
      <t>($/sh.)</t>
    </r>
  </si>
  <si>
    <t>Comparable Companies Beta</t>
  </si>
  <si>
    <t>WACC Calculation</t>
  </si>
  <si>
    <t>Total</t>
  </si>
  <si>
    <t>Mkt. Val.</t>
  </si>
  <si>
    <t>Debt /</t>
  </si>
  <si>
    <t>5-Yr. Avg.</t>
  </si>
  <si>
    <t>Levered YF</t>
  </si>
  <si>
    <t>Unlevered</t>
  </si>
  <si>
    <t>Target Capital Structure</t>
  </si>
  <si>
    <t>Ticker</t>
  </si>
  <si>
    <t>Name</t>
  </si>
  <si>
    <t>Country</t>
  </si>
  <si>
    <t>Debt</t>
  </si>
  <si>
    <t>Equity</t>
  </si>
  <si>
    <t>Capital</t>
  </si>
  <si>
    <t>Tax Rate</t>
  </si>
  <si>
    <r>
      <rPr>
        <b/>
        <sz val="12"/>
        <color theme="1"/>
        <rFont val="Arial Narrow"/>
        <family val="2"/>
      </rPr>
      <t>Beta (5-Yr)</t>
    </r>
    <r>
      <rPr>
        <b/>
        <vertAlign val="superscript"/>
        <sz val="12"/>
        <color theme="1"/>
        <rFont val="Arial Narrow"/>
        <family val="2"/>
      </rPr>
      <t>1</t>
    </r>
  </si>
  <si>
    <t>Beta</t>
  </si>
  <si>
    <t>United States</t>
  </si>
  <si>
    <t>Proportion of Debt</t>
  </si>
  <si>
    <t>Proportion of Equity</t>
  </si>
  <si>
    <t>Debt / Equity</t>
  </si>
  <si>
    <t>Current Capital Structure</t>
  </si>
  <si>
    <t>China</t>
  </si>
  <si>
    <t>Market Cap</t>
  </si>
  <si>
    <t>Total Debt</t>
  </si>
  <si>
    <t>Cost of Debt</t>
  </si>
  <si>
    <t>Pre-Tax Cost of Debt</t>
  </si>
  <si>
    <t>After-Tax Cost of Debt</t>
  </si>
  <si>
    <t>Germany</t>
  </si>
  <si>
    <t>Cost of Equity</t>
  </si>
  <si>
    <t>Luxembourg</t>
  </si>
  <si>
    <t>Average</t>
  </si>
  <si>
    <t>Median</t>
  </si>
  <si>
    <t>Levered Equity Beta</t>
  </si>
  <si>
    <t>Notes:</t>
  </si>
  <si>
    <r>
      <rPr>
        <vertAlign val="superscript"/>
        <sz val="12"/>
        <color theme="1"/>
        <rFont val="Arial Narrow"/>
        <family val="2"/>
      </rPr>
      <t>1</t>
    </r>
    <r>
      <rPr>
        <sz val="12"/>
        <color theme="1"/>
        <rFont val="Arial Narrow"/>
        <family val="2"/>
      </rPr>
      <t xml:space="preserve"> Sources: Yahoo Finance, Company Filings.</t>
    </r>
  </si>
  <si>
    <t>Selected WACC</t>
  </si>
  <si>
    <t>FAMA FRENCH COMPUTATION</t>
  </si>
  <si>
    <t>Fama-French factor model</t>
  </si>
  <si>
    <t>SUMMARY OUTPUT FAMA FRENCH 3 FACTOR</t>
  </si>
  <si>
    <t>Date</t>
  </si>
  <si>
    <t>Open</t>
  </si>
  <si>
    <t>Close</t>
  </si>
  <si>
    <t>Adj Close</t>
  </si>
  <si>
    <t>Volume</t>
  </si>
  <si>
    <t>Return</t>
  </si>
  <si>
    <t>return %</t>
  </si>
  <si>
    <t>LN return</t>
  </si>
  <si>
    <t>Normal</t>
  </si>
  <si>
    <t>Mkt-RF</t>
  </si>
  <si>
    <t>size</t>
  </si>
  <si>
    <t>value</t>
  </si>
  <si>
    <t>RF</t>
  </si>
  <si>
    <t>Ex return</t>
  </si>
  <si>
    <t>EX LN return</t>
  </si>
  <si>
    <t>The 1-month TBill return is from Ibbotson and Associates</t>
  </si>
  <si>
    <t xml:space="preserve"> Inc.</t>
  </si>
  <si>
    <t>Regression Statistics</t>
  </si>
  <si>
    <t>SMB</t>
  </si>
  <si>
    <t>HML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</si>
  <si>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</si>
  <si>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</si>
  <si>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</si>
  <si>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</si>
  <si>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</si>
  <si>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</si>
  <si>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</si>
  <si>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</si>
  <si>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</si>
  <si>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</si>
  <si>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</si>
  <si>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</si>
  <si>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</si>
  <si>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</si>
  <si>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</si>
  <si>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</si>
  <si>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</si>
  <si>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</si>
  <si>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</si>
  <si>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</si>
  <si>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alpha</t>
  </si>
  <si>
    <t>FAMA-FRENCH Cost of equity calculation</t>
  </si>
  <si>
    <t>Risk free rate</t>
  </si>
  <si>
    <t>Market risk coefficient (BETA)</t>
  </si>
  <si>
    <t>Market risk premium</t>
  </si>
  <si>
    <t>size risk coefficient</t>
  </si>
  <si>
    <t>size risk premium(default spread)</t>
  </si>
  <si>
    <t>Historical</t>
  </si>
  <si>
    <t>value risk Coeffucient</t>
  </si>
  <si>
    <t>value risk premium(difference)</t>
  </si>
  <si>
    <t>Burmeister, Roll and Ross Model</t>
  </si>
  <si>
    <t>Risk-free rate</t>
  </si>
  <si>
    <t>Sensitivity</t>
  </si>
  <si>
    <t>Forecast</t>
  </si>
  <si>
    <t>Confidence risk</t>
  </si>
  <si>
    <t>Time horizon risk</t>
  </si>
  <si>
    <t>Inflation risk</t>
  </si>
  <si>
    <t>Business cycle risk</t>
  </si>
  <si>
    <t>Market timing risk</t>
  </si>
  <si>
    <t>Required rate of return</t>
  </si>
  <si>
    <t>Ibbotson-Chen Model</t>
  </si>
  <si>
    <t>i</t>
  </si>
  <si>
    <t>Expected inflation</t>
  </si>
  <si>
    <t>rEg</t>
  </si>
  <si>
    <t>Expected real growth in EPS</t>
  </si>
  <si>
    <t>Peg</t>
  </si>
  <si>
    <t>Expected changes in the P/E ratio</t>
  </si>
  <si>
    <t>Y</t>
  </si>
  <si>
    <t>Expected yield on the index</t>
  </si>
  <si>
    <t>Expected risk-free rate</t>
  </si>
  <si>
    <t>ERP</t>
  </si>
  <si>
    <t>Equity risk premium</t>
  </si>
  <si>
    <t>Macroeconomic factor model</t>
  </si>
  <si>
    <t>No surprise</t>
  </si>
  <si>
    <t>Expected return stock</t>
  </si>
  <si>
    <t>Expectation</t>
  </si>
  <si>
    <t>Surprise</t>
  </si>
  <si>
    <t>GDP Growth rate</t>
  </si>
  <si>
    <t>Credit Quality Spread</t>
  </si>
  <si>
    <t>beta</t>
  </si>
  <si>
    <t>Company unique surprise</t>
  </si>
  <si>
    <t>Predicted return</t>
  </si>
  <si>
    <t xml:space="preserve"> Annual Factors: January-December </t>
  </si>
  <si>
    <t>Copyright 2024 Kenneth R. French</t>
  </si>
  <si>
    <t>Precendent transaction (OPTIONAL)</t>
  </si>
  <si>
    <t>Current Capitalization</t>
  </si>
  <si>
    <t>Financial Estimates3</t>
  </si>
  <si>
    <r>
      <rPr>
        <b/>
        <u/>
        <sz val="11"/>
        <color theme="1"/>
        <rFont val="Arial Narrow"/>
        <family val="2"/>
      </rPr>
      <t>Current Trading Multiples</t>
    </r>
    <r>
      <rPr>
        <b/>
        <u/>
        <vertAlign val="superscript"/>
        <sz val="11"/>
        <color theme="1"/>
        <rFont val="Arial Narrow"/>
        <family val="2"/>
      </rPr>
      <t>3</t>
    </r>
  </si>
  <si>
    <t>Leverage Multiples</t>
  </si>
  <si>
    <t>Share</t>
  </si>
  <si>
    <t>Market</t>
  </si>
  <si>
    <t>Enterprise</t>
  </si>
  <si>
    <t>Earnings</t>
  </si>
  <si>
    <t>Cash Flow</t>
  </si>
  <si>
    <t>EV/Revenue</t>
  </si>
  <si>
    <t>EV/EBITDA</t>
  </si>
  <si>
    <t>P/E</t>
  </si>
  <si>
    <t>P/CF</t>
  </si>
  <si>
    <t>Company Name</t>
  </si>
  <si>
    <t>Price</t>
  </si>
  <si>
    <t>Shares1</t>
  </si>
  <si>
    <r>
      <rPr>
        <b/>
        <u/>
        <sz val="11"/>
        <color theme="1"/>
        <rFont val="Arial Narrow"/>
        <family val="2"/>
      </rPr>
      <t>Cap.</t>
    </r>
    <r>
      <rPr>
        <b/>
        <u/>
        <vertAlign val="superscript"/>
        <sz val="11"/>
        <color theme="1"/>
        <rFont val="Arial Narrow"/>
        <family val="2"/>
      </rPr>
      <t>1</t>
    </r>
  </si>
  <si>
    <t>Cash</t>
  </si>
  <si>
    <t>Net Debt</t>
  </si>
  <si>
    <r>
      <rPr>
        <b/>
        <u/>
        <sz val="11"/>
        <color theme="1"/>
        <rFont val="Arial Narrow"/>
        <family val="2"/>
      </rPr>
      <t>Value</t>
    </r>
    <r>
      <rPr>
        <b/>
        <u/>
        <vertAlign val="superscript"/>
        <sz val="11"/>
        <color theme="1"/>
        <rFont val="Arial Narrow"/>
        <family val="2"/>
      </rPr>
      <t>2</t>
    </r>
  </si>
  <si>
    <t>FY+1</t>
  </si>
  <si>
    <t>FY+2</t>
  </si>
  <si>
    <t>Book Cap.</t>
  </si>
  <si>
    <t>[$/sh.]</t>
  </si>
  <si>
    <t>[MM]</t>
  </si>
  <si>
    <t>[$MM]</t>
  </si>
  <si>
    <t>[x]</t>
  </si>
  <si>
    <t>[%]</t>
  </si>
  <si>
    <t>TARGET</t>
  </si>
  <si>
    <t>1P Comps</t>
  </si>
  <si>
    <t>Walmart Inc.</t>
  </si>
  <si>
    <t>The Home Depot, Inc.</t>
  </si>
  <si>
    <t>Lowe's Companies, Inc.</t>
  </si>
  <si>
    <t>Target Corporation</t>
  </si>
  <si>
    <t>Average: 1P Comps</t>
  </si>
  <si>
    <t>Median: 1P Comps</t>
  </si>
  <si>
    <t>Low: 1P Comps</t>
  </si>
  <si>
    <t>High: 1P Comps</t>
  </si>
  <si>
    <t>3P Comps</t>
  </si>
  <si>
    <t>Alibaba Group Holding Limited</t>
  </si>
  <si>
    <t>eBay Inc.</t>
  </si>
  <si>
    <t>Etsy, Inc.</t>
  </si>
  <si>
    <t>Average: 3P Comps</t>
  </si>
  <si>
    <t>Median: 3P Comps</t>
  </si>
  <si>
    <t>Low: 3P Comps</t>
  </si>
  <si>
    <t>High: 3P Comps</t>
  </si>
  <si>
    <t>Advertising Comps</t>
  </si>
  <si>
    <t>Alphabet Inc.</t>
  </si>
  <si>
    <t>Facebook, Inc.</t>
  </si>
  <si>
    <t>Twitter, Inc.</t>
  </si>
  <si>
    <t>Average: Advertising Comps</t>
  </si>
  <si>
    <t>Median: Advertising Comps</t>
  </si>
  <si>
    <t>Low: Advertising Comps</t>
  </si>
  <si>
    <t>High: Advertising Comps</t>
  </si>
  <si>
    <t>Cloud Comps</t>
  </si>
  <si>
    <t>salesforce.com, inc.</t>
  </si>
  <si>
    <t>Oracle Corporation</t>
  </si>
  <si>
    <t>SAP SE</t>
  </si>
  <si>
    <t>VMware, Inc.</t>
  </si>
  <si>
    <t>Average: Cloud Comps</t>
  </si>
  <si>
    <t>Median: Cloud Comps</t>
  </si>
  <si>
    <t>Low: Cloud Comps</t>
  </si>
  <si>
    <t>High: Cloud Comps</t>
  </si>
  <si>
    <t>Subscription Comps</t>
  </si>
  <si>
    <t>Netflix, Inc.</t>
  </si>
  <si>
    <t>Spotify Technology S.A.</t>
  </si>
  <si>
    <t>Roku, Inc.</t>
  </si>
  <si>
    <t>Sirius XM Holdings Inc.</t>
  </si>
  <si>
    <t>Average: Subscription Comps</t>
  </si>
  <si>
    <t>Median: Subscription Comps</t>
  </si>
  <si>
    <t>Low: Subscription Comps</t>
  </si>
  <si>
    <t>High: Subscription Comps</t>
  </si>
  <si>
    <t>Source: Company filings</t>
  </si>
  <si>
    <t>1.  Fully diluted (treasury stock method)</t>
  </si>
  <si>
    <t>2.  Market capitalization plus long term debt net of working capital as at the most recently disclosed quarter, adjusted for subsequent acquisitions and financings</t>
  </si>
  <si>
    <t>3.  Based on Consensus research estimates</t>
  </si>
  <si>
    <t xml:space="preserve">Precendent M&amp;A valuation of Target (Optional) </t>
  </si>
  <si>
    <t>2020A</t>
  </si>
  <si>
    <t>Implied Multiple Range</t>
  </si>
  <si>
    <t>Target Company Precendent transaction</t>
  </si>
  <si>
    <t>Total Target Implied Equity Value</t>
  </si>
  <si>
    <r>
      <rPr>
        <sz val="11"/>
        <color theme="1"/>
        <rFont val="Arial Narrow"/>
        <family val="2"/>
      </rPr>
      <t xml:space="preserve">Fully Diluted Shares Outstanding </t>
    </r>
    <r>
      <rPr>
        <i/>
        <sz val="11"/>
        <color theme="1"/>
        <rFont val="Arial Narrow"/>
        <family val="2"/>
      </rPr>
      <t>(MM)</t>
    </r>
  </si>
  <si>
    <r>
      <rPr>
        <b/>
        <sz val="11"/>
        <color theme="1"/>
        <rFont val="Arial Narrow"/>
        <family val="2"/>
      </rPr>
      <t xml:space="preserve">Total Target Implied Equity Value per Share </t>
    </r>
    <r>
      <rPr>
        <b/>
        <i/>
        <sz val="11"/>
        <color theme="1"/>
        <rFont val="Arial Narrow"/>
        <family val="2"/>
      </rPr>
      <t>($/sh.)</t>
    </r>
  </si>
  <si>
    <t xml:space="preserve">Precendent M&amp;A Transactions Analysis (Optional) </t>
  </si>
  <si>
    <t>Announced</t>
  </si>
  <si>
    <t>Transaction</t>
  </si>
  <si>
    <t>Current</t>
  </si>
  <si>
    <t>Implied</t>
  </si>
  <si>
    <t>Implied Transaction Multiples (LTM)</t>
  </si>
  <si>
    <t>Target LTM Financials</t>
  </si>
  <si>
    <t>#</t>
  </si>
  <si>
    <t>Acquirer</t>
  </si>
  <si>
    <t>Target</t>
  </si>
  <si>
    <t>Type</t>
  </si>
  <si>
    <t>Value</t>
  </si>
  <si>
    <t>Comments</t>
  </si>
  <si>
    <t>Target Name</t>
  </si>
  <si>
    <t>Merger/Acquisition</t>
  </si>
  <si>
    <t>Acquisition of Equity Stake (100%)</t>
  </si>
  <si>
    <t>Acquisition of Equity Stake (0.17%)</t>
  </si>
  <si>
    <t>Acquisition of Equity Stake (26%)</t>
  </si>
  <si>
    <t>Acquisition of Equity Stake (6.34%)</t>
  </si>
  <si>
    <t>Market CAGR &amp; Macro Economic data</t>
  </si>
  <si>
    <t>Date 1</t>
  </si>
  <si>
    <t xml:space="preserve">Date 2 </t>
  </si>
  <si>
    <t>Date 2</t>
  </si>
  <si>
    <t>Date 3</t>
  </si>
  <si>
    <t>Market Size</t>
  </si>
  <si>
    <t>Macroeconomic Forecasts</t>
  </si>
  <si>
    <t>Industry 1</t>
  </si>
  <si>
    <t>Global (Purchasing Power Parity ("PPP") rate)</t>
  </si>
  <si>
    <t>Industry 2</t>
  </si>
  <si>
    <t>Inflation</t>
  </si>
  <si>
    <t>Industry 3</t>
  </si>
  <si>
    <t>GDP Growth</t>
  </si>
  <si>
    <t>Industry 4</t>
  </si>
  <si>
    <t xml:space="preserve">Unemployment Rate </t>
  </si>
  <si>
    <t>Consumer Expenditure</t>
  </si>
  <si>
    <t>Market Size Growth Rate</t>
  </si>
  <si>
    <t>Capacity Utilization</t>
  </si>
  <si>
    <t>industry 1</t>
  </si>
  <si>
    <t>Nomial interest rate</t>
  </si>
  <si>
    <t>Inflation ajusted interest rate</t>
  </si>
  <si>
    <t>Country specific Macroeconomic Forecasts Chart</t>
  </si>
  <si>
    <t>Market Size Chart</t>
  </si>
  <si>
    <t>Analyst Coverage Consensus Estimates</t>
  </si>
  <si>
    <t>Effective Date</t>
  </si>
  <si>
    <t>Research Contributor</t>
  </si>
  <si>
    <t>Contribution</t>
  </si>
  <si>
    <t>Target Price</t>
  </si>
  <si>
    <t>Recommendation</t>
  </si>
  <si>
    <t>(Name)</t>
  </si>
  <si>
    <t>Boost Price Target</t>
  </si>
  <si>
    <t>Positive</t>
  </si>
  <si>
    <t>Outperform</t>
  </si>
  <si>
    <t>Mean</t>
  </si>
  <si>
    <t>Mode</t>
  </si>
  <si>
    <t>52-week high</t>
  </si>
  <si>
    <t>52-week low</t>
  </si>
  <si>
    <t>52-week average</t>
  </si>
  <si>
    <t>Stock</t>
  </si>
  <si>
    <t>STOCK return</t>
  </si>
  <si>
    <t>Empirical distribution</t>
  </si>
  <si>
    <t>number of states(probability)</t>
  </si>
  <si>
    <t>Strategy return</t>
  </si>
  <si>
    <t>Observed</t>
  </si>
  <si>
    <t>Expected</t>
  </si>
  <si>
    <t>Chi-sq</t>
  </si>
  <si>
    <t>p-value</t>
  </si>
  <si>
    <t>Assessment</t>
  </si>
  <si>
    <t>Risk</t>
  </si>
  <si>
    <t>Stock return</t>
  </si>
  <si>
    <t>*1 to 3</t>
  </si>
  <si>
    <t>high vs low return</t>
  </si>
  <si>
    <t>MARKOV Strategy</t>
  </si>
  <si>
    <t>*probability of movement to state one to state 2</t>
  </si>
  <si>
    <t>likely to get low return after higher return</t>
  </si>
  <si>
    <t>likley to get a 3, medium return with lower return at start.</t>
  </si>
  <si>
    <t>*cautious investors</t>
  </si>
  <si>
    <t>lower gains at future</t>
  </si>
  <si>
    <t>#ERROR!</t>
  </si>
  <si>
    <t>Operating Margins Forcaste</t>
  </si>
  <si>
    <t>Stcck-Based compensation ( negative)</t>
  </si>
  <si>
    <t>PP&amp;E</t>
  </si>
  <si>
    <t>Dilluted Shares outstanding</t>
  </si>
  <si>
    <t>Current Debt</t>
  </si>
  <si>
    <t>Norminal interest Rate</t>
  </si>
  <si>
    <t>Future interest Rate</t>
  </si>
  <si>
    <t>Valuation Dates Start</t>
  </si>
  <si>
    <t>Long-Term Growth Rate (Teminatl value )</t>
  </si>
  <si>
    <t>Terminal Value EBITDA Multiple (EV?EBITDA LTM)</t>
  </si>
  <si>
    <t>link</t>
  </si>
  <si>
    <t>Dashboard</t>
  </si>
  <si>
    <t>Primary Value measures - Intrinsic Entreprise value</t>
  </si>
  <si>
    <t>Selected Inputs</t>
  </si>
  <si>
    <t>Terminal Growth Rate</t>
  </si>
  <si>
    <t>Shares Outstanding</t>
  </si>
  <si>
    <t>(FD 000)</t>
  </si>
  <si>
    <t>Current Stock Price</t>
  </si>
  <si>
    <t>(US$/sh)</t>
  </si>
  <si>
    <t>debt</t>
  </si>
  <si>
    <t>number</t>
  </si>
  <si>
    <t>price</t>
  </si>
  <si>
    <r>
      <t xml:space="preserve">Enterprise Value </t>
    </r>
    <r>
      <rPr>
        <b/>
        <vertAlign val="superscript"/>
        <sz val="10"/>
        <color theme="1"/>
        <rFont val="Open Sans"/>
        <family val="2"/>
      </rPr>
      <t>1</t>
    </r>
  </si>
  <si>
    <t>Equity Value per Share</t>
  </si>
  <si>
    <t>Premium (Discount) to Stock Price</t>
  </si>
  <si>
    <t>Perpetuity Method</t>
  </si>
  <si>
    <t>multiple method</t>
  </si>
  <si>
    <t>Terminal Multiple</t>
  </si>
  <si>
    <t>Property Plant &amp; Equipment</t>
  </si>
  <si>
    <t>Tax Basis for PP&amp;E</t>
  </si>
  <si>
    <t>Tax Losses</t>
  </si>
  <si>
    <t>End 2023 balance</t>
  </si>
  <si>
    <r>
      <t xml:space="preserve">Terminal EBITDA Multiple </t>
    </r>
    <r>
      <rPr>
        <vertAlign val="superscript"/>
        <sz val="10"/>
        <color theme="1"/>
        <rFont val="Open Sans"/>
        <family val="2"/>
      </rPr>
      <t>1</t>
    </r>
  </si>
  <si>
    <t>Weighted Average Cost of Capital (WACC)</t>
  </si>
  <si>
    <t>Terminal Growth Greater Than or Equal To WACC?</t>
  </si>
  <si>
    <t>Valuation Data</t>
  </si>
  <si>
    <t xml:space="preserve">Tax Rate is a 5-Year Average. </t>
  </si>
  <si>
    <t xml:space="preserve">Levered beta is based on 5-year monthly data. </t>
  </si>
  <si>
    <t xml:space="preserve">Unlevered Beta = Levered Beta / (1 + (1 - Tax Rate) × Debt-to-Equity) </t>
  </si>
  <si>
    <t xml:space="preserve">Levered Beta = Unlevered Beta x (1 + (1 - Tax rate) x (Debt-to-Equity)) </t>
  </si>
  <si>
    <t>Other Inputs</t>
  </si>
  <si>
    <t>Plant Capacity</t>
  </si>
  <si>
    <t>(Units/Day)</t>
  </si>
  <si>
    <t>Projected Interest Expense</t>
  </si>
  <si>
    <t>First Year Tax Depreciation</t>
  </si>
  <si>
    <t>Blended Tax Depreciation Rate</t>
  </si>
  <si>
    <t>Capital Expenditure</t>
  </si>
  <si>
    <t>worst case</t>
  </si>
  <si>
    <t>Base case</t>
  </si>
  <si>
    <t>Best case</t>
  </si>
  <si>
    <t>Sales Volume Growth</t>
  </si>
  <si>
    <t>Worst case</t>
  </si>
  <si>
    <t>Pro Forma scenario analysis</t>
  </si>
  <si>
    <t>COGS growth</t>
  </si>
  <si>
    <t>Sales Volume</t>
  </si>
  <si>
    <t>Operational Efficiency</t>
  </si>
  <si>
    <t>All figures in USD thousands unless stated</t>
  </si>
  <si>
    <t>Cost Schedule</t>
  </si>
  <si>
    <t xml:space="preserve">Fixed </t>
  </si>
  <si>
    <t>Variable costs</t>
  </si>
  <si>
    <t>COGS</t>
  </si>
  <si>
    <t>SG&amp;A</t>
  </si>
  <si>
    <t>Interest</t>
  </si>
  <si>
    <t>EBT</t>
  </si>
  <si>
    <t>Current Tax</t>
  </si>
  <si>
    <t>Deferred Tax</t>
  </si>
  <si>
    <t>Total Tax</t>
  </si>
  <si>
    <t>Income statement</t>
  </si>
  <si>
    <t>Days in Period</t>
  </si>
  <si>
    <t>Net Working Capital</t>
  </si>
  <si>
    <t xml:space="preserve">Capital Expenditure </t>
  </si>
  <si>
    <t>Years</t>
  </si>
  <si>
    <t>Percent of Full Year</t>
  </si>
  <si>
    <t>Year</t>
  </si>
  <si>
    <t>Life</t>
  </si>
  <si>
    <t>Amounts for Depreciation</t>
  </si>
  <si>
    <t>Capex</t>
  </si>
  <si>
    <t>Per Yr</t>
  </si>
  <si>
    <t>Existing Assets</t>
  </si>
  <si>
    <t>New Assets</t>
  </si>
  <si>
    <t>Total Depreciation</t>
  </si>
  <si>
    <t>Capital Expenditure Schedule</t>
  </si>
  <si>
    <t>Beginning</t>
  </si>
  <si>
    <t>Accounting Depreciation</t>
  </si>
  <si>
    <t>Ending</t>
  </si>
  <si>
    <t>Tax Depreciation</t>
  </si>
  <si>
    <t>Assumptions First Year Tax Depreciation</t>
  </si>
  <si>
    <t>Earnings Before Interest &amp; Tax (EBIT)</t>
  </si>
  <si>
    <t>Profitable Before Taxes?</t>
  </si>
  <si>
    <t>ADJUSTMENT FOR DEPRECIATION</t>
  </si>
  <si>
    <t>Add: Accounting Depreciation</t>
  </si>
  <si>
    <t>Less: Tax Depreciation</t>
  </si>
  <si>
    <t>EBIT After Adjustment</t>
  </si>
  <si>
    <t>Taxable Income</t>
  </si>
  <si>
    <t>TAX LOSSES</t>
  </si>
  <si>
    <t>Add: New Losses</t>
  </si>
  <si>
    <t>Less: Use of Tax Losses</t>
  </si>
  <si>
    <t>TAXES</t>
  </si>
  <si>
    <t>Current Taxes</t>
  </si>
  <si>
    <t>Deferred Taxes</t>
  </si>
  <si>
    <t>Total Taxes</t>
  </si>
  <si>
    <t>Interest Expense Schedule (Unlevered)</t>
  </si>
  <si>
    <t>Free cashflow Schedule</t>
  </si>
  <si>
    <t>EBITDA METHOD</t>
  </si>
  <si>
    <t>Change in Working Capital</t>
  </si>
  <si>
    <t>Unlevered Free Cash Flow</t>
  </si>
  <si>
    <t>In thousands</t>
  </si>
  <si>
    <t>Taxes</t>
  </si>
  <si>
    <t>Operating Cash Flow</t>
  </si>
  <si>
    <t>Less: Changes in Working Capital</t>
  </si>
  <si>
    <t>Cash from Operations</t>
  </si>
  <si>
    <t>Investing Cash Flow</t>
  </si>
  <si>
    <t>Investments in Property &amp; Equipment</t>
  </si>
  <si>
    <t>Cash from Investing</t>
  </si>
  <si>
    <t>Financing Cash Flow</t>
  </si>
  <si>
    <t>Issuance (repayment) of debt</t>
  </si>
  <si>
    <t>Issuance (repayment) of equity</t>
  </si>
  <si>
    <t>Cash from Financing</t>
  </si>
  <si>
    <t>Net Increase (decrease) in Cash</t>
  </si>
  <si>
    <t>Opening Cash Balance</t>
  </si>
  <si>
    <t>Closing Cash Balance</t>
  </si>
  <si>
    <t>Profitability Ratios</t>
  </si>
  <si>
    <t>Gross Margin</t>
  </si>
  <si>
    <t>Operating Margin</t>
  </si>
  <si>
    <t>Net Profit Margin</t>
  </si>
  <si>
    <t>Efficiency Ratios</t>
  </si>
  <si>
    <t>Total Asset Turnover</t>
  </si>
  <si>
    <t>Net Asset Turnover</t>
  </si>
  <si>
    <t>Inventory Turnover</t>
  </si>
  <si>
    <t>Inventory Days</t>
  </si>
  <si>
    <t>Receivable Turnover</t>
  </si>
  <si>
    <t>Receivable Days</t>
  </si>
  <si>
    <t>Payables Turnover</t>
  </si>
  <si>
    <t>Payables Days</t>
  </si>
  <si>
    <t>Working Capital Requirement</t>
  </si>
  <si>
    <t>Working Capital Funding Gap</t>
  </si>
  <si>
    <t>PP&amp;E Turnover</t>
  </si>
  <si>
    <t>Tax Ratio</t>
  </si>
  <si>
    <t>Liquidity Ratios</t>
  </si>
  <si>
    <t>Current Ratio</t>
  </si>
  <si>
    <t>Acid Test (Quick Ratio)</t>
  </si>
  <si>
    <t>Leverage Ratios</t>
  </si>
  <si>
    <t>Debt to Equity</t>
  </si>
  <si>
    <t>Debt to Tangible Net Worth</t>
  </si>
  <si>
    <t>Total Liabilities to Equity</t>
  </si>
  <si>
    <t>Total Assets to Equity</t>
  </si>
  <si>
    <t>Coverage Ratios</t>
  </si>
  <si>
    <t>Interest Coverage Ratio</t>
  </si>
  <si>
    <t>Fianancial Ratio Analysis</t>
  </si>
  <si>
    <t>Regression Beta Method</t>
  </si>
  <si>
    <t>Index</t>
  </si>
  <si>
    <t>% Change</t>
  </si>
  <si>
    <t>Close Price</t>
  </si>
  <si>
    <t>Weekly</t>
  </si>
  <si>
    <t>*Regression  of weekly changes of index return against Target stock return</t>
  </si>
  <si>
    <t>Data analysis tool pack</t>
  </si>
  <si>
    <t>Net income Method</t>
  </si>
  <si>
    <t>After-tax Interest Expense (Int Exp * (1-Tax))</t>
  </si>
  <si>
    <t>Capex Investment</t>
  </si>
  <si>
    <t>Change in working capital</t>
  </si>
  <si>
    <t>Unlevered Free Cash Flow (UFCF) using Net Income</t>
  </si>
  <si>
    <t>Current Unlevered Taxes</t>
  </si>
  <si>
    <t>NOPAT method</t>
  </si>
  <si>
    <t>Offer</t>
  </si>
  <si>
    <t>Control</t>
  </si>
  <si>
    <t>Shares</t>
  </si>
  <si>
    <t>Net</t>
  </si>
  <si>
    <t>EV / EBITDA</t>
  </si>
  <si>
    <t>Premium</t>
  </si>
  <si>
    <t>Outstand.</t>
  </si>
  <si>
    <t>at Offer</t>
  </si>
  <si>
    <t>(YYYY-MM-DD)</t>
  </si>
  <si>
    <t>$</t>
  </si>
  <si>
    <t>mm</t>
  </si>
  <si>
    <t>x</t>
  </si>
  <si>
    <t>Cake</t>
  </si>
  <si>
    <t>Ice Cream</t>
  </si>
  <si>
    <t>Salt</t>
  </si>
  <si>
    <t>Pepper</t>
  </si>
  <si>
    <t>Fish</t>
  </si>
  <si>
    <t>Chips</t>
  </si>
  <si>
    <t>Peanut Butter</t>
  </si>
  <si>
    <t>Jelly</t>
  </si>
  <si>
    <t>Brisket</t>
  </si>
  <si>
    <t>NoSauce</t>
  </si>
  <si>
    <t>Biscuits</t>
  </si>
  <si>
    <t>Gravy</t>
  </si>
  <si>
    <t>CTM</t>
  </si>
  <si>
    <t>GTM</t>
  </si>
  <si>
    <t>Jik</t>
  </si>
  <si>
    <t>Octane</t>
  </si>
  <si>
    <t>Lime</t>
  </si>
  <si>
    <t>HHV</t>
  </si>
  <si>
    <t>Dela</t>
  </si>
  <si>
    <t>Maximum</t>
  </si>
  <si>
    <t>Minimum</t>
  </si>
  <si>
    <t>Target Company Value at Median Multiples</t>
  </si>
  <si>
    <t>Second Method</t>
  </si>
  <si>
    <t>Forward EBITDA</t>
  </si>
  <si>
    <t>1 Year Fwd EV/EBITDA</t>
  </si>
  <si>
    <t>DCF EV</t>
  </si>
  <si>
    <t xml:space="preserve">1 year after valuation EBITDA estimation </t>
  </si>
  <si>
    <t>% Growth</t>
  </si>
  <si>
    <t>Cost of Goods Sold</t>
  </si>
  <si>
    <t>% of Gross Sales</t>
  </si>
  <si>
    <t>% of Net Sales</t>
  </si>
  <si>
    <t>Selling Expenses</t>
  </si>
  <si>
    <t>General &amp; Administrative Expenses</t>
  </si>
  <si>
    <t>% margin</t>
  </si>
  <si>
    <t>Depreciation &amp; Amortisation</t>
  </si>
  <si>
    <t>% of Gross sales</t>
  </si>
  <si>
    <t>% of Capex</t>
  </si>
  <si>
    <t>PAT (Carried over to Retained Earnings)</t>
  </si>
  <si>
    <t>EBITDA-Capex</t>
  </si>
  <si>
    <t>EBITDA-Capex / EBITDA</t>
  </si>
  <si>
    <t>Capex / Net Sales</t>
  </si>
  <si>
    <t>Assets</t>
  </si>
  <si>
    <t>Fixed Assets</t>
  </si>
  <si>
    <t>Transaction GW (as per LBO)</t>
  </si>
  <si>
    <t>Accounts Receivables</t>
  </si>
  <si>
    <t>Liabilities</t>
  </si>
  <si>
    <t>Shareholders' Funds</t>
  </si>
  <si>
    <t>Equity Share Capital</t>
  </si>
  <si>
    <t>Long Term Debt</t>
  </si>
  <si>
    <t>Accounts Payables</t>
  </si>
  <si>
    <t>&lt; from cashflows assumptions</t>
  </si>
  <si>
    <t xml:space="preserve">(closing cashflow) </t>
  </si>
  <si>
    <t>Pro Forma Income Statement</t>
  </si>
  <si>
    <t>Pro-Forma Balance Sheet</t>
  </si>
  <si>
    <t>Pro-forma Cashflow Statement</t>
  </si>
  <si>
    <t>Net Profit</t>
  </si>
  <si>
    <t>Add: Interest</t>
  </si>
  <si>
    <t>Add: Depreciation &amp; Amortisation</t>
  </si>
  <si>
    <t>Changes in working capital</t>
  </si>
  <si>
    <t>Change in Accounts receivables</t>
  </si>
  <si>
    <t>Change in Accounts payables</t>
  </si>
  <si>
    <t>Change in Accounts inventory</t>
  </si>
  <si>
    <t>Less: Interest Expenses</t>
  </si>
  <si>
    <t>Cash Flow from Operating Activities</t>
  </si>
  <si>
    <t>Debt Repayment</t>
  </si>
  <si>
    <t>Net Change in cash during the year</t>
  </si>
  <si>
    <t>Add: Opening Cash Flow</t>
  </si>
  <si>
    <t>Closing Cash Flow</t>
  </si>
  <si>
    <t>(+) Additions</t>
  </si>
  <si>
    <t>(-) Sale</t>
  </si>
  <si>
    <t>(-) Depreciation</t>
  </si>
  <si>
    <t>PROPERTY PLANT &amp; EQUIPMENT  (PPE)</t>
  </si>
  <si>
    <t>CASHFLOW Statement</t>
  </si>
  <si>
    <t>(-) Repayment</t>
  </si>
  <si>
    <t>Interest Rate</t>
  </si>
  <si>
    <t>FCFE</t>
  </si>
  <si>
    <t>Less:</t>
  </si>
  <si>
    <t>Interest Payments</t>
  </si>
  <si>
    <t>Cash utilised to make repayments</t>
  </si>
  <si>
    <t>Debt Repayments</t>
  </si>
  <si>
    <t>average balance</t>
  </si>
  <si>
    <t>beginning balance, else rate *</t>
  </si>
  <si>
    <t>If switch = 1, take interest rate *</t>
  </si>
  <si>
    <t>2 = Average Balance)</t>
  </si>
  <si>
    <t>(1 = Beginning balance</t>
  </si>
  <si>
    <t>Interest Income</t>
  </si>
  <si>
    <t>Assumption</t>
  </si>
  <si>
    <t>Given, Debt Footnote</t>
  </si>
  <si>
    <t>Wtg'ed avg estimate, 10K p 39</t>
  </si>
  <si>
    <t>Cash &amp; Cash Equivalents</t>
  </si>
  <si>
    <t>Interest Rates</t>
  </si>
  <si>
    <t>Calculation</t>
  </si>
  <si>
    <t>Fiscal Year Ending October 31,</t>
  </si>
  <si>
    <t>Projected</t>
  </si>
  <si>
    <t>Estimated</t>
  </si>
  <si>
    <t>Interest Schedule</t>
  </si>
  <si>
    <t>From CF statement</t>
  </si>
  <si>
    <t>Total Debt, less Current Portion</t>
  </si>
  <si>
    <t>Less: Revolver</t>
  </si>
  <si>
    <t>Less: Commercial Paper</t>
  </si>
  <si>
    <t>Less: Current Portion</t>
  </si>
  <si>
    <t>Sum</t>
  </si>
  <si>
    <t>Total Debt, Ending Balance</t>
  </si>
  <si>
    <t>Reference revolver sweep, to CF</t>
  </si>
  <si>
    <t>Revolver Debt Borrowing / (Repayment)</t>
  </si>
  <si>
    <t>Sum of mandatory pmts, to CF</t>
  </si>
  <si>
    <t>Less: Mandatory Debt Repayment</t>
  </si>
  <si>
    <t>Sum of prior year's end balances</t>
  </si>
  <si>
    <t>Total Debt, Beginning Balance</t>
  </si>
  <si>
    <t>Average of Beg and End Balance</t>
  </si>
  <si>
    <t>Average Balance</t>
  </si>
  <si>
    <t>Ending Balance</t>
  </si>
  <si>
    <t>Balancing equation</t>
  </si>
  <si>
    <t>Discretionary Sweep</t>
  </si>
  <si>
    <t>Equal to prior year's end balance</t>
  </si>
  <si>
    <t>Mandatory Debt Repayment</t>
  </si>
  <si>
    <t>Tranche 2</t>
  </si>
  <si>
    <t>Tranche 1</t>
  </si>
  <si>
    <t>Cash Before Discretionary Debt Repayment / (Borrowing)</t>
  </si>
  <si>
    <t>Sum of mandatory pmts below</t>
  </si>
  <si>
    <t>Less: Minimum Cash Balance</t>
  </si>
  <si>
    <t>Plus: Beginning Cash on Balance Sheet</t>
  </si>
  <si>
    <t>Cash Available/(Required) Before Debt</t>
  </si>
  <si>
    <t>Advanced Debt Schedule</t>
  </si>
  <si>
    <t>Credit and Leverage Statistics</t>
  </si>
  <si>
    <t>From Debt schedule</t>
  </si>
  <si>
    <t>Sum (no minority interest!!)</t>
  </si>
  <si>
    <t>Less: Cash</t>
  </si>
  <si>
    <t>From Balance Sheet</t>
  </si>
  <si>
    <t>Total Net Debt</t>
  </si>
  <si>
    <t>Preferred Debt</t>
  </si>
  <si>
    <t>Zero, should be from Balance Sheet</t>
  </si>
  <si>
    <t>Total S/H Equity</t>
  </si>
  <si>
    <t>Total Net Capital</t>
  </si>
  <si>
    <t>Sum (net debt + equity sources)</t>
  </si>
  <si>
    <t>Total Capital</t>
  </si>
  <si>
    <t>Sum (total debt + equity sources)</t>
  </si>
  <si>
    <t>From Income Statement</t>
  </si>
  <si>
    <t>Total Capex</t>
  </si>
  <si>
    <t>Total Interest Expense</t>
  </si>
  <si>
    <t>From IS (include capital lease interest)</t>
  </si>
  <si>
    <t>Net Interest Expense</t>
  </si>
  <si>
    <t>RATIOS</t>
  </si>
  <si>
    <t>Total Debt / EBITDA</t>
  </si>
  <si>
    <t>Calculated ratio</t>
  </si>
  <si>
    <t>Net Debt / EBITDA</t>
  </si>
  <si>
    <t>Total Debt / (EBITDA - Total Capex)</t>
  </si>
  <si>
    <t>(Total Debt + Preferred Stock) / EBITDA</t>
  </si>
  <si>
    <t>(Total Debt + Preferred Stock) / (EBITDA-Total capex)</t>
  </si>
  <si>
    <t>EBITDA / Total Interest Expense</t>
  </si>
  <si>
    <t>(EBITDA-Total Capex) / Total Interest Expense</t>
  </si>
  <si>
    <t>EBIT / Total Interest Expense</t>
  </si>
  <si>
    <t>(EBIT-Total Capex) / Total Interest Expense</t>
  </si>
  <si>
    <t>Total Debt / Total Capitalization</t>
  </si>
  <si>
    <t>(Total Debt + Preferred) / Total Capitalization</t>
  </si>
  <si>
    <t>EBITDA / Total Assets</t>
  </si>
  <si>
    <t>Net Debt / Net Capitalization</t>
  </si>
  <si>
    <t>(Net Debt + Preferred) / Net Capitalization</t>
  </si>
  <si>
    <t>Note: Excludes future lease payments.</t>
  </si>
  <si>
    <t>S&amp;P Median Industrial Rating Statistics ('01-'03)</t>
  </si>
  <si>
    <t>AAA</t>
  </si>
  <si>
    <t>AA</t>
  </si>
  <si>
    <t>A</t>
  </si>
  <si>
    <t>BBB</t>
  </si>
  <si>
    <t>BB</t>
  </si>
  <si>
    <t>B</t>
  </si>
  <si>
    <t>CCC</t>
  </si>
  <si>
    <t xml:space="preserve">EBIT Interest Coverage </t>
  </si>
  <si>
    <t>EBITDA Interest Coverage</t>
  </si>
  <si>
    <t>Total Debt / Total Capital</t>
  </si>
  <si>
    <t>Total Current Assets</t>
  </si>
  <si>
    <t>Total Current Liabilities</t>
  </si>
  <si>
    <t>Total Liabilities &amp; Equity</t>
  </si>
  <si>
    <t>Data For FCF</t>
  </si>
  <si>
    <t>Excerpts Provided from Financial Statement</t>
  </si>
  <si>
    <t>Interest Expense, net</t>
  </si>
  <si>
    <t>Unlevered Taxes</t>
  </si>
  <si>
    <t>Capital Expenditures</t>
  </si>
  <si>
    <t>Long term debt</t>
  </si>
  <si>
    <t>Cash From Accounts Receivable</t>
  </si>
  <si>
    <t>Cash From Inventory</t>
  </si>
  <si>
    <t>Cash From Accounts Payable</t>
  </si>
  <si>
    <t>Change in Revolving Credit Line</t>
  </si>
  <si>
    <t>CASH BALANCE</t>
  </si>
  <si>
    <t>Beginning of the Year</t>
  </si>
  <si>
    <t>Increase / (Decrease)</t>
  </si>
  <si>
    <t>End of the Year</t>
  </si>
  <si>
    <t>Football chart</t>
  </si>
  <si>
    <t xml:space="preserve">   R&amp;D</t>
  </si>
  <si>
    <t xml:space="preserve">   Marking and Sales</t>
  </si>
  <si>
    <t>Total Operating expenses</t>
  </si>
  <si>
    <t>date</t>
  </si>
  <si>
    <t>Operating Expenses</t>
  </si>
  <si>
    <t xml:space="preserve">   SG&amp;A</t>
  </si>
  <si>
    <t xml:space="preserve">   Other</t>
  </si>
  <si>
    <t>Total Operating Expenses</t>
  </si>
  <si>
    <t xml:space="preserve">   Interest and Other Income, Net</t>
  </si>
  <si>
    <t>Pre-tax Income</t>
  </si>
  <si>
    <t xml:space="preserve">   Income Tax Expense</t>
  </si>
  <si>
    <t>Earnings Per Share</t>
  </si>
  <si>
    <t xml:space="preserve">   Basic </t>
  </si>
  <si>
    <t xml:space="preserve">   Diluted</t>
  </si>
  <si>
    <t>Price Per Share</t>
  </si>
  <si>
    <t>Revnue Growth</t>
  </si>
  <si>
    <t>Margins ans a % of Net Sales</t>
  </si>
  <si>
    <t xml:space="preserve">   Cost of Sales</t>
  </si>
  <si>
    <t xml:space="preserve">   Gross Margin</t>
  </si>
  <si>
    <t xml:space="preserve">   Operating Income (EBIT)</t>
  </si>
  <si>
    <t xml:space="preserve">   Effective Tax Rate</t>
  </si>
  <si>
    <t xml:space="preserve">   Net Income</t>
  </si>
  <si>
    <t xml:space="preserve">   D&amp;A</t>
  </si>
  <si>
    <t xml:space="preserve">   CapEx</t>
  </si>
  <si>
    <t xml:space="preserve">   EBITDA</t>
  </si>
  <si>
    <t xml:space="preserve">   Cash &amp; Cash Equivalents</t>
  </si>
  <si>
    <t xml:space="preserve">   Marketable Securities</t>
  </si>
  <si>
    <t xml:space="preserve">   Inventories</t>
  </si>
  <si>
    <t xml:space="preserve">   Prepaid Expenses and Other Assets</t>
  </si>
  <si>
    <t xml:space="preserve">   Equity Investments</t>
  </si>
  <si>
    <t xml:space="preserve">   PPE</t>
  </si>
  <si>
    <t xml:space="preserve">   Operating Lease Right-of-Use Assets</t>
  </si>
  <si>
    <t xml:space="preserve">   Intangible Assets</t>
  </si>
  <si>
    <t xml:space="preserve">   Goodwill</t>
  </si>
  <si>
    <t xml:space="preserve">   Other Non-Current Assets</t>
  </si>
  <si>
    <t xml:space="preserve">   Accounts Payable</t>
  </si>
  <si>
    <t xml:space="preserve">   Partners Payable</t>
  </si>
  <si>
    <t>Revolving credit line</t>
  </si>
  <si>
    <t xml:space="preserve">   Operating Lease Liabilities, Current</t>
  </si>
  <si>
    <t xml:space="preserve">   Accrued Expenses and Other Current Liabilities</t>
  </si>
  <si>
    <t xml:space="preserve">   Deferred Revenue and Deposits</t>
  </si>
  <si>
    <t xml:space="preserve">   Operating Lease Liabilities, Non-Current</t>
  </si>
  <si>
    <t xml:space="preserve">   Other Non-Current Liabilities (long term debt)</t>
  </si>
  <si>
    <t>Shareholder's Equity</t>
  </si>
  <si>
    <t xml:space="preserve">   Additional Paid-In Capital</t>
  </si>
  <si>
    <t xml:space="preserve">   Retained Earnings</t>
  </si>
  <si>
    <t xml:space="preserve">   Accumulated Other Comprehensive Income (Loss)</t>
  </si>
  <si>
    <t>Total Shareholder's Equity</t>
  </si>
  <si>
    <t xml:space="preserve">Depreciation &amp; Amortization </t>
  </si>
  <si>
    <t>I. Liquidity Ratios</t>
  </si>
  <si>
    <t>CA/CL</t>
  </si>
  <si>
    <t>Quick Ratio</t>
  </si>
  <si>
    <t>(CA-Inventory)/CL</t>
  </si>
  <si>
    <t>Cash Ratio</t>
  </si>
  <si>
    <t>Cash/CL</t>
  </si>
  <si>
    <t>II. Financial Leverage Ratios</t>
  </si>
  <si>
    <t>Total Debt Ratio</t>
  </si>
  <si>
    <t>(TA-TE)/TA</t>
  </si>
  <si>
    <t>Debt-Equity Ratio</t>
  </si>
  <si>
    <t>TD/TE</t>
  </si>
  <si>
    <t>Equity Multiplier</t>
  </si>
  <si>
    <t>TA/TE</t>
  </si>
  <si>
    <t>Times Interest Earned</t>
  </si>
  <si>
    <t>EBIT/Interest</t>
  </si>
  <si>
    <t>Cash Coverage Ratio</t>
  </si>
  <si>
    <t>(EBIT+Depreciation)/Interest</t>
  </si>
  <si>
    <t>III. Asset Management Ratio</t>
  </si>
  <si>
    <t>COGS/Inventory</t>
  </si>
  <si>
    <t>Days' Sales in Inventory</t>
  </si>
  <si>
    <t>365/IT</t>
  </si>
  <si>
    <t>Recievables Turnover</t>
  </si>
  <si>
    <t>Sales/AR</t>
  </si>
  <si>
    <t>Days' Sales in Recievables</t>
  </si>
  <si>
    <t>365/RT</t>
  </si>
  <si>
    <t>COGS/AP</t>
  </si>
  <si>
    <t>Days' Costs in Payables</t>
  </si>
  <si>
    <t>365/PT</t>
  </si>
  <si>
    <t>Sales/TA</t>
  </si>
  <si>
    <t>Capital Intensity</t>
  </si>
  <si>
    <t>1/TAT</t>
  </si>
  <si>
    <t>IV. Profitability Measures</t>
  </si>
  <si>
    <t>Profit Margin</t>
  </si>
  <si>
    <t>NI/Sales</t>
  </si>
  <si>
    <t>Return on Assets</t>
  </si>
  <si>
    <t>NI/TA</t>
  </si>
  <si>
    <t>Return on Equity</t>
  </si>
  <si>
    <t>NI/TE</t>
  </si>
  <si>
    <t>V. Market Value Ratios</t>
  </si>
  <si>
    <t>Price-Earnings Ratio</t>
  </si>
  <si>
    <t>PPS/EPS</t>
  </si>
  <si>
    <t>Sales Per Sahre</t>
  </si>
  <si>
    <t>Sales/SO</t>
  </si>
  <si>
    <t>Price-Sales Ratio</t>
  </si>
  <si>
    <t>PPS/SPS</t>
  </si>
  <si>
    <t>Book Value Per Share</t>
  </si>
  <si>
    <t>TE/SO</t>
  </si>
  <si>
    <t>Market-to-Book Ratio</t>
  </si>
  <si>
    <t>PPS/BVPS</t>
  </si>
  <si>
    <t>Market Value</t>
  </si>
  <si>
    <t>PPS*SO</t>
  </si>
  <si>
    <t>MV+Debt-Cash</t>
  </si>
  <si>
    <t>EBITDA Ratio</t>
  </si>
  <si>
    <t>VI. Dupont Identity</t>
  </si>
  <si>
    <t>ROE (Basic)</t>
  </si>
  <si>
    <t>PM*TAT*EM</t>
  </si>
  <si>
    <t>VII. Payout and Retention Ratios</t>
  </si>
  <si>
    <t>Retintion Ratio (b)</t>
  </si>
  <si>
    <t>(NI-Dividend)/NI</t>
  </si>
  <si>
    <t>Dividend Payout Ratio (1-b)</t>
  </si>
  <si>
    <t>1-b</t>
  </si>
  <si>
    <t>Internal Growth Rate</t>
  </si>
  <si>
    <t>(ROA*b)/1-(ROA*b)</t>
  </si>
  <si>
    <t>Sustainable Growth Rate</t>
  </si>
  <si>
    <t>(ROE*b)/1-(ROA*b)</t>
  </si>
  <si>
    <t>Free cash flow to Equity (FCFE)</t>
  </si>
  <si>
    <t>TERM</t>
  </si>
  <si>
    <t>Val</t>
  </si>
  <si>
    <t>Change in NWC % Revenue</t>
  </si>
  <si>
    <t>Capex % Revenue</t>
  </si>
  <si>
    <t>D&amp;A % Revenue</t>
  </si>
  <si>
    <t>Operating Assumptions</t>
  </si>
  <si>
    <t>Levered FCF Yield</t>
  </si>
  <si>
    <t>Unlevered FCF Yield</t>
  </si>
  <si>
    <t>Free Cash Flow to Equity (FCFE)</t>
  </si>
  <si>
    <t>Plus: Debt Borrowing / (Paydown)</t>
  </si>
  <si>
    <t>Plus: Interest Tax Shield</t>
  </si>
  <si>
    <t>Less: Change in NWC</t>
  </si>
  <si>
    <t>Less: Capex</t>
  </si>
  <si>
    <t>Plus: D&amp;A</t>
  </si>
  <si>
    <t>Less: D&amp;A</t>
  </si>
  <si>
    <t>Total Revenue</t>
  </si>
  <si>
    <t>Financial Data</t>
  </si>
  <si>
    <t>Total Shares Outstanding</t>
  </si>
  <si>
    <t>Current Share Price</t>
  </si>
  <si>
    <t>Enterprise Value (TEV)</t>
  </si>
  <si>
    <t>Share Price Approach</t>
  </si>
  <si>
    <t>TEV Approach</t>
  </si>
  <si>
    <t>Share Price</t>
  </si>
  <si>
    <t>Approach</t>
  </si>
  <si>
    <t>($ in millions except per share data)</t>
  </si>
  <si>
    <t>Unlevered vs Levered FCF Yield</t>
  </si>
  <si>
    <t>Net Income ➞ FCFE</t>
  </si>
  <si>
    <t>CFO ➞ FCFE</t>
  </si>
  <si>
    <t>Cash Flow from Operations</t>
  </si>
  <si>
    <t>Net Margin</t>
  </si>
  <si>
    <t>EBIT Margin</t>
  </si>
  <si>
    <t>(End of 2022)</t>
  </si>
  <si>
    <t xml:space="preserve">   Share Price</t>
  </si>
  <si>
    <t xml:space="preserve">   Diluted Shares Outstanding</t>
  </si>
  <si>
    <t xml:space="preserve">   Cost of Debt</t>
  </si>
  <si>
    <t xml:space="preserve">   Tax Rate</t>
  </si>
  <si>
    <t xml:space="preserve">   After-Tax Cost of Debt</t>
  </si>
  <si>
    <t xml:space="preserve">   Beta</t>
  </si>
  <si>
    <t xml:space="preserve">   Risk Free Rate</t>
  </si>
  <si>
    <t xml:space="preserve">   Expected Rate of Return</t>
  </si>
  <si>
    <t xml:space="preserve">   Cost of Equity</t>
  </si>
  <si>
    <t xml:space="preserve">   Total Debt</t>
  </si>
  <si>
    <t xml:space="preserve">   Total Equity</t>
  </si>
  <si>
    <t xml:space="preserve">   Total Capital</t>
  </si>
  <si>
    <t xml:space="preserve">   Debt Weighting</t>
  </si>
  <si>
    <t xml:space="preserve">   Equity Weighting</t>
  </si>
  <si>
    <t xml:space="preserve">   Accounts Receivable</t>
  </si>
  <si>
    <t xml:space="preserve">   Purchases of Marketable Securities</t>
  </si>
  <si>
    <t xml:space="preserve">   Sales of Marketable Securities</t>
  </si>
  <si>
    <t xml:space="preserve">   Maturities of Marketable Securities</t>
  </si>
  <si>
    <t xml:space="preserve">   Purchases of Equity Investments</t>
  </si>
  <si>
    <t xml:space="preserve">   Acquisitions of businesses</t>
  </si>
  <si>
    <t xml:space="preserve">   Other Investing Activities</t>
  </si>
  <si>
    <t>Investing activities</t>
  </si>
  <si>
    <t xml:space="preserve"> Net Cash from Investing Activities</t>
  </si>
  <si>
    <t>Operating activities</t>
  </si>
  <si>
    <t xml:space="preserve">   Taxes Paid Related to Settlements</t>
  </si>
  <si>
    <t xml:space="preserve">   Principal Payment of Finance Leases</t>
  </si>
  <si>
    <t xml:space="preserve">   Net Change in Overdraft in Cash Pooling Entities</t>
  </si>
  <si>
    <t>Change in Common Equity (repurchases)</t>
  </si>
  <si>
    <t>Other financing activities</t>
  </si>
  <si>
    <t>Changes in operating assets and liabililities</t>
  </si>
  <si>
    <t>Defered income Tax(expense/benefit)</t>
  </si>
  <si>
    <t>Share-based compensation(expense)</t>
  </si>
  <si>
    <t>other current and non-current assets</t>
  </si>
  <si>
    <t>Deferred revenue</t>
  </si>
  <si>
    <t>other current and non-current liabilties</t>
  </si>
  <si>
    <t>Net change in Working capital</t>
  </si>
  <si>
    <t xml:space="preserve">   CapEx (PP&amp;E)</t>
  </si>
  <si>
    <t>Net cash from investing activities</t>
  </si>
  <si>
    <t>Net cash from operating activities</t>
  </si>
  <si>
    <t>Financing activities</t>
  </si>
  <si>
    <t>Change in Long-Term Debt(repayments or issuance)</t>
  </si>
  <si>
    <t>Dividends payment</t>
  </si>
  <si>
    <t>Regression analysis</t>
  </si>
  <si>
    <r>
      <t>Unlevered Beta (</t>
    </r>
    <r>
      <rPr>
        <sz val="9"/>
        <color theme="1"/>
        <rFont val="Times New Roman"/>
        <family val="1"/>
      </rPr>
      <t>β</t>
    </r>
    <r>
      <rPr>
        <sz val="9"/>
        <color theme="1"/>
        <rFont val="Arial"/>
        <family val="2"/>
      </rPr>
      <t>U) = βL / [1 + (1 - Tax %) x (Debt/Equity)]</t>
    </r>
  </si>
  <si>
    <t>Re-levered Beta (βrL) = βU x [1 + (1 - Tax %) x (Debt/Equity)]</t>
  </si>
  <si>
    <r>
      <t>Levered Beta (</t>
    </r>
    <r>
      <rPr>
        <sz val="9"/>
        <color theme="1"/>
        <rFont val="Times New Roman"/>
        <family val="1"/>
      </rPr>
      <t>β</t>
    </r>
    <r>
      <rPr>
        <sz val="9"/>
        <color theme="1"/>
        <rFont val="Arial"/>
        <family val="2"/>
      </rPr>
      <t>L) = Cov (rate of return of assets, rate of return of index)  /  Var (rate of return of index)</t>
    </r>
  </si>
  <si>
    <t xml:space="preserve">WACC Sensitivity Analysis                                                                                                                                                                                                                                                           </t>
  </si>
  <si>
    <t>Pre-tax Cost of Debt</t>
  </si>
  <si>
    <t>Debt-to-total Capitalization</t>
  </si>
  <si>
    <t>Remarks</t>
  </si>
  <si>
    <t>1. On WACC sensitivity analysis, higher cost of equity leads to decline in WACC as debt-to-total capitalization increases</t>
  </si>
  <si>
    <t>Mean Unlevered Beta</t>
  </si>
  <si>
    <t>Target Debt/Equity</t>
  </si>
  <si>
    <t>Tax rate</t>
  </si>
  <si>
    <t>Re-levered Beta</t>
  </si>
  <si>
    <t>Relevered beta</t>
  </si>
  <si>
    <t>Almendra</t>
  </si>
  <si>
    <t>REVENUE/COGS REGRESSION ANALYSIS</t>
  </si>
  <si>
    <t>2025F</t>
  </si>
  <si>
    <t>2026F</t>
  </si>
  <si>
    <t>2027F</t>
  </si>
  <si>
    <t>2028F</t>
  </si>
  <si>
    <t>TV</t>
  </si>
  <si>
    <t>Rev method</t>
  </si>
  <si>
    <t>trend</t>
  </si>
  <si>
    <t>CAGR</t>
  </si>
  <si>
    <t>average</t>
  </si>
  <si>
    <t>recent</t>
  </si>
  <si>
    <t>2022A</t>
  </si>
  <si>
    <t>2023A</t>
  </si>
  <si>
    <t>2024A</t>
  </si>
  <si>
    <t>Rev</t>
  </si>
  <si>
    <t>REV</t>
  </si>
  <si>
    <t>ol</t>
  </si>
  <si>
    <t>2025A</t>
  </si>
  <si>
    <t>2026A</t>
  </si>
  <si>
    <t>2027A</t>
  </si>
  <si>
    <t>2028A</t>
  </si>
  <si>
    <t>Profit</t>
  </si>
  <si>
    <t>Terminal Year</t>
  </si>
  <si>
    <t xml:space="preserve">  - WACC (CI)</t>
  </si>
  <si>
    <t>EVA</t>
  </si>
  <si>
    <t>Terminal EVA</t>
  </si>
  <si>
    <t>PV</t>
  </si>
  <si>
    <t>PV of EVA</t>
  </si>
  <si>
    <t xml:space="preserve"> + Capital Invested</t>
  </si>
  <si>
    <t xml:space="preserve"> + PV of Chg Capital in Yr 10</t>
  </si>
  <si>
    <t>This reconciles the assumptions on stable growth, ROC and Capital Invested</t>
  </si>
  <si>
    <t xml:space="preserve"> = Firm Value</t>
  </si>
  <si>
    <t>ROC</t>
  </si>
  <si>
    <t>Capital Invested</t>
  </si>
  <si>
    <t>(Adjusted to reflect terminal ROC)</t>
  </si>
  <si>
    <t>Calculation of Capital Invested</t>
  </si>
  <si>
    <t>Initial</t>
  </si>
  <si>
    <t xml:space="preserve"> + Net Cap Ex</t>
  </si>
  <si>
    <t xml:space="preserve"> + Chg in WC</t>
  </si>
  <si>
    <t>Cumulated WACC</t>
  </si>
  <si>
    <t>Interest Exp</t>
  </si>
  <si>
    <t xml:space="preserve"> - Reinvestment</t>
  </si>
  <si>
    <t xml:space="preserve"> + New Debt Issued</t>
  </si>
  <si>
    <t>Utility (Water)</t>
  </si>
  <si>
    <t>Utility (General)</t>
  </si>
  <si>
    <t>Trucking</t>
  </si>
  <si>
    <t>Transportation (Railroads)</t>
  </si>
  <si>
    <t>Transportation</t>
  </si>
  <si>
    <t>NA</t>
  </si>
  <si>
    <t>Tobacco</t>
  </si>
  <si>
    <t>Telecom. Services</t>
  </si>
  <si>
    <t>Telecom. Equipment</t>
  </si>
  <si>
    <t>Telecom (Wireless)</t>
  </si>
  <si>
    <t>Steel</t>
  </si>
  <si>
    <t>Software (System &amp; Application)</t>
  </si>
  <si>
    <t>Software (Internet)</t>
  </si>
  <si>
    <t>Software (Entertainment)</t>
  </si>
  <si>
    <t>Shoe</t>
  </si>
  <si>
    <t>Shipbuilding &amp; Marine</t>
  </si>
  <si>
    <t>Semiconductor Equip</t>
  </si>
  <si>
    <t>Semiconductor</t>
  </si>
  <si>
    <t>Rubber&amp; Tires</t>
  </si>
  <si>
    <t>Retail (Special Lines)</t>
  </si>
  <si>
    <t>Retail (Online)</t>
  </si>
  <si>
    <t>Retail (Grocery and Food)</t>
  </si>
  <si>
    <t>Retail (General)</t>
  </si>
  <si>
    <t>Retail (Distributors)</t>
  </si>
  <si>
    <t>Retail (Building Supply)</t>
  </si>
  <si>
    <t>Retail (Automotive)</t>
  </si>
  <si>
    <t>Restaurant/Dining</t>
  </si>
  <si>
    <t>Reinsurance</t>
  </si>
  <si>
    <t>Recreation</t>
  </si>
  <si>
    <t>Real Estate (Operations &amp; Services)</t>
  </si>
  <si>
    <t>Real Estate (General/Diversified)</t>
  </si>
  <si>
    <t>Real Estate (Development)</t>
  </si>
  <si>
    <t>R.E.I.T.</t>
  </si>
  <si>
    <t>Publishing &amp; Newspapers</t>
  </si>
  <si>
    <t>Precious Metals</t>
  </si>
  <si>
    <t>Power</t>
  </si>
  <si>
    <t>Paper/Forest Products</t>
  </si>
  <si>
    <t>Packaging &amp; Container</t>
  </si>
  <si>
    <t>Oilfield Svcs/Equip.</t>
  </si>
  <si>
    <t>Oil/Gas Distribution</t>
  </si>
  <si>
    <t>Oil/Gas (Production and Exploration)</t>
  </si>
  <si>
    <t>Oil/Gas (Integrated)</t>
  </si>
  <si>
    <t>Office Equipment &amp; Services</t>
  </si>
  <si>
    <t>Metals &amp; Mining</t>
  </si>
  <si>
    <t>Machinery</t>
  </si>
  <si>
    <t>Investments &amp; Asset Management</t>
  </si>
  <si>
    <t>Insurance (Prop/Cas.)</t>
  </si>
  <si>
    <t>Insurance (Life)</t>
  </si>
  <si>
    <t>Insurance (General)</t>
  </si>
  <si>
    <t>Information Services</t>
  </si>
  <si>
    <t>Household Products</t>
  </si>
  <si>
    <t>Hotel/Gaming</t>
  </si>
  <si>
    <t>Hospitals/Healthcare Facilities</t>
  </si>
  <si>
    <t>Homebuilding</t>
  </si>
  <si>
    <t>Heathcare Information and Technology</t>
  </si>
  <si>
    <t>Healthcare Support Services</t>
  </si>
  <si>
    <t>Healthcare Products</t>
  </si>
  <si>
    <t>Green &amp; Renewable Energy</t>
  </si>
  <si>
    <t>Furn/Home Furnishings</t>
  </si>
  <si>
    <t>Food Wholesalers</t>
  </si>
  <si>
    <t>Food Processing</t>
  </si>
  <si>
    <t>Financial Svcs. (Non-bank &amp; Insurance)</t>
  </si>
  <si>
    <t>Farming/Agriculture</t>
  </si>
  <si>
    <t>Environmental &amp; Waste Services</t>
  </si>
  <si>
    <t>Entertainment</t>
  </si>
  <si>
    <t>Engineering/Construction</t>
  </si>
  <si>
    <t>Electronics (General)</t>
  </si>
  <si>
    <t>Electronics (Consumer &amp; Office)</t>
  </si>
  <si>
    <t>Electrical Equipment</t>
  </si>
  <si>
    <t>Education</t>
  </si>
  <si>
    <t>Drugs (Pharmaceutical)</t>
  </si>
  <si>
    <t>Drugs (Biotechnology)</t>
  </si>
  <si>
    <t>Diversified</t>
  </si>
  <si>
    <t>Construction Supplies</t>
  </si>
  <si>
    <t>Computers/Peripherals</t>
  </si>
  <si>
    <t>Computer Services</t>
  </si>
  <si>
    <t>Coal &amp; Related Energy</t>
  </si>
  <si>
    <t>Chemical (Specialty)</t>
  </si>
  <si>
    <t>Chemical (Diversified)</t>
  </si>
  <si>
    <t>Chemical (Basic)</t>
  </si>
  <si>
    <t>Cable TV</t>
  </si>
  <si>
    <t>Business &amp; Consumer Services</t>
  </si>
  <si>
    <t>Building Materials</t>
  </si>
  <si>
    <t>Brokerage &amp; Investment Banking</t>
  </si>
  <si>
    <t>Broadcasting</t>
  </si>
  <si>
    <t>Beverage (Soft)</t>
  </si>
  <si>
    <t>Beverage (Alcoholic)</t>
  </si>
  <si>
    <t>Banks (Regional)</t>
  </si>
  <si>
    <t>Bank (Money Center)</t>
  </si>
  <si>
    <t>Auto Parts</t>
  </si>
  <si>
    <t>Auto &amp; Truck</t>
  </si>
  <si>
    <t>Apparel</t>
  </si>
  <si>
    <t>Air Transport</t>
  </si>
  <si>
    <t>Aerospace/Defense</t>
  </si>
  <si>
    <t>Pre-tax Operating Margin (Lease &amp; R&amp;D adjusted)</t>
  </si>
  <si>
    <t>Equity Reinvestment Rate</t>
  </si>
  <si>
    <t>Dividend Payout Ratio</t>
  </si>
  <si>
    <t>Reinvestment Rate</t>
  </si>
  <si>
    <t>Net Cap Ex as % of Revenues</t>
  </si>
  <si>
    <t>Cap Ex as % of Revenues</t>
  </si>
  <si>
    <t>Non-cash WC as % of Revenues</t>
  </si>
  <si>
    <t>Trailing PE</t>
  </si>
  <si>
    <t>Price/Book</t>
  </si>
  <si>
    <t>EV/EBIT</t>
  </si>
  <si>
    <t>EV/Sales</t>
  </si>
  <si>
    <t>Sales/Capital</t>
  </si>
  <si>
    <t>Cost of capital</t>
  </si>
  <si>
    <t>Market Debt/Capital</t>
  </si>
  <si>
    <t>Pre-tax cost of debt</t>
  </si>
  <si>
    <t>Std deviation in stock prices</t>
  </si>
  <si>
    <t>Cost of equity</t>
  </si>
  <si>
    <t>Equity (Levered) Beta</t>
  </si>
  <si>
    <t>Unlevered Beta</t>
  </si>
  <si>
    <t>Average effective tax rate</t>
  </si>
  <si>
    <t>After-tax ROC</t>
  </si>
  <si>
    <t>Pre-tax Operating Margin (Unadjusted)</t>
  </si>
  <si>
    <t>Annual Average Revenue growth - Last 5 years</t>
  </si>
  <si>
    <t>Number of firms</t>
  </si>
  <si>
    <t>Industry Name</t>
  </si>
  <si>
    <t>Ca</t>
  </si>
  <si>
    <t>Zambia</t>
  </si>
  <si>
    <t>Ba3</t>
  </si>
  <si>
    <t>Vietnam</t>
  </si>
  <si>
    <t>C</t>
  </si>
  <si>
    <t>Venezuela</t>
  </si>
  <si>
    <t>B1</t>
  </si>
  <si>
    <t>Uzbekistan</t>
  </si>
  <si>
    <t>Baa2</t>
  </si>
  <si>
    <t>Uruguay</t>
  </si>
  <si>
    <t>Aaa</t>
  </si>
  <si>
    <t>Aa3</t>
  </si>
  <si>
    <t>United Kingdom</t>
  </si>
  <si>
    <t>Aa2</t>
  </si>
  <si>
    <t>United Arab Emirates</t>
  </si>
  <si>
    <t>Caa3</t>
  </si>
  <si>
    <t>Ukraine</t>
  </si>
  <si>
    <t>B2</t>
  </si>
  <si>
    <t>Uganda</t>
  </si>
  <si>
    <t>Baa1</t>
  </si>
  <si>
    <t>Turks and Caicos Islands</t>
  </si>
  <si>
    <t>Turkey</t>
  </si>
  <si>
    <t>Caa1</t>
  </si>
  <si>
    <t>Tunisia</t>
  </si>
  <si>
    <t>Ba2</t>
  </si>
  <si>
    <t>Trinidad and Tobago</t>
  </si>
  <si>
    <t>B3</t>
  </si>
  <si>
    <t>Togo</t>
  </si>
  <si>
    <t>Thailand</t>
  </si>
  <si>
    <t>Tanzania</t>
  </si>
  <si>
    <t>Tajikistan</t>
  </si>
  <si>
    <t>Taiwan</t>
  </si>
  <si>
    <t>Switzerland</t>
  </si>
  <si>
    <t>Sweden</t>
  </si>
  <si>
    <t>Swaziland</t>
  </si>
  <si>
    <t>Suriname</t>
  </si>
  <si>
    <t>St. Vincent &amp; the Grenadines</t>
  </si>
  <si>
    <t>St. Maarten</t>
  </si>
  <si>
    <t>Sri Lanka</t>
  </si>
  <si>
    <t>Spain</t>
  </si>
  <si>
    <t>South Africa</t>
  </si>
  <si>
    <t>Solomon Islands</t>
  </si>
  <si>
    <t>A3</t>
  </si>
  <si>
    <t>Slovenia</t>
  </si>
  <si>
    <t>A2</t>
  </si>
  <si>
    <t>Slovakia</t>
  </si>
  <si>
    <t>Singapore</t>
  </si>
  <si>
    <t>Baa3</t>
  </si>
  <si>
    <t>Sharjah</t>
  </si>
  <si>
    <t>Serbia</t>
  </si>
  <si>
    <t>Senegal</t>
  </si>
  <si>
    <t>A1</t>
  </si>
  <si>
    <t>Saudi Arabia</t>
  </si>
  <si>
    <t>Rwanda</t>
  </si>
  <si>
    <t>Russia</t>
  </si>
  <si>
    <t>Romania</t>
  </si>
  <si>
    <t>Ras Al Khaimah (Emirate of)</t>
  </si>
  <si>
    <t>Qatar</t>
  </si>
  <si>
    <t>Portugal</t>
  </si>
  <si>
    <t>Poland</t>
  </si>
  <si>
    <t>Philippines</t>
  </si>
  <si>
    <t>Peru</t>
  </si>
  <si>
    <t>Ba1</t>
  </si>
  <si>
    <t>Paraguay</t>
  </si>
  <si>
    <t>Papua New Guinea</t>
  </si>
  <si>
    <t>Panama</t>
  </si>
  <si>
    <t>Pakistan</t>
  </si>
  <si>
    <t>Oman</t>
  </si>
  <si>
    <t>Norway</t>
  </si>
  <si>
    <t>Nigeria</t>
  </si>
  <si>
    <t>Niger</t>
  </si>
  <si>
    <t>Nicaragua</t>
  </si>
  <si>
    <t>New Zealand</t>
  </si>
  <si>
    <t>Netherlands</t>
  </si>
  <si>
    <t>Namibia</t>
  </si>
  <si>
    <t>Caa2</t>
  </si>
  <si>
    <t>Mozambique</t>
  </si>
  <si>
    <t>Morocco</t>
  </si>
  <si>
    <t>Montserrat</t>
  </si>
  <si>
    <t>Montenegro</t>
  </si>
  <si>
    <t>Mongolia</t>
  </si>
  <si>
    <t>Moldova</t>
  </si>
  <si>
    <t>Mexico</t>
  </si>
  <si>
    <t>Mauritius</t>
  </si>
  <si>
    <t>Malta</t>
  </si>
  <si>
    <t>Mali</t>
  </si>
  <si>
    <t>Maldives</t>
  </si>
  <si>
    <t>Malaysia</t>
  </si>
  <si>
    <t>Macedonia</t>
  </si>
  <si>
    <t>Macao</t>
  </si>
  <si>
    <t>Lithuania</t>
  </si>
  <si>
    <t>Liechtenstein</t>
  </si>
  <si>
    <t>Lebanon</t>
  </si>
  <si>
    <t>Latvia</t>
  </si>
  <si>
    <t>Laos</t>
  </si>
  <si>
    <t>Kyrgyzstan</t>
  </si>
  <si>
    <t>Kuwait</t>
  </si>
  <si>
    <t>Korea</t>
  </si>
  <si>
    <t>Kenya</t>
  </si>
  <si>
    <t>Kazakhstan</t>
  </si>
  <si>
    <t>Jordan</t>
  </si>
  <si>
    <t>Jersey (States of)</t>
  </si>
  <si>
    <t>Japan</t>
  </si>
  <si>
    <t>Jamaica</t>
  </si>
  <si>
    <t>Italy</t>
  </si>
  <si>
    <t>Israel</t>
  </si>
  <si>
    <t>Isle of Man</t>
  </si>
  <si>
    <t>Ireland</t>
  </si>
  <si>
    <t>Iraq</t>
  </si>
  <si>
    <t>Indonesia</t>
  </si>
  <si>
    <t>India</t>
  </si>
  <si>
    <t>Iceland</t>
  </si>
  <si>
    <t>Hungary</t>
  </si>
  <si>
    <t>Hong Kong</t>
  </si>
  <si>
    <t>Honduras</t>
  </si>
  <si>
    <t>Guernsey (States of)</t>
  </si>
  <si>
    <t>Guatemala</t>
  </si>
  <si>
    <t>Greece</t>
  </si>
  <si>
    <t>Ghana</t>
  </si>
  <si>
    <t>Georgia</t>
  </si>
  <si>
    <t>Gabon</t>
  </si>
  <si>
    <t>France</t>
  </si>
  <si>
    <t>Aa1</t>
  </si>
  <si>
    <t>Finland</t>
  </si>
  <si>
    <t>Fiji</t>
  </si>
  <si>
    <t>Ethiopia</t>
  </si>
  <si>
    <t>Estonia</t>
  </si>
  <si>
    <t>El Salvador</t>
  </si>
  <si>
    <t>Egypt</t>
  </si>
  <si>
    <t>Ecuador</t>
  </si>
  <si>
    <t>Dominican Republic</t>
  </si>
  <si>
    <t>Denmark</t>
  </si>
  <si>
    <t>Czech Republic</t>
  </si>
  <si>
    <t>Cyprus</t>
  </si>
  <si>
    <t>Curacao</t>
  </si>
  <si>
    <t>Cuba</t>
  </si>
  <si>
    <t>Croatia</t>
  </si>
  <si>
    <t>Côte d'Ivoire</t>
  </si>
  <si>
    <t>Costa Rica</t>
  </si>
  <si>
    <t>Cook Islands</t>
  </si>
  <si>
    <t>Congo (Republic of)</t>
  </si>
  <si>
    <t>Congo (Democratic Republic of)</t>
  </si>
  <si>
    <t>Colombia</t>
  </si>
  <si>
    <t>Chile</t>
  </si>
  <si>
    <t>Cayman Islands</t>
  </si>
  <si>
    <t>Cape Verde</t>
  </si>
  <si>
    <t>Canada</t>
  </si>
  <si>
    <t>Cameroon</t>
  </si>
  <si>
    <t>Cambodia</t>
  </si>
  <si>
    <t>Burkina Faso</t>
  </si>
  <si>
    <t>Bulgaria</t>
  </si>
  <si>
    <t>Brazil</t>
  </si>
  <si>
    <t>Botswana</t>
  </si>
  <si>
    <t>Bosnia and Herzegovina</t>
  </si>
  <si>
    <t>Bolivia</t>
  </si>
  <si>
    <t>Bermuda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</si>
  <si>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</si>
  <si>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</si>
  <si>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</si>
  <si>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</si>
  <si>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</si>
  <si>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</si>
  <si>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</si>
  <si>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</si>
  <si>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Global</t>
  </si>
  <si>
    <t>Azerbaijan</t>
  </si>
  <si>
    <t>Western Europe</t>
  </si>
  <si>
    <t>Austria</t>
  </si>
  <si>
    <t>North America</t>
  </si>
  <si>
    <t>Australia</t>
  </si>
  <si>
    <t>Middle East</t>
  </si>
  <si>
    <t>Aruba</t>
  </si>
  <si>
    <t>Eastern Europe &amp; Russia</t>
  </si>
  <si>
    <t>Armenia</t>
  </si>
  <si>
    <t>Central and South America</t>
  </si>
  <si>
    <t>Argentina</t>
  </si>
  <si>
    <t>Caribbean</t>
  </si>
  <si>
    <t>Angola</t>
  </si>
  <si>
    <t>Australia &amp; New Zealand</t>
  </si>
  <si>
    <t>Andorra (Principality of)</t>
  </si>
  <si>
    <t>Asia</t>
  </si>
  <si>
    <t>Albania</t>
  </si>
  <si>
    <t>Africa</t>
  </si>
  <si>
    <t>Abu Dhabi</t>
  </si>
  <si>
    <t>CRP</t>
  </si>
  <si>
    <t>Default Spread</t>
  </si>
  <si>
    <t>Weighted Average: ERP</t>
  </si>
  <si>
    <t>Region</t>
  </si>
  <si>
    <t>Corporate Tax Rate</t>
  </si>
  <si>
    <t>Total Equity Risk Premium</t>
  </si>
  <si>
    <t>Rating-based Default Spread</t>
  </si>
  <si>
    <t>Moody's rating</t>
  </si>
  <si>
    <t>Changing this number will update all your country equity risk premiums.</t>
  </si>
  <si>
    <t>https://pages.stern.nyu.edu/~adamodar/New_Home_Page/datacurrent.html#discrate</t>
  </si>
  <si>
    <t>Updated July 1, 2022</t>
  </si>
  <si>
    <t>Mature Market ERP +</t>
  </si>
  <si>
    <t>Value of all options outstanding =</t>
  </si>
  <si>
    <t xml:space="preserve">Value per option = </t>
  </si>
  <si>
    <t>N (d2) =</t>
  </si>
  <si>
    <t xml:space="preserve">d2 = </t>
  </si>
  <si>
    <t>N (d1) =</t>
  </si>
  <si>
    <t xml:space="preserve">d1 = </t>
  </si>
  <si>
    <t>Div. Adj. interest rate=</t>
  </si>
  <si>
    <t>Annualized dividend yield=</t>
  </si>
  <si>
    <t>Expiration (in years) =</t>
  </si>
  <si>
    <t>Variance=</t>
  </si>
  <si>
    <t>Adjusted K =</t>
  </si>
  <si>
    <t>T.Bond rate=</t>
  </si>
  <si>
    <t>Adjusted S =</t>
  </si>
  <si>
    <t># Shares outstanding=</t>
  </si>
  <si>
    <t>Strike Price=</t>
  </si>
  <si>
    <t># Warrants issued=</t>
  </si>
  <si>
    <t>Stock Price=</t>
  </si>
  <si>
    <t>VALUING WARRANTS WHEN THERE IS DILUTION</t>
  </si>
  <si>
    <t>Do not input any numbers below this line</t>
  </si>
  <si>
    <t>Enter the number of shares outstanding =</t>
  </si>
  <si>
    <t>Enter the number of warrants (options) outstanding =</t>
  </si>
  <si>
    <t>Enter the treasury bond rate =</t>
  </si>
  <si>
    <t>Enter the annualized dividend yield on stock =</t>
  </si>
  <si>
    <t>(volatility)</t>
  </si>
  <si>
    <t>Enter the standard deviation in stock prices =</t>
  </si>
  <si>
    <t>Enter the expiration of the option =</t>
  </si>
  <si>
    <t>Enter the strike price on the option =</t>
  </si>
  <si>
    <t>Enter the current stock price =</t>
  </si>
  <si>
    <t>Valuing Options or Warrants</t>
  </si>
  <si>
    <t>Do you have employee options outstanding?</t>
  </si>
  <si>
    <t>No</t>
  </si>
  <si>
    <t>Check in Annual Report. Try search "Options","strike"</t>
  </si>
  <si>
    <t>Number of options outstanding</t>
  </si>
  <si>
    <t>Average strike price</t>
  </si>
  <si>
    <t>Try search "Options","strike","exercise price"</t>
  </si>
  <si>
    <t>Average maturity (years)</t>
  </si>
  <si>
    <t xml:space="preserve">&gt; </t>
  </si>
  <si>
    <t>Pricing</t>
  </si>
  <si>
    <t>D&amp;A Schedule</t>
  </si>
  <si>
    <t xml:space="preserve">Sales Volume Growth % </t>
  </si>
  <si>
    <t>Capacity</t>
  </si>
  <si>
    <t>Total revenue</t>
  </si>
  <si>
    <t>DEBT schedule (Net borrowing) (OPTION 2)</t>
  </si>
  <si>
    <t>Working Capital Projections</t>
  </si>
  <si>
    <t>Accounts receivable</t>
  </si>
  <si>
    <t>Prepaid Expenses and others</t>
  </si>
  <si>
    <t>Accounts payable</t>
  </si>
  <si>
    <t xml:space="preserve">Accrued liabilities </t>
  </si>
  <si>
    <t xml:space="preserve">Other current liabilities </t>
  </si>
  <si>
    <r>
      <t>Net Borrowing =</t>
    </r>
    <r>
      <rPr>
        <b/>
        <sz val="13"/>
        <color rgb="FF303030"/>
        <rFont val="Segoe UI"/>
        <family val="2"/>
      </rPr>
      <t> Debt Borrowing </t>
    </r>
    <r>
      <rPr>
        <b/>
        <sz val="13"/>
        <color rgb="FF0B8ECC"/>
        <rFont val="Segoe UI"/>
        <family val="2"/>
      </rPr>
      <t>–</t>
    </r>
    <r>
      <rPr>
        <b/>
        <sz val="13"/>
        <color rgb="FF303030"/>
        <rFont val="Segoe UI"/>
        <family val="2"/>
      </rPr>
      <t> Debt Paydown</t>
    </r>
  </si>
  <si>
    <t>Total Current liabilities</t>
  </si>
  <si>
    <t>%Revenue</t>
  </si>
  <si>
    <t>Increase/Decrease in NWC</t>
  </si>
  <si>
    <t>Assumptions</t>
  </si>
  <si>
    <t>Current assets</t>
  </si>
  <si>
    <t>days A/R outstanding</t>
  </si>
  <si>
    <t>&lt;- same from 2023 to 2028</t>
  </si>
  <si>
    <t>Days inventory held</t>
  </si>
  <si>
    <t>&lt;- same from 2023 to 2029</t>
  </si>
  <si>
    <t>Prepaid and other</t>
  </si>
  <si>
    <t>&lt;- same from 2023 to 2030</t>
  </si>
  <si>
    <t>Current liabilities</t>
  </si>
  <si>
    <t>days payable outstanding</t>
  </si>
  <si>
    <t>accrued liabilties %of sales</t>
  </si>
  <si>
    <t>other current liabilities</t>
  </si>
  <si>
    <t>Operating Schedule</t>
  </si>
  <si>
    <r>
      <t xml:space="preserve">EXISTING ASSET DEPRECIATION </t>
    </r>
    <r>
      <rPr>
        <b/>
        <vertAlign val="superscript"/>
        <sz val="12"/>
        <rFont val="Times New Roman"/>
        <family val="1"/>
      </rPr>
      <t>1</t>
    </r>
  </si>
  <si>
    <r>
      <t xml:space="preserve">NEW ASSET DEPRECIATION </t>
    </r>
    <r>
      <rPr>
        <b/>
        <vertAlign val="superscript"/>
        <sz val="12"/>
        <rFont val="Times New Roman"/>
        <family val="1"/>
      </rPr>
      <t>1</t>
    </r>
  </si>
  <si>
    <r>
      <t xml:space="preserve">TOTAL ASSET DEPRECIATION </t>
    </r>
    <r>
      <rPr>
        <b/>
        <vertAlign val="superscript"/>
        <sz val="12"/>
        <rFont val="Times New Roman"/>
        <family val="1"/>
      </rPr>
      <t>2</t>
    </r>
  </si>
  <si>
    <r>
      <t xml:space="preserve">TAX BASIS </t>
    </r>
    <r>
      <rPr>
        <b/>
        <vertAlign val="superscript"/>
        <sz val="12"/>
        <rFont val="Times New Roman"/>
        <family val="1"/>
      </rPr>
      <t>1</t>
    </r>
  </si>
  <si>
    <r>
      <t xml:space="preserve">ADJUSTMENT FOR TAX LOSSES </t>
    </r>
    <r>
      <rPr>
        <b/>
        <vertAlign val="superscript"/>
        <sz val="12"/>
        <rFont val="Times New Roman"/>
        <family val="1"/>
      </rPr>
      <t>1</t>
    </r>
  </si>
  <si>
    <r>
      <t xml:space="preserve">Less: Use of Tax Losses </t>
    </r>
    <r>
      <rPr>
        <vertAlign val="superscript"/>
        <sz val="12"/>
        <rFont val="Times New Roman"/>
        <family val="1"/>
      </rPr>
      <t>2</t>
    </r>
  </si>
  <si>
    <t>&lt;forcasting needed</t>
  </si>
  <si>
    <t>Total costs(COGS)</t>
  </si>
  <si>
    <t>&lt;-found in the mD&amp;A</t>
  </si>
  <si>
    <t>historical level predictable of future</t>
  </si>
  <si>
    <t>Without guidance = percentage of Revenue</t>
  </si>
  <si>
    <t>Capex G%</t>
  </si>
  <si>
    <t>Financial Ratio analysis</t>
  </si>
  <si>
    <t>Appendix</t>
  </si>
  <si>
    <t>Author:</t>
  </si>
  <si>
    <t>Gross Profit Margin (average for selected period) &gt; 50%</t>
  </si>
  <si>
    <t>Operating Profit Margin (average for selected period) &gt; 20%</t>
  </si>
  <si>
    <t>Cash Conversion Ratio (average for selected period) &gt; 80%</t>
  </si>
  <si>
    <t>ROCE (Return on Capital Employed) over selected period &gt; 15% p.a.</t>
  </si>
  <si>
    <t>Interest Coverage Ratio &gt; 10</t>
  </si>
  <si>
    <t>Free Cash Flow Yield &gt; 3.5%</t>
  </si>
  <si>
    <t>Free cash flow growth over selected period &gt; 5% p.a.</t>
  </si>
  <si>
    <t>Discount to Fair Value using historical free cash flow growth (growth capped at 20% p.a., discount rate = 12%, terminal P/FCF = 15) &gt; 5%</t>
  </si>
  <si>
    <t>Other income (Expense)</t>
  </si>
  <si>
    <t>Financial Fixed Assets</t>
  </si>
  <si>
    <t>Restructuring Expense</t>
  </si>
  <si>
    <t>Sales per share</t>
  </si>
  <si>
    <t>Price to Earnings</t>
  </si>
  <si>
    <t>Pices to Book Value</t>
  </si>
  <si>
    <t>Price to Sales</t>
  </si>
  <si>
    <t>dividend yield</t>
  </si>
  <si>
    <t xml:space="preserve">Trading Multiples (Last 12 Months)  </t>
  </si>
  <si>
    <t>Sales</t>
  </si>
  <si>
    <t>EPS</t>
  </si>
  <si>
    <t>Financial performance projections</t>
  </si>
  <si>
    <t>Sales growth (%)</t>
  </si>
  <si>
    <t>Base</t>
  </si>
  <si>
    <t xml:space="preserve">Best </t>
  </si>
  <si>
    <t>Worst</t>
  </si>
  <si>
    <t>User input</t>
  </si>
  <si>
    <t>Cost of Sales (% of sales)</t>
  </si>
  <si>
    <t>S,G, &amp; A Costs (% of sales)</t>
  </si>
  <si>
    <t>Dep'n and Amortization (% of PPE)</t>
  </si>
  <si>
    <t>Tax rate (%)</t>
  </si>
  <si>
    <t>Working capital and capital expenditures projections</t>
  </si>
  <si>
    <t>Accounts receivable (DSO)</t>
  </si>
  <si>
    <t>Inventories (DIH)</t>
  </si>
  <si>
    <t>Prepaids (% of sales)</t>
  </si>
  <si>
    <t>Other current assets (% of sales)</t>
  </si>
  <si>
    <t>Accounts payable (DPO)</t>
  </si>
  <si>
    <t>Accrued liabilities (% of sales)</t>
  </si>
  <si>
    <t>Other current liabilities (% of sales)</t>
  </si>
  <si>
    <t>Capital expenditures</t>
  </si>
  <si>
    <t>CAPEX (% of growth)</t>
  </si>
  <si>
    <t>More Assumptions</t>
  </si>
  <si>
    <t>Historical Period</t>
  </si>
  <si>
    <t>Projected Period</t>
  </si>
  <si>
    <t>Working Capital and CAPEX Projections</t>
  </si>
  <si>
    <t>Days sales outstanding</t>
  </si>
  <si>
    <t>Prepaids</t>
  </si>
  <si>
    <t>% of sales</t>
  </si>
  <si>
    <t>Other current assets</t>
  </si>
  <si>
    <t>Days payable outstanding</t>
  </si>
  <si>
    <t>Accrued liabilities</t>
  </si>
  <si>
    <t>Other current liabilities</t>
  </si>
  <si>
    <t>as % of sales</t>
  </si>
  <si>
    <t>% of growth</t>
  </si>
  <si>
    <t xml:space="preserve">Property &amp; Plant Equipment </t>
  </si>
  <si>
    <t>Operating Projections</t>
  </si>
  <si>
    <t>Growth %</t>
  </si>
  <si>
    <t>Cost of sales</t>
  </si>
  <si>
    <t>Gross profit</t>
  </si>
  <si>
    <t>Selling, general, &amp; admin</t>
  </si>
  <si>
    <t>Depreciation and amort'n</t>
  </si>
  <si>
    <t>as % of PPE</t>
  </si>
  <si>
    <t>% tax rate</t>
  </si>
  <si>
    <t>EBIAT</t>
  </si>
  <si>
    <t>Add:</t>
  </si>
  <si>
    <t>Add: Depreciation and Amortization</t>
  </si>
  <si>
    <t>Less: CAPEX</t>
  </si>
  <si>
    <t>Less: Inc./(Dec.) in working capital</t>
  </si>
  <si>
    <t>Unlevered free cash flow</t>
  </si>
  <si>
    <t>Discount period</t>
  </si>
  <si>
    <t>Discount factor</t>
  </si>
  <si>
    <t>Present value of free cash flow</t>
  </si>
  <si>
    <t xml:space="preserve">General Information                                                                                   </t>
  </si>
  <si>
    <t>[1]</t>
  </si>
  <si>
    <t xml:space="preserve">Reported Income Statement                                                               </t>
  </si>
  <si>
    <t>[3]</t>
  </si>
  <si>
    <t xml:space="preserve">Balance Sheet Data                                                               </t>
  </si>
  <si>
    <t>Bayan Telecommunications, Inc.</t>
  </si>
  <si>
    <t xml:space="preserve">   Recent Quarter  </t>
  </si>
  <si>
    <t>Cash and cash equivalents</t>
  </si>
  <si>
    <t>Stock Exchange</t>
  </si>
  <si>
    <t>Subsidiary of a public company</t>
  </si>
  <si>
    <t>Year End</t>
  </si>
  <si>
    <t>December 31</t>
  </si>
  <si>
    <t>Invetories</t>
  </si>
  <si>
    <t>Globe Telecommunications, Inc.</t>
  </si>
  <si>
    <t>no breakdown of balances in the source</t>
  </si>
  <si>
    <t>GLO</t>
  </si>
  <si>
    <t>Other (Income)/Expense</t>
  </si>
  <si>
    <t>[2]</t>
  </si>
  <si>
    <t>Property, plant and equipment, net</t>
  </si>
  <si>
    <t>Date announced</t>
  </si>
  <si>
    <t>November 2012</t>
  </si>
  <si>
    <t>Other finance costs</t>
  </si>
  <si>
    <t>Intangible assets</t>
  </si>
  <si>
    <t>Date effective</t>
  </si>
  <si>
    <t>July 2015</t>
  </si>
  <si>
    <t>Other assets</t>
  </si>
  <si>
    <t>Transaction type</t>
  </si>
  <si>
    <t>Income Tax Exp/(Benefit)</t>
  </si>
  <si>
    <t>Purchase consideration</t>
  </si>
  <si>
    <t xml:space="preserve">Cash </t>
  </si>
  <si>
    <t>Preferred Dividends</t>
  </si>
  <si>
    <t xml:space="preserve">Calculation of Equity and Enterprise Value                  </t>
  </si>
  <si>
    <t>Total consideration</t>
  </si>
  <si>
    <t>% purchased</t>
  </si>
  <si>
    <t>Implied equity value</t>
  </si>
  <si>
    <t>Weighted Avg. Diluted Shares</t>
  </si>
  <si>
    <t>Add: Total debt</t>
  </si>
  <si>
    <t>Total debt</t>
  </si>
  <si>
    <t>[7] Tender offer reduced BTI's debt to $131.3 million</t>
  </si>
  <si>
    <t>Add: Preferred stock</t>
  </si>
  <si>
    <t>Other long-term liabilties</t>
  </si>
  <si>
    <t>Add: Noncontrolling interest</t>
  </si>
  <si>
    <t xml:space="preserve">Adjusted Income Statement                                                               </t>
  </si>
  <si>
    <t>Less: Cash and cash equivalents</t>
  </si>
  <si>
    <t>Reported Gross Profit</t>
  </si>
  <si>
    <t>Implied eneterprise value</t>
  </si>
  <si>
    <t>Non-recurring items in COGS</t>
  </si>
  <si>
    <t>Noncontrolling interest</t>
  </si>
  <si>
    <t>Adjusted Gross Profit</t>
  </si>
  <si>
    <t>Preferred stock</t>
  </si>
  <si>
    <t xml:space="preserve">Trading Multiples (Last Twelve Months)                         </t>
  </si>
  <si>
    <t>%margin</t>
  </si>
  <si>
    <t>Common shareholder equity</t>
  </si>
  <si>
    <t>Balancing figure</t>
  </si>
  <si>
    <t>Total Liabilties and Equity</t>
  </si>
  <si>
    <t>Reported EBIT</t>
  </si>
  <si>
    <t>Other non-recurring items</t>
  </si>
  <si>
    <t xml:space="preserve">Adjusted Balance Sheet Data                                                   </t>
  </si>
  <si>
    <t>Adjusted EBIT</t>
  </si>
  <si>
    <t>Appreciated/(impaired) current assets</t>
  </si>
  <si>
    <t>Current asset 1</t>
  </si>
  <si>
    <t>EV/Net Income</t>
  </si>
  <si>
    <t>Current asset 2</t>
  </si>
  <si>
    <t>Adjusted EBITDA</t>
  </si>
  <si>
    <t>Other appreciated/(impaired) assets</t>
  </si>
  <si>
    <t>Price-to-Earnings</t>
  </si>
  <si>
    <t>Assumed all PPE is to be replaced</t>
  </si>
  <si>
    <t>Asset 2</t>
  </si>
  <si>
    <t>Price / MHz x Population</t>
  </si>
  <si>
    <t>Adjusted total assets</t>
  </si>
  <si>
    <t>Other metric 2</t>
  </si>
  <si>
    <t>Reported Net Income</t>
  </si>
  <si>
    <t xml:space="preserve">Premiums Paid                                                                     </t>
  </si>
  <si>
    <t>Increase/(decrease) in total debt</t>
  </si>
  <si>
    <t>Fully dilluted shares</t>
  </si>
  <si>
    <t>Tax Adjustment</t>
  </si>
  <si>
    <t>Debt 1</t>
  </si>
  <si>
    <t>Implied/actual per share acquisition cost</t>
  </si>
  <si>
    <t>Adjusted Net Income</t>
  </si>
  <si>
    <t>Debt 2</t>
  </si>
  <si>
    <t>Adjusted total debt</t>
  </si>
  <si>
    <t>Transaction announcement</t>
  </si>
  <si>
    <t>Closing price 1 day prior</t>
  </si>
  <si>
    <t>Adjusted Diluted EPS</t>
  </si>
  <si>
    <t>Current and other long-term liabilities</t>
  </si>
  <si>
    <t>Unaffected share price</t>
  </si>
  <si>
    <t>Other increase/(decrease) in liabilities</t>
  </si>
  <si>
    <t>1 trade day prior announcement</t>
  </si>
  <si>
    <t xml:space="preserve">Cash Flow Statement Data                                                                 </t>
  </si>
  <si>
    <t>Liability 1</t>
  </si>
  <si>
    <t>7 calendar days prior</t>
  </si>
  <si>
    <t>Liability 2</t>
  </si>
  <si>
    <t>30 calendar days prior</t>
  </si>
  <si>
    <t>%sales</t>
  </si>
  <si>
    <t>Adjusted Total Liabilities</t>
  </si>
  <si>
    <t>Significant non-cash item 1</t>
  </si>
  <si>
    <t xml:space="preserve">Source Documents                                                             </t>
  </si>
  <si>
    <t>Total equity</t>
  </si>
  <si>
    <r>
      <t xml:space="preserve">1. BayanTel Financials, p. 54, Globe D-IS, </t>
    </r>
    <r>
      <rPr>
        <u/>
        <sz val="9"/>
        <color rgb="FF002060"/>
        <rFont val="Arial"/>
        <family val="2"/>
      </rPr>
      <t>https://goo.gl/LhKHWN</t>
    </r>
    <r>
      <rPr>
        <sz val="9"/>
        <color theme="1"/>
        <rFont val="Arial"/>
        <family val="2"/>
      </rPr>
      <t xml:space="preserve">
2. BayanTel Financials, p. 75, Globe D-IS, </t>
    </r>
    <r>
      <rPr>
        <u/>
        <sz val="9"/>
        <color rgb="FF002060"/>
        <rFont val="Arial"/>
        <family val="2"/>
      </rPr>
      <t>https://goo.gl/LhKHWN</t>
    </r>
    <r>
      <rPr>
        <sz val="9"/>
        <color theme="1"/>
        <rFont val="Arial"/>
        <family val="2"/>
      </rPr>
      <t xml:space="preserve">
3. Bayan Tel 2014 BS, p. 191, LPZ SEC 17-1 2014, </t>
    </r>
    <r>
      <rPr>
        <u/>
        <sz val="9"/>
        <color rgb="FF0C125C"/>
        <rFont val="Arial"/>
        <family val="2"/>
      </rPr>
      <t>https://goo.gl/1AtCG8</t>
    </r>
    <r>
      <rPr>
        <sz val="9"/>
        <color theme="1"/>
        <rFont val="Arial"/>
        <family val="2"/>
      </rPr>
      <t xml:space="preserve"> 
4. Announcement to Bayantel Creditors on Tender Offer, December 4, 2012, </t>
    </r>
    <r>
      <rPr>
        <u/>
        <sz val="9"/>
        <color rgb="FF002060"/>
        <rFont val="Arial"/>
        <family val="2"/>
      </rPr>
      <t>https://goo.gl/qZXgrj</t>
    </r>
    <r>
      <rPr>
        <sz val="9"/>
        <color theme="1"/>
        <rFont val="Arial"/>
        <family val="2"/>
      </rPr>
      <t xml:space="preserve">
5. BayanTelecommunications Inc., p. 18, Globe D-IS, </t>
    </r>
    <r>
      <rPr>
        <u/>
        <sz val="9"/>
        <color rgb="FF002060"/>
        <rFont val="Arial"/>
        <family val="2"/>
      </rPr>
      <t>https://goo.gl/LhKHWN</t>
    </r>
    <r>
      <rPr>
        <sz val="9"/>
        <color theme="1"/>
        <rFont val="Arial"/>
        <family val="2"/>
      </rPr>
      <t xml:space="preserve">
6. USD/PHP exchange rate, BSP statistics page, </t>
    </r>
    <r>
      <rPr>
        <u/>
        <sz val="9"/>
        <color rgb="FF002060"/>
        <rFont val="Arial"/>
        <family val="2"/>
      </rPr>
      <t xml:space="preserve">https://goo.gl/6XaLHf
</t>
    </r>
    <r>
      <rPr>
        <sz val="9"/>
        <rFont val="Arial"/>
        <family val="2"/>
      </rPr>
      <t>7. BayanTelecommunications Inc., p. 19, Globe D-IS,</t>
    </r>
    <r>
      <rPr>
        <u/>
        <sz val="9"/>
        <color rgb="FF002060"/>
        <rFont val="Arial"/>
        <family val="2"/>
      </rPr>
      <t xml:space="preserve"> https://goo.gl/LhKHWN</t>
    </r>
    <r>
      <rPr>
        <sz val="9"/>
        <color theme="1"/>
        <rFont val="Arial"/>
        <family val="2"/>
      </rPr>
      <t xml:space="preserve">
8. Globe Commences offer for notes, November 5, 2012 disclosure, </t>
    </r>
    <r>
      <rPr>
        <u/>
        <sz val="9"/>
        <color rgb="FF0C125C"/>
        <rFont val="Arial"/>
        <family val="2"/>
      </rPr>
      <t>https://goo.gl/g8GyDc</t>
    </r>
    <r>
      <rPr>
        <sz val="9"/>
        <color theme="1"/>
        <rFont val="Arial"/>
        <family val="2"/>
      </rPr>
      <t xml:space="preserve">
9. National Telecommunications Commission, List of assigned, returned, and vacant mobile access frequencies, </t>
    </r>
    <r>
      <rPr>
        <u/>
        <sz val="9"/>
        <color rgb="FF0C125C"/>
        <rFont val="Arial"/>
        <family val="2"/>
      </rPr>
      <t>https://goo.gl/e7NdX8</t>
    </r>
    <r>
      <rPr>
        <sz val="9"/>
        <color theme="1"/>
        <rFont val="Arial"/>
        <family val="2"/>
      </rPr>
      <t xml:space="preserve"> 
10. Philippine Statistics Authority, Population Surpassed the 100 million mark, </t>
    </r>
    <r>
      <rPr>
        <u/>
        <sz val="9"/>
        <color rgb="FF0C125C"/>
        <rFont val="Arial"/>
        <family val="2"/>
      </rPr>
      <t>https://goo.gl/WHeQk3</t>
    </r>
  </si>
  <si>
    <t>Significant non-cash item 2</t>
  </si>
  <si>
    <t>Increase/(decrease) in equity items</t>
  </si>
  <si>
    <t>Equity adjustement</t>
  </si>
  <si>
    <t>Adjusted Total Equity</t>
  </si>
  <si>
    <t>Adjusted Total Equity &amp; Liabilities</t>
  </si>
  <si>
    <t xml:space="preserve">Transaction Narratives                                                                         </t>
  </si>
  <si>
    <t xml:space="preserve">Calculation of fully diluted shares (in Millions)                      </t>
  </si>
  <si>
    <t>Basic shares outstanding</t>
  </si>
  <si>
    <t>Add: Net increase in shares from Options</t>
  </si>
  <si>
    <t>Add: Shares from convertible securities</t>
  </si>
  <si>
    <t>Fully Diluted Shares Outstanding</t>
  </si>
  <si>
    <t>Exercisable options/warrants</t>
  </si>
  <si>
    <t>Number</t>
  </si>
  <si>
    <t>Exercise</t>
  </si>
  <si>
    <t>In-the-</t>
  </si>
  <si>
    <t>Net inc.</t>
  </si>
  <si>
    <t>of shares</t>
  </si>
  <si>
    <t>Money</t>
  </si>
  <si>
    <t>in shares</t>
  </si>
  <si>
    <t>Option 1</t>
  </si>
  <si>
    <t>Option 2</t>
  </si>
  <si>
    <t>Warrant 1</t>
  </si>
  <si>
    <t>Warrant 2</t>
  </si>
  <si>
    <t>Convertible securities</t>
  </si>
  <si>
    <t>Conversion</t>
  </si>
  <si>
    <t>CS equiv.</t>
  </si>
  <si>
    <t>Ratio per</t>
  </si>
  <si>
    <t>New</t>
  </si>
  <si>
    <t>Amount</t>
  </si>
  <si>
    <t>per issue</t>
  </si>
  <si>
    <t>issue</t>
  </si>
  <si>
    <t>Issue 1</t>
  </si>
  <si>
    <t>Issue 2</t>
  </si>
  <si>
    <t>Issue 3</t>
  </si>
  <si>
    <t>Noncurrent Assets</t>
  </si>
  <si>
    <t>Property and equipement</t>
  </si>
  <si>
    <t>Invesments in associates and joint ventures</t>
  </si>
  <si>
    <t>Available-for-sale financial investments</t>
  </si>
  <si>
    <t>Financial assets at fair value through PnL</t>
  </si>
  <si>
    <t>Debt instruments at amortized costs - net of current</t>
  </si>
  <si>
    <t>Investments in debt securities and other Long term investments - net of current portion</t>
  </si>
  <si>
    <t>Investment properties</t>
  </si>
  <si>
    <t>Goodwill and intangilbe assets</t>
  </si>
  <si>
    <t>Deferred income tax assets - net</t>
  </si>
  <si>
    <t>Derivative financial assets - net of curretn portion</t>
  </si>
  <si>
    <t>Prepayments - net of current portion</t>
  </si>
  <si>
    <t>Financial assets at fair value through comprehensive income</t>
  </si>
  <si>
    <t>Equity intruments at fair value through other comprehensive income - net of current portion</t>
  </si>
  <si>
    <t>Other financial assets - net of current portion</t>
  </si>
  <si>
    <t>Other non-financial assets - net of current portion</t>
  </si>
  <si>
    <t>Advances and other noncurrent assets - net of current portion</t>
  </si>
  <si>
    <t>Other noncurrent assets</t>
  </si>
  <si>
    <t>Total Noncurrent Assets</t>
  </si>
  <si>
    <t>Short-term investments</t>
  </si>
  <si>
    <t>Trade and other receivables</t>
  </si>
  <si>
    <t>Inventories and supplies</t>
  </si>
  <si>
    <t>Contract assets</t>
  </si>
  <si>
    <t>Current portion of derivative and financial assets</t>
  </si>
  <si>
    <t>Current portion of investment in debt securities and other long-term investments</t>
  </si>
  <si>
    <t>Current portion of prepayments</t>
  </si>
  <si>
    <t>Current portion of equity intrusments at fair value through other comprehensive income</t>
  </si>
  <si>
    <t>Current poriton of other financial assets</t>
  </si>
  <si>
    <t>Current poriton of other non-financial assets</t>
  </si>
  <si>
    <t>Current portion of advances and other noncurrent assets</t>
  </si>
  <si>
    <t>Equity and Liabilities</t>
  </si>
  <si>
    <t>Non-voting serial preferred stock</t>
  </si>
  <si>
    <t>Voting preferred stock</t>
  </si>
  <si>
    <t>Common stock</t>
  </si>
  <si>
    <t>Perpetual notes</t>
  </si>
  <si>
    <t>Treasury stock</t>
  </si>
  <si>
    <t>Treasury shares under employee benefit trust</t>
  </si>
  <si>
    <t>Capital in excess of par value</t>
  </si>
  <si>
    <t>Other equity reserves</t>
  </si>
  <si>
    <t>Retained earnings</t>
  </si>
  <si>
    <t>Other comprehensive loss</t>
  </si>
  <si>
    <t>Common Shareholders Equity</t>
  </si>
  <si>
    <t>Total equity Attributable to Equity Holders</t>
  </si>
  <si>
    <t>Noncontrolling interests</t>
  </si>
  <si>
    <t>Noncurrent Liabilities</t>
  </si>
  <si>
    <t>Interest-bearing financial liabilities - net of current portion</t>
  </si>
  <si>
    <t>Deferred income tax liabilities</t>
  </si>
  <si>
    <t>Derivative financial liabilities - net of current portion</t>
  </si>
  <si>
    <t>Customers' deposits</t>
  </si>
  <si>
    <t>Pension and other employee benefits</t>
  </si>
  <si>
    <t>Deferred credits and other noncurrent liabilities</t>
  </si>
  <si>
    <t>Other noncurrent liabilities</t>
  </si>
  <si>
    <t>Total Noncurrent Liabilities</t>
  </si>
  <si>
    <t>Curent Liabiltiies</t>
  </si>
  <si>
    <t>Accrued expenses and other current liabilities</t>
  </si>
  <si>
    <t>Current portion of interest-bearing finanial liabilities</t>
  </si>
  <si>
    <t>Provision for claims and assessment</t>
  </si>
  <si>
    <t>Dividends payable</t>
  </si>
  <si>
    <t>Current porion of derivative financial liabilities</t>
  </si>
  <si>
    <t>Income tax payable</t>
  </si>
  <si>
    <t>Total current liabiltiies</t>
  </si>
  <si>
    <t>Total Equity and Liabilities</t>
  </si>
  <si>
    <t>Consolidated Statements of Financial Position or Balance Sheet</t>
  </si>
  <si>
    <t>Cash flows from operating activities</t>
  </si>
  <si>
    <t>Income before income tax</t>
  </si>
  <si>
    <t>Adjustments for</t>
  </si>
  <si>
    <t>Depreciation and amortization</t>
  </si>
  <si>
    <t>Asset impairment</t>
  </si>
  <si>
    <t>Interest on loans and other related items - net</t>
  </si>
  <si>
    <t>Impairment of investments</t>
  </si>
  <si>
    <t>Pension benefits costs</t>
  </si>
  <si>
    <t>Amortization of intangible assets</t>
  </si>
  <si>
    <t>Incentive plans</t>
  </si>
  <si>
    <t>Foreign exchange losses - net</t>
  </si>
  <si>
    <t>Accretion of financial liabilities - net</t>
  </si>
  <si>
    <t>Losses (gains) on disposal of property and equipment</t>
  </si>
  <si>
    <t>Gains on disposal of investment properties</t>
  </si>
  <si>
    <t>Losses (gains) on derivative financial instruments - net</t>
  </si>
  <si>
    <t>Equity share in net earnings of associates and joint ventures</t>
  </si>
  <si>
    <t>Gains on disposal of investment in associates and JV</t>
  </si>
  <si>
    <t>Others</t>
  </si>
  <si>
    <t>Operating income before changes in assets and liabilities</t>
  </si>
  <si>
    <t>Decrease (increase) in:</t>
  </si>
  <si>
    <t>Trade and other recievables</t>
  </si>
  <si>
    <t xml:space="preserve">Inventories and supplies </t>
  </si>
  <si>
    <t>Prepayments</t>
  </si>
  <si>
    <t>Advances and other noncurrent assets</t>
  </si>
  <si>
    <t>Increase (decrease) in:</t>
  </si>
  <si>
    <t>Net cash flows generated from operations</t>
  </si>
  <si>
    <t>Income tax paid</t>
  </si>
  <si>
    <t>Net cash flows from operating activities</t>
  </si>
  <si>
    <t>Cash flows from investing activities</t>
  </si>
  <si>
    <t>Interest received</t>
  </si>
  <si>
    <t>Dividends received</t>
  </si>
  <si>
    <t>Proceeds from:</t>
  </si>
  <si>
    <t>Maturity of short-term investments</t>
  </si>
  <si>
    <t>Maturity of investments in debt securities</t>
  </si>
  <si>
    <t>Disposal of investments</t>
  </si>
  <si>
    <t>Disposal of notes receivable</t>
  </si>
  <si>
    <t>Collection of notes receivable</t>
  </si>
  <si>
    <t>Disposal of investments in associates and joint ventures</t>
  </si>
  <si>
    <t>Proceeds from collection of notes receivable</t>
  </si>
  <si>
    <t>Disposal of AFS financial investments</t>
  </si>
  <si>
    <t>Disposal of PPE</t>
  </si>
  <si>
    <t>Redempiton of investment in debt securities</t>
  </si>
  <si>
    <t>Disposal of investment properties</t>
  </si>
  <si>
    <t>Payment for:</t>
  </si>
  <si>
    <t>Purchase of AFS financial investments</t>
  </si>
  <si>
    <t>Acquisition of intangible assets</t>
  </si>
  <si>
    <t>Purchase of shares of noncontrolling interests - net of cash acquired</t>
  </si>
  <si>
    <t>Interest - capitalized to property and equipments</t>
  </si>
  <si>
    <t>Purhcase of investments in associates and JV</t>
  </si>
  <si>
    <t>Purhcase of short-term investments</t>
  </si>
  <si>
    <t>Purchase of PPE</t>
  </si>
  <si>
    <t>CAPEX</t>
  </si>
  <si>
    <t>Purchase of investment properties</t>
  </si>
  <si>
    <t>Purchase of investment in debt securities</t>
  </si>
  <si>
    <t>Deposit for future PDR subscription</t>
  </si>
  <si>
    <t>Purchase of subsidiaries - net of cash acquired</t>
  </si>
  <si>
    <t>Decrease (increase) in advances and other noncurrent assets</t>
  </si>
  <si>
    <t>Net cash flows used in investing activities</t>
  </si>
  <si>
    <t>Cash flows from financing activities</t>
  </si>
  <si>
    <t>Availments of long-term debt</t>
  </si>
  <si>
    <t>Issuance of perpetual notes</t>
  </si>
  <si>
    <t>Availments of long-term financing for CAPEX</t>
  </si>
  <si>
    <t>Derivative financial instruments</t>
  </si>
  <si>
    <t>Deposit for future stock subscription</t>
  </si>
  <si>
    <t>Issuance of capital stock</t>
  </si>
  <si>
    <t>Payments for:</t>
  </si>
  <si>
    <t>Debt issuance costs</t>
  </si>
  <si>
    <t>Distribution charges on perpetual notes</t>
  </si>
  <si>
    <t>Interest - net of capitalized portion</t>
  </si>
  <si>
    <t>Long-term financing for CAPEX</t>
  </si>
  <si>
    <t>Cash dividends</t>
  </si>
  <si>
    <t>Long-term debt</t>
  </si>
  <si>
    <t>Redemption of shares</t>
  </si>
  <si>
    <t>Obligations under finance lease</t>
  </si>
  <si>
    <t>Net cash flows used in financing activities</t>
  </si>
  <si>
    <t>Net of effect of FOREX rate changes in Cash and Cash Equivalents</t>
  </si>
  <si>
    <t>Net increase (decrease) in cash and cash equivalents</t>
  </si>
  <si>
    <t>Cash and cash equivalents at beginning of the year</t>
  </si>
  <si>
    <t>Cash and cash equivalents at end of the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</si>
</sst>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6">
    <numFmt numFmtId="5" formatCode="&quot;$&quot;#,##0_);\(&quot;$&quot;#,##0\)"/>
    <numFmt numFmtId="7" formatCode="&quot;$&quot;#,##0.00_);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;\-&quot;$&quot;#,##0"/>
    <numFmt numFmtId="165" formatCode="_-* #,##0.00_-;\-* #,##0.00_-;_-* &quot;-&quot;??_-;_-@_-"/>
    <numFmt numFmtId="166" formatCode="_(* #,##0_);_(* \(#,##0\);_(* &quot;-&quot;??_);_(@_)"/>
    <numFmt numFmtId="167" formatCode="&quot;$&quot;#,##0_);\(&quot;$&quot;#,##0\);&quot;-&quot;"/>
    <numFmt numFmtId="168" formatCode="0.0%"/>
    <numFmt numFmtId="169" formatCode="0.0\x"/>
    <numFmt numFmtId="170" formatCode="_(* #,##0_);_(* \(#,##0\);_(* &quot;0&quot;_);_(@_)"/>
    <numFmt numFmtId="171" formatCode="0&quot; years&quot;"/>
    <numFmt numFmtId="172" formatCode="0.0&quot; years&quot;"/>
    <numFmt numFmtId="173" formatCode="0&quot;E&quot;"/>
    <numFmt numFmtId="174" formatCode="0&quot;A&quot;"/>
    <numFmt numFmtId="175" formatCode="_(#,##0_);\(#,##0\);_(&quot;–&quot;_);_(@_)"/>
    <numFmt numFmtId="176" formatCode="_(#,##0.0%_);\(#,##0.0%\);_(&quot;–&quot;_)_%;_(@_)_%"/>
    <numFmt numFmtId="177" formatCode="#,##0_);\(#,##0\);\-\-_);@_)"/>
    <numFmt numFmtId="178" formatCode="&quot;$&quot;#,##0_);\(&quot;$&quot;#,##0\)_);&quot;--&quot;_)"/>
    <numFmt numFmtId="179" formatCode="#.##"/>
    <numFmt numFmtId="180" formatCode="_(* #,##0_);_(* \(#,##0\);_(* &quot;   -&quot;?_);_(@_)"/>
    <numFmt numFmtId="181" formatCode="_(* &quot;$&quot;\ #,##0_);_(* &quot;$&quot;\ \(#,##0\);_(* &quot;$  -&quot;?_);_(@_)"/>
    <numFmt numFmtId="182" formatCode="_(* &quot;$&quot;\ #,##0.00_);_(* &quot;$&quot;\ \(#,##0.00\);_(* &quot;$  -&quot;?_);_(@_)"/>
    <numFmt numFmtId="183" formatCode="_(* #,##0.0%;_(* \(#,##0.0\)%"/>
    <numFmt numFmtId="184" formatCode="_(* #,##0.0_);_(* \(#,##0.0\);_(* &quot;   -&quot;?_);_(@_)"/>
    <numFmt numFmtId="185" formatCode="_-* #,##0.00_-;\-* #,##0.00_-;_-* &quot;-&quot;??_-;_-@"/>
    <numFmt numFmtId="186" formatCode="#,##0_ ;\-#,##0\ "/>
    <numFmt numFmtId="187" formatCode="_(* #,##0.00_);_(* \(#,##0.00\);_(* &quot;   -&quot;?_);_(@_)"/>
    <numFmt numFmtId="188" formatCode="_(#,##0.0%;_(* \(#,##0.0\)%"/>
    <numFmt numFmtId="189" formatCode="#,##0.0_ ;\-#,##0.0\ "/>
    <numFmt numFmtId="190" formatCode="&quot;$&quot;#,##0;\(&quot;$&quot;#,##0\)"/>
    <numFmt numFmtId="191" formatCode="_(* #,##0.0000_);_(* \(#,##0.0000\);_(* &quot;-&quot;??_);_(@_)"/>
    <numFmt numFmtId="192" formatCode="&quot;$&quot;#,##0.00"/>
    <numFmt numFmtId="193" formatCode="0.0"/>
    <numFmt numFmtId="194" formatCode="&quot;$&quot;#,##0"/>
    <numFmt numFmtId="195" formatCode="#,##0.0;\-#,##0.0"/>
    <numFmt numFmtId="196" formatCode="#,##0.0000;\-#,##0.0000"/>
    <numFmt numFmtId="197" formatCode="[$-409]mmm\-dd\-yyyy"/>
    <numFmt numFmtId="198" formatCode="_(&quot;$&quot;* #,##0_);_(&quot;$&quot;* \(#,##0\);_(&quot;$&quot;* &quot;-&quot;??_);_(@_)"/>
    <numFmt numFmtId="199" formatCode="0.0000"/>
    <numFmt numFmtId="200" formatCode="_(#,##0.00_);\(#,##0.00\);_(&quot;–&quot;_);_(@_)"/>
    <numFmt numFmtId="201" formatCode="#,##0_);\(#,##0\);\-"/>
    <numFmt numFmtId="202" formatCode="#,##0.00_);\(#,##0.00\);\-"/>
    <numFmt numFmtId="203" formatCode="_(0.0\x_);\(0.0\x\);_(&quot;–&quot;_);_(@_)"/>
    <numFmt numFmtId="204" formatCode="_-* #,##0_-;\(#,##0\)_-;_-* &quot;-&quot;_-;_-@_-"/>
    <numFmt numFmtId="205" formatCode="&quot;Yes&quot;_);&quot;ERROR&quot;_);&quot;No&quot;_);&quot;ERROR&quot;_)"/>
    <numFmt numFmtId="206" formatCode="@\⁽\¹\⁾"/>
    <numFmt numFmtId="207" formatCode="@\⁽\²\⁾"/>
    <numFmt numFmtId="208" formatCode="@\⁽\³\⁾"/>
    <numFmt numFmtId="209" formatCode="@\⁽\⁴\⁾"/>
    <numFmt numFmtId="210" formatCode="_(#,##0%_);\(#,##0%\);_(&quot;–&quot;_)_%;_(@_)_%"/>
    <numFmt numFmtId="211" formatCode="_(#,##0.0_);\(#,##0.0\);_(&quot;–&quot;_);_(@_)"/>
    <numFmt numFmtId="212" formatCode="_(#,##0_)_%;\(#,##0\)_%;_(&quot;–&quot;_)_%;_(@_)_%"/>
    <numFmt numFmtId="213" formatCode="0&quot;F&quot;"/>
    <numFmt numFmtId="214" formatCode="&quot;Yr&quot;\ 0_)"/>
    <numFmt numFmtId="215" formatCode="0&quot;F&quot;\ "/>
    <numFmt numFmtId="216" formatCode="#,##0.0_);\(#,##0.0\);\-"/>
    <numFmt numFmtId="217" formatCode="[=1]&quot;Yes&quot;_);[=0]&quot;No&quot;_)"/>
    <numFmt numFmtId="218" formatCode="0000\A"/>
    <numFmt numFmtId="219" formatCode="0000\F"/>
    <numFmt numFmtId="220" formatCode="yyyy\-mm\-dd;@"/>
    <numFmt numFmtId="221" formatCode="#,##0;\(#,##0\);\-\-"/>
    <numFmt numFmtId="222" formatCode="#,##0.0;\(#,##0.0\);\-\-"/>
    <numFmt numFmtId="223" formatCode="_(* #,##0.000%;_(* \(#,##0.000\)%"/>
    <numFmt numFmtId="224" formatCode="0.0%;\(0.0\)%"/>
    <numFmt numFmtId="225" formatCode="_(* &quot;$&quot;#,##0.0_);_(* \(&quot;$&quot;#,##0.0\);_(* &quot;-&quot;??_);_(@_)"/>
    <numFmt numFmtId="226" formatCode="_(* #,##0.0_);_(* \(#,##0.0\);_(* &quot;-&quot;??_);_(@_)"/>
    <numFmt numFmtId="227" formatCode="_(* 0.0\x;_(* \-0.0\x"/>
    <numFmt numFmtId="228" formatCode="#,##0_);[Red]\(#,##0\);\-"/>
    <numFmt numFmtId="229" formatCode="#,##0;\(#,##0\)"/>
    <numFmt numFmtId="230" formatCode="#,##0.00;\(#,##0.00\)"/>
    <numFmt numFmtId="231" formatCode="0.0%_);\(0.0%\)_);&quot;--&quot;_);@_)"/>
    <numFmt numFmtId="232" formatCode="@_)"/>
    <numFmt numFmtId="233" formatCode="#,##0_);\(#,##0\)_);&quot;--&quot;_)"/>
    <numFmt numFmtId="234" formatCode="&quot;$&quot;#,##0.00_);\(&quot;$&quot;#,##0.00\)_);&quot;--&quot;_)"/>
    <numFmt numFmtId="235" formatCode="&quot;$&quot;#,##0_);\(&quot;$&quot;#,##0\);\-\-_);@_)"/>
    <numFmt numFmtId="236" formatCode="#,##0.0%_);\(#,##0.0%\);\-\-_);@_)"/>
    <numFmt numFmtId="237" formatCode="0.000%"/>
    <numFmt numFmtId="238" formatCode="_(\$* #,##0_);_(\$* \(#,##0\);_(\$* \-??_);_(@_)"/>
    <numFmt numFmtId="239" formatCode="\$#,##0.00_);[Red]&quot;($&quot;#,##0.00\)"/>
    <numFmt numFmtId="240" formatCode="_(\$* #,##0.00_);_(\$* \(#,##0.00\);_(\$* \-??_);_(@_)"/>
    <numFmt numFmtId="241" formatCode="#,##0.0000"/>
    <numFmt numFmtId="242" formatCode="\$#,##0.00"/>
    <numFmt numFmtId="245" formatCode="_(* #,##0.0,,_);_(* \(#,##0.0,,\);_(* &quot;-&quot;??_);_(@_)"/>
    <numFmt numFmtId="246" formatCode="_-* #,##0.0_-;\-* #,##0.0_-;_-* &quot;-&quot;?_-;_-@_-"/>
  </numFmts>
  <fonts count="228">
    <font>
      <sz val="11"/>
      <color theme="1"/>
      <name val="Arial Narrow"/>
      <scheme val="minor"/>
    </font>
    <font>
      <sz val="11"/>
      <color theme="1"/>
      <name val="Arial Narrow"/>
      <family val="2"/>
      <scheme val="minor"/>
    </font>
    <font>
      <sz val="11"/>
      <color theme="1"/>
      <name val="Arial Narrow"/>
      <family val="2"/>
      <scheme val="minor"/>
    </font>
    <font>
      <sz val="11"/>
      <color theme="1"/>
      <name val="Arial Narrow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i/>
      <sz val="12"/>
      <color theme="0"/>
      <name val="Arial Narrow"/>
      <family val="2"/>
    </font>
    <font>
      <b/>
      <sz val="12"/>
      <color theme="1"/>
      <name val="Arial Narrow"/>
      <family val="2"/>
    </font>
    <font>
      <sz val="11"/>
      <name val="Arial Narrow"/>
      <family val="2"/>
    </font>
    <font>
      <sz val="12"/>
      <color theme="1"/>
      <name val="Arial Narrow"/>
      <family val="2"/>
    </font>
    <font>
      <sz val="11"/>
      <color rgb="FF0000FF"/>
      <name val="Arial Narrow"/>
      <family val="2"/>
    </font>
    <font>
      <sz val="12"/>
      <color rgb="FF7F7F7F"/>
      <name val="Arial Narrow"/>
      <family val="2"/>
    </font>
    <font>
      <b/>
      <sz val="12"/>
      <color theme="0"/>
      <name val="Arial Narrow"/>
      <family val="2"/>
    </font>
    <font>
      <b/>
      <u/>
      <sz val="12"/>
      <color theme="1"/>
      <name val="Arial Narrow"/>
      <family val="2"/>
    </font>
    <font>
      <sz val="12"/>
      <color rgb="FF0000FF"/>
      <name val="Arial Narrow"/>
      <family val="2"/>
    </font>
    <font>
      <i/>
      <sz val="10"/>
      <color theme="1"/>
      <name val="Arial Narrow"/>
      <family val="2"/>
    </font>
    <font>
      <sz val="12"/>
      <color rgb="FF1F995B"/>
      <name val="Arial Narrow"/>
      <family val="2"/>
    </font>
    <font>
      <sz val="10"/>
      <color theme="1"/>
      <name val="Arial Narrow"/>
      <family val="2"/>
    </font>
    <font>
      <b/>
      <u/>
      <sz val="12"/>
      <color theme="1"/>
      <name val="Arial Narrow"/>
      <family val="2"/>
    </font>
    <font>
      <sz val="11"/>
      <color rgb="FF1F995B"/>
      <name val="Arial Narrow"/>
      <family val="2"/>
    </font>
    <font>
      <sz val="11"/>
      <color rgb="FF333333"/>
      <name val="Arial"/>
      <family val="2"/>
    </font>
    <font>
      <sz val="11"/>
      <color rgb="FF1E1E1E"/>
      <name val="Microsoft JhengHei"/>
      <family val="2"/>
    </font>
    <font>
      <b/>
      <sz val="11"/>
      <color theme="0"/>
      <name val="Arial Narrow"/>
      <family val="2"/>
    </font>
    <font>
      <b/>
      <sz val="10"/>
      <color rgb="FF000000"/>
      <name val="Open Sans"/>
    </font>
    <font>
      <sz val="12"/>
      <color theme="1"/>
      <name val="Open Sans"/>
    </font>
    <font>
      <b/>
      <sz val="14"/>
      <color theme="0"/>
      <name val="Open Sans"/>
    </font>
    <font>
      <sz val="10"/>
      <color rgb="FF000000"/>
      <name val="Open Sans"/>
    </font>
    <font>
      <i/>
      <sz val="8"/>
      <color theme="1"/>
      <name val="Open Sans"/>
    </font>
    <font>
      <sz val="10"/>
      <color rgb="FF3271D2"/>
      <name val="Open Sans"/>
    </font>
    <font>
      <sz val="10"/>
      <color theme="1"/>
      <name val="Open Sans"/>
    </font>
    <font>
      <b/>
      <sz val="14"/>
      <color rgb="FF3271D2"/>
      <name val="Open Sans"/>
    </font>
    <font>
      <sz val="11"/>
      <color theme="1"/>
      <name val="Open Sans"/>
    </font>
    <font>
      <b/>
      <sz val="10"/>
      <color theme="1"/>
      <name val="Open Sans"/>
    </font>
    <font>
      <sz val="11"/>
      <color rgb="FFFF0000"/>
      <name val="Arial Narrow"/>
      <family val="2"/>
    </font>
    <font>
      <i/>
      <sz val="11"/>
      <color theme="1"/>
      <name val="Arial Narrow"/>
      <family val="2"/>
    </font>
    <font>
      <b/>
      <sz val="11"/>
      <color rgb="FF1F995B"/>
      <name val="Arial Narrow"/>
      <family val="2"/>
    </font>
    <font>
      <b/>
      <sz val="10"/>
      <color theme="1"/>
      <name val="Arial"/>
      <family val="2"/>
    </font>
    <font>
      <sz val="11"/>
      <color theme="1"/>
      <name val="Arial Narrow"/>
      <family val="2"/>
      <scheme val="minor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rgb="FF0000FF"/>
      <name val="Arial"/>
      <family val="2"/>
    </font>
    <font>
      <sz val="10"/>
      <color rgb="FF0000FF"/>
      <name val="Arial"/>
      <family val="2"/>
    </font>
    <font>
      <u/>
      <sz val="10"/>
      <color rgb="FF0000FF"/>
      <name val="Arial"/>
      <family val="2"/>
    </font>
    <font>
      <i/>
      <sz val="10"/>
      <color rgb="FF0000FF"/>
      <name val="Arial"/>
      <family val="2"/>
    </font>
    <font>
      <b/>
      <sz val="12"/>
      <color rgb="FF0000FF"/>
      <name val="Arial"/>
      <family val="2"/>
    </font>
    <font>
      <sz val="9"/>
      <color rgb="FF0000FF"/>
      <name val="Arial"/>
      <family val="2"/>
    </font>
    <font>
      <i/>
      <sz val="9"/>
      <color rgb="FF0000FF"/>
      <name val="Arial"/>
      <family val="2"/>
    </font>
    <font>
      <sz val="10"/>
      <color rgb="FFFFFFFF"/>
      <name val="Arial"/>
      <family val="2"/>
    </font>
    <font>
      <b/>
      <sz val="11"/>
      <color rgb="FFD9E2F3"/>
      <name val="Arial Narrow"/>
      <family val="2"/>
    </font>
    <font>
      <sz val="11"/>
      <color theme="0"/>
      <name val="Arial Narrow"/>
      <family val="2"/>
    </font>
    <font>
      <b/>
      <sz val="12"/>
      <color rgb="FF0000FF"/>
      <name val="Arial Narrow"/>
      <family val="2"/>
    </font>
    <font>
      <b/>
      <sz val="11"/>
      <color rgb="FF0000FF"/>
      <name val="Arial Narrow"/>
      <family val="2"/>
    </font>
    <font>
      <i/>
      <sz val="12"/>
      <color rgb="FF0000FF"/>
      <name val="Arial Narrow"/>
      <family val="2"/>
    </font>
    <font>
      <i/>
      <sz val="12"/>
      <color theme="1"/>
      <name val="Arial Narrow"/>
      <family val="2"/>
    </font>
    <font>
      <sz val="11"/>
      <color rgb="FF808080"/>
      <name val="Arial Narrow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</font>
    <font>
      <sz val="9"/>
      <color rgb="FF000000"/>
      <name val="Arimo"/>
    </font>
    <font>
      <b/>
      <u/>
      <sz val="11"/>
      <color theme="1"/>
      <name val="Arial Narrow"/>
      <family val="2"/>
    </font>
    <font>
      <b/>
      <u/>
      <sz val="11"/>
      <color theme="1"/>
      <name val="Arial Narrow"/>
      <family val="2"/>
    </font>
    <font>
      <sz val="8"/>
      <color theme="1"/>
      <name val="Arial Narrow"/>
      <family val="2"/>
    </font>
    <font>
      <b/>
      <sz val="8"/>
      <color theme="1"/>
      <name val="Arial Narrow"/>
      <family val="2"/>
    </font>
    <font>
      <i/>
      <sz val="8"/>
      <color theme="1"/>
      <name val="Arial Narrow"/>
      <family val="2"/>
    </font>
    <font>
      <sz val="11"/>
      <color rgb="FF160DC9"/>
      <name val="Arial Narrow"/>
      <family val="2"/>
    </font>
    <font>
      <u/>
      <sz val="11"/>
      <color theme="10"/>
      <name val="Arial Narrow"/>
      <family val="2"/>
    </font>
    <font>
      <sz val="12"/>
      <color theme="0"/>
      <name val="Arial Narrow"/>
      <family val="2"/>
    </font>
    <font>
      <sz val="11"/>
      <color rgb="FF000000"/>
      <name val="Arial Narrow"/>
      <family val="2"/>
    </font>
    <font>
      <b/>
      <sz val="10"/>
      <color theme="1"/>
      <name val="Arial Narrow"/>
      <family val="2"/>
    </font>
    <font>
      <b/>
      <sz val="10"/>
      <color theme="0"/>
      <name val="Arial Narrow"/>
      <family val="2"/>
    </font>
    <font>
      <sz val="10"/>
      <color rgb="FF0000FF"/>
      <name val="Arial Narrow"/>
      <family val="2"/>
    </font>
    <font>
      <sz val="11"/>
      <color rgb="FFFF0000"/>
      <name val="Calibri"/>
      <family val="2"/>
    </font>
    <font>
      <sz val="11"/>
      <color rgb="FF080886"/>
      <name val="Arial Narrow"/>
      <family val="2"/>
    </font>
    <font>
      <sz val="11"/>
      <color rgb="FF080886"/>
      <name val="Calibri"/>
      <family val="2"/>
    </font>
    <font>
      <sz val="11"/>
      <color rgb="FFC00000"/>
      <name val="Calibri"/>
      <family val="2"/>
    </font>
    <font>
      <sz val="11"/>
      <color rgb="FFC00000"/>
      <name val="Arial Narrow"/>
      <family val="2"/>
    </font>
    <font>
      <sz val="10"/>
      <color rgb="FFFFFFFF"/>
      <name val="Symbol"/>
      <family val="1"/>
      <charset val="2"/>
    </font>
    <font>
      <b/>
      <i/>
      <sz val="11"/>
      <color rgb="FFD9E2F3"/>
      <name val="Arial Narrow"/>
      <family val="2"/>
    </font>
    <font>
      <b/>
      <i/>
      <sz val="11"/>
      <color theme="1"/>
      <name val="Arial Narrow"/>
      <family val="2"/>
    </font>
    <font>
      <b/>
      <vertAlign val="superscript"/>
      <sz val="12"/>
      <color theme="1"/>
      <name val="Arial Narrow"/>
      <family val="2"/>
    </font>
    <font>
      <vertAlign val="superscript"/>
      <sz val="12"/>
      <color theme="1"/>
      <name val="Arial Narrow"/>
      <family val="2"/>
    </font>
    <font>
      <b/>
      <u/>
      <vertAlign val="superscript"/>
      <sz val="11"/>
      <color theme="1"/>
      <name val="Arial Narrow"/>
      <family val="2"/>
    </font>
    <font>
      <sz val="11"/>
      <color theme="1"/>
      <name val="Arial Narrow"/>
      <family val="2"/>
      <scheme val="minor"/>
    </font>
    <font>
      <b/>
      <sz val="11"/>
      <color theme="1"/>
      <name val="Arial Narrow"/>
      <family val="2"/>
      <scheme val="minor"/>
    </font>
    <font>
      <b/>
      <sz val="11"/>
      <name val="Arial Narrow"/>
      <family val="2"/>
    </font>
    <font>
      <sz val="11"/>
      <color theme="1"/>
      <name val="Arial Narrow"/>
      <family val="2"/>
      <scheme val="minor"/>
    </font>
    <font>
      <b/>
      <sz val="10"/>
      <color theme="1"/>
      <name val="Open Sans"/>
      <family val="2"/>
    </font>
    <font>
      <sz val="11"/>
      <color theme="1"/>
      <name val="Open Sans"/>
      <family val="2"/>
    </font>
    <font>
      <sz val="10"/>
      <color theme="1"/>
      <name val="Open Sans"/>
      <family val="2"/>
    </font>
    <font>
      <i/>
      <sz val="10"/>
      <color theme="1"/>
      <name val="Open Sans"/>
      <family val="2"/>
    </font>
    <font>
      <sz val="10"/>
      <color rgb="FF000000"/>
      <name val="Open Sans"/>
      <family val="2"/>
    </font>
    <font>
      <i/>
      <sz val="9"/>
      <color theme="1"/>
      <name val="Open Sans"/>
      <family val="2"/>
    </font>
    <font>
      <i/>
      <sz val="9"/>
      <color rgb="FF000000"/>
      <name val="Open Sans"/>
      <family val="2"/>
    </font>
    <font>
      <b/>
      <vertAlign val="superscript"/>
      <sz val="10"/>
      <color theme="1"/>
      <name val="Open Sans"/>
      <family val="2"/>
    </font>
    <font>
      <sz val="11"/>
      <color rgb="FF000000"/>
      <name val="Open Sans"/>
      <family val="2"/>
    </font>
    <font>
      <b/>
      <sz val="10"/>
      <color rgb="FF000000"/>
      <name val="Open Sans"/>
      <family val="2"/>
    </font>
    <font>
      <sz val="11"/>
      <color theme="0"/>
      <name val="Open Sans"/>
      <family val="2"/>
    </font>
    <font>
      <sz val="9"/>
      <name val="Open Sans"/>
      <family val="2"/>
    </font>
    <font>
      <i/>
      <sz val="10"/>
      <color rgb="FF000000"/>
      <name val="Open Sans"/>
      <family val="2"/>
    </font>
    <font>
      <sz val="10"/>
      <name val="Open Sans"/>
      <family val="2"/>
    </font>
    <font>
      <sz val="9"/>
      <color theme="0"/>
      <name val="Open Sans"/>
      <family val="2"/>
    </font>
    <font>
      <sz val="10"/>
      <color rgb="FF3271D2"/>
      <name val="Open Sans"/>
      <family val="2"/>
    </font>
    <font>
      <sz val="10"/>
      <name val="Bookman"/>
      <family val="1"/>
    </font>
    <font>
      <i/>
      <sz val="8"/>
      <color theme="1"/>
      <name val="Open Sans"/>
      <family val="2"/>
    </font>
    <font>
      <i/>
      <sz val="8"/>
      <color rgb="FF000000"/>
      <name val="Open Sans"/>
      <family val="2"/>
    </font>
    <font>
      <vertAlign val="superscript"/>
      <sz val="10"/>
      <color theme="1"/>
      <name val="Open Sans"/>
      <family val="2"/>
    </font>
    <font>
      <i/>
      <sz val="11"/>
      <color rgb="FF000000"/>
      <name val="Open Sans"/>
      <family val="2"/>
    </font>
    <font>
      <u/>
      <sz val="10"/>
      <color theme="10"/>
      <name val="Arial"/>
      <family val="2"/>
    </font>
    <font>
      <b/>
      <sz val="10"/>
      <color theme="0"/>
      <name val="Open Sans"/>
      <family val="2"/>
    </font>
    <font>
      <sz val="9"/>
      <color rgb="FF000000"/>
      <name val="Open Sans"/>
      <family val="2"/>
    </font>
    <font>
      <sz val="11"/>
      <name val="Open Sans"/>
      <family val="2"/>
    </font>
    <font>
      <i/>
      <sz val="10"/>
      <name val="Open Sans"/>
      <family val="2"/>
    </font>
    <font>
      <sz val="10"/>
      <color rgb="FF0000FF"/>
      <name val="Open Sans"/>
      <family val="2"/>
    </font>
    <font>
      <sz val="12"/>
      <color theme="1"/>
      <name val="Open Sans"/>
      <family val="2"/>
    </font>
    <font>
      <b/>
      <sz val="14"/>
      <color theme="0"/>
      <name val="Open Sans"/>
      <family val="2"/>
    </font>
    <font>
      <b/>
      <u/>
      <sz val="11"/>
      <color theme="1"/>
      <name val="Arial Narrow"/>
      <family val="2"/>
      <scheme val="minor"/>
    </font>
    <font>
      <sz val="14"/>
      <color theme="1"/>
      <name val="Open Sans"/>
      <family val="2"/>
    </font>
    <font>
      <b/>
      <sz val="10"/>
      <name val="Open Sans"/>
      <family val="2"/>
    </font>
    <font>
      <i/>
      <sz val="9"/>
      <name val="Open Sans"/>
      <family val="2"/>
    </font>
    <font>
      <sz val="10"/>
      <color theme="0"/>
      <name val="Open Sans"/>
      <family val="2"/>
    </font>
    <font>
      <b/>
      <sz val="14"/>
      <color rgb="FF0000FF"/>
      <name val="Open Sans"/>
      <family val="2"/>
    </font>
    <font>
      <b/>
      <sz val="10"/>
      <color rgb="FF0000FF"/>
      <name val="Open Sans"/>
      <family val="2"/>
    </font>
    <font>
      <b/>
      <sz val="14"/>
      <name val="Open Sans"/>
      <family val="2"/>
    </font>
    <font>
      <b/>
      <sz val="10"/>
      <name val="Open Sans"/>
    </font>
    <font>
      <b/>
      <u/>
      <sz val="10"/>
      <name val="Open Sans"/>
      <family val="2"/>
    </font>
    <font>
      <sz val="10"/>
      <name val="Arial"/>
      <family val="2"/>
    </font>
    <font>
      <sz val="11"/>
      <color rgb="FFFA621C"/>
      <name val="Open Sans"/>
      <family val="2"/>
    </font>
    <font>
      <sz val="10"/>
      <color rgb="FFFA621C"/>
      <name val="Open Sans"/>
      <family val="2"/>
    </font>
    <font>
      <b/>
      <sz val="10"/>
      <color rgb="FFFA621C"/>
      <name val="Open Sans"/>
      <family val="2"/>
    </font>
    <font>
      <sz val="10"/>
      <color rgb="FF289A72"/>
      <name val="Open Sans"/>
      <family val="2"/>
    </font>
    <font>
      <b/>
      <sz val="10"/>
      <color theme="0"/>
      <name val="Arial"/>
      <family val="2"/>
    </font>
    <font>
      <sz val="10"/>
      <color indexed="12"/>
      <name val="Arial"/>
      <family val="2"/>
    </font>
    <font>
      <sz val="9"/>
      <color indexed="12"/>
      <name val="Arial"/>
      <family val="2"/>
    </font>
    <font>
      <b/>
      <sz val="10"/>
      <name val="Arial"/>
      <family val="2"/>
    </font>
    <font>
      <u val="singleAccounting"/>
      <sz val="10"/>
      <name val="Arial"/>
      <family val="2"/>
    </font>
    <font>
      <b/>
      <sz val="10"/>
      <color indexed="12"/>
      <name val="Arial"/>
      <family val="2"/>
    </font>
    <font>
      <i/>
      <sz val="9"/>
      <color indexed="12"/>
      <name val="Arial"/>
      <family val="2"/>
    </font>
    <font>
      <b/>
      <sz val="12"/>
      <color indexed="12"/>
      <name val="Arial"/>
      <family val="2"/>
    </font>
    <font>
      <b/>
      <sz val="14"/>
      <name val="Arial"/>
      <family val="2"/>
    </font>
    <font>
      <u/>
      <sz val="10"/>
      <color indexed="12"/>
      <name val="Arial"/>
      <family val="2"/>
    </font>
    <font>
      <u/>
      <sz val="10"/>
      <name val="Arial"/>
      <family val="2"/>
    </font>
    <font>
      <u val="singleAccounting"/>
      <sz val="10"/>
      <color indexed="12"/>
      <name val="Arial"/>
      <family val="2"/>
    </font>
    <font>
      <sz val="8"/>
      <color indexed="12"/>
      <name val="Arial"/>
      <family val="2"/>
    </font>
    <font>
      <b/>
      <sz val="10"/>
      <color indexed="9"/>
      <name val="Arial"/>
      <family val="2"/>
    </font>
    <font>
      <b/>
      <sz val="10"/>
      <color rgb="FF3271D2"/>
      <name val="Open Sans"/>
      <family val="2"/>
    </font>
    <font>
      <sz val="11"/>
      <color rgb="FF3271D2"/>
      <name val="Arial Narrow"/>
      <family val="2"/>
    </font>
    <font>
      <sz val="10"/>
      <color theme="1"/>
      <name val="Arial Narrow"/>
      <family val="2"/>
      <scheme val="minor"/>
    </font>
    <font>
      <b/>
      <sz val="10"/>
      <color theme="1"/>
      <name val="Arial Narrow"/>
      <family val="2"/>
      <scheme val="minor"/>
    </font>
    <font>
      <sz val="10"/>
      <name val="Open Sans"/>
    </font>
    <font>
      <sz val="12"/>
      <name val="Arial Narrow"/>
      <family val="2"/>
    </font>
    <font>
      <sz val="10"/>
      <color theme="0"/>
      <name val="Arial"/>
      <family val="2"/>
    </font>
    <font>
      <sz val="11"/>
      <name val="Arial Narrow"/>
      <family val="2"/>
      <scheme val="minor"/>
    </font>
    <font>
      <sz val="10"/>
      <name val="Arial Narrow"/>
      <family val="2"/>
      <scheme val="minor"/>
    </font>
    <font>
      <sz val="10"/>
      <color rgb="FF0000FF"/>
      <name val="Arial Narrow"/>
      <family val="2"/>
      <scheme val="minor"/>
    </font>
    <font>
      <b/>
      <sz val="10"/>
      <name val="Arial Narrow"/>
      <family val="2"/>
      <scheme val="minor"/>
    </font>
    <font>
      <b/>
      <sz val="10"/>
      <color rgb="FF0000FF"/>
      <name val="Arial Narrow"/>
      <family val="2"/>
      <scheme val="minor"/>
    </font>
    <font>
      <i/>
      <sz val="10"/>
      <color rgb="FF9C0006"/>
      <name val="Arial Narrow"/>
      <family val="2"/>
      <scheme val="minor"/>
    </font>
    <font>
      <sz val="10"/>
      <color rgb="FF006100"/>
      <name val="Arial Narrow"/>
      <family val="2"/>
      <scheme val="minor"/>
    </font>
    <font>
      <sz val="10"/>
      <color rgb="FF9C5700"/>
      <name val="Arial Narrow"/>
      <family val="2"/>
      <scheme val="minor"/>
    </font>
    <font>
      <b/>
      <sz val="10"/>
      <color theme="0"/>
      <name val="Arial Narrow"/>
      <family val="2"/>
      <scheme val="minor"/>
    </font>
    <font>
      <sz val="10"/>
      <color rgb="FF3F3F76"/>
      <name val="Arial Narrow"/>
      <family val="2"/>
      <scheme val="minor"/>
    </font>
    <font>
      <sz val="10"/>
      <color rgb="FFFA7D00"/>
      <name val="Arial Narrow"/>
      <family val="2"/>
      <scheme val="minor"/>
    </font>
    <font>
      <i/>
      <sz val="10"/>
      <color rgb="FF7F7F7F"/>
      <name val="Arial"/>
      <family val="2"/>
    </font>
    <font>
      <b/>
      <sz val="10"/>
      <color rgb="FFFA7D00"/>
      <name val="Perpetua"/>
      <family val="1"/>
    </font>
    <font>
      <sz val="9"/>
      <color theme="1"/>
      <name val="Arial"/>
      <family val="2"/>
    </font>
    <font>
      <sz val="9"/>
      <color theme="1"/>
      <name val="Times New Roman"/>
      <family val="1"/>
    </font>
    <font>
      <b/>
      <u/>
      <sz val="9"/>
      <color theme="0"/>
      <name val="Arial"/>
      <family val="2"/>
    </font>
    <font>
      <sz val="9"/>
      <color theme="0"/>
      <name val="Arial"/>
      <family val="2"/>
    </font>
    <font>
      <b/>
      <sz val="9"/>
      <color theme="1"/>
      <name val="Arial"/>
      <family val="2"/>
    </font>
    <font>
      <b/>
      <sz val="9"/>
      <color rgb="FFFFC000"/>
      <name val="Arial"/>
      <family val="2"/>
    </font>
    <font>
      <b/>
      <sz val="9"/>
      <color rgb="FF0070C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1"/>
      <color theme="1"/>
      <name val="Arial Narrow"/>
      <family val="2"/>
      <scheme val="minor"/>
    </font>
    <font>
      <sz val="10"/>
      <color theme="1"/>
      <name val="Times New Roman"/>
      <family val="1"/>
    </font>
    <font>
      <b/>
      <sz val="12"/>
      <color theme="1"/>
      <name val="Times New Roman"/>
      <family val="1"/>
    </font>
    <font>
      <sz val="9"/>
      <color theme="1"/>
      <name val="Arial Narrow"/>
      <family val="2"/>
      <scheme val="minor"/>
    </font>
    <font>
      <sz val="9"/>
      <color theme="1"/>
      <name val="Arimo"/>
    </font>
    <font>
      <sz val="9"/>
      <color rgb="FF000000"/>
      <name val="Arial Narrow"/>
      <family val="2"/>
      <scheme val="minor"/>
    </font>
    <font>
      <sz val="8"/>
      <color theme="1"/>
      <name val="Arial"/>
      <family val="2"/>
    </font>
    <font>
      <i/>
      <sz val="9"/>
      <color theme="1"/>
      <name val="Arimo"/>
    </font>
    <font>
      <sz val="9"/>
      <color theme="1"/>
      <name val="Calibri"/>
      <family val="2"/>
    </font>
    <font>
      <sz val="12"/>
      <color theme="1"/>
      <name val="Times"/>
    </font>
    <font>
      <sz val="12"/>
      <color theme="1"/>
      <name val="Calibri"/>
      <family val="2"/>
    </font>
    <font>
      <sz val="8"/>
      <color theme="1"/>
      <name val="Arimo"/>
    </font>
    <font>
      <i/>
      <sz val="8"/>
      <color theme="1"/>
      <name val="Arimo"/>
    </font>
    <font>
      <i/>
      <sz val="12"/>
      <color theme="1"/>
      <name val="Times"/>
    </font>
    <font>
      <u/>
      <sz val="8"/>
      <color rgb="FF0000FF"/>
      <name val="Arimo"/>
    </font>
    <font>
      <b/>
      <sz val="10"/>
      <color theme="1"/>
      <name val="Times New Roman"/>
      <family val="1"/>
    </font>
    <font>
      <i/>
      <sz val="10"/>
      <color theme="1"/>
      <name val="Arimo"/>
    </font>
    <font>
      <i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4"/>
      <color theme="1"/>
      <name val="Arimo"/>
    </font>
    <font>
      <b/>
      <sz val="14"/>
      <color theme="1"/>
      <name val="Times New Roman"/>
      <family val="1"/>
    </font>
    <font>
      <sz val="10"/>
      <color theme="1"/>
      <name val="Calibri"/>
      <family val="2"/>
    </font>
    <font>
      <i/>
      <sz val="10"/>
      <color rgb="FFFF0000"/>
      <name val="Calibri"/>
      <family val="2"/>
    </font>
    <font>
      <i/>
      <sz val="10"/>
      <color theme="1"/>
      <name val="Calibri"/>
      <family val="2"/>
    </font>
    <font>
      <b/>
      <sz val="13"/>
      <color rgb="FF0B8ECC"/>
      <name val="Segoe UI"/>
      <family val="2"/>
    </font>
    <font>
      <b/>
      <sz val="13"/>
      <color rgb="FF303030"/>
      <name val="Segoe UI"/>
      <family val="2"/>
    </font>
    <font>
      <b/>
      <sz val="10"/>
      <name val="Times New Roman"/>
      <family val="1"/>
    </font>
    <font>
      <i/>
      <sz val="12"/>
      <name val="Times New Roman"/>
      <family val="1"/>
    </font>
    <font>
      <b/>
      <sz val="12"/>
      <color theme="0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sz val="12"/>
      <color rgb="FF3271D2"/>
      <name val="Times New Roman"/>
      <family val="1"/>
    </font>
    <font>
      <sz val="12"/>
      <color rgb="FF0000FF"/>
      <name val="Times New Roman"/>
      <family val="1"/>
    </font>
    <font>
      <sz val="12"/>
      <color rgb="FFFF0000"/>
      <name val="Times New Roman"/>
      <family val="1"/>
    </font>
    <font>
      <b/>
      <vertAlign val="superscript"/>
      <sz val="12"/>
      <name val="Times New Roman"/>
      <family val="1"/>
    </font>
    <font>
      <i/>
      <sz val="12"/>
      <color rgb="FF3271D2"/>
      <name val="Times New Roman"/>
      <family val="1"/>
    </font>
    <font>
      <i/>
      <sz val="12"/>
      <color theme="1"/>
      <name val="Times New Roman"/>
      <family val="1"/>
    </font>
    <font>
      <b/>
      <sz val="12"/>
      <color rgb="FFFFFFFF"/>
      <name val="Times New Roman"/>
      <family val="1"/>
    </font>
    <font>
      <vertAlign val="superscript"/>
      <sz val="12"/>
      <name val="Times New Roman"/>
      <family val="1"/>
    </font>
    <font>
      <b/>
      <i/>
      <sz val="12"/>
      <name val="Times New Roman"/>
      <family val="1"/>
    </font>
    <font>
      <u/>
      <sz val="12"/>
      <name val="Times New Roman"/>
      <family val="1"/>
    </font>
    <font>
      <i/>
      <sz val="12"/>
      <color theme="0"/>
      <name val="Times New Roman"/>
      <family val="1"/>
    </font>
    <font>
      <i/>
      <sz val="9"/>
      <color theme="1"/>
      <name val="Arial"/>
      <family val="2"/>
    </font>
    <font>
      <sz val="9"/>
      <color rgb="FF0070C0"/>
      <name val="Arial"/>
      <family val="2"/>
    </font>
    <font>
      <b/>
      <sz val="9"/>
      <color theme="0"/>
      <name val="Arial"/>
      <family val="2"/>
    </font>
    <font>
      <i/>
      <sz val="9"/>
      <color rgb="FF0070C0"/>
      <name val="Arial"/>
      <family val="2"/>
    </font>
    <font>
      <u/>
      <sz val="9"/>
      <color theme="1"/>
      <name val="Arial"/>
      <family val="2"/>
    </font>
    <font>
      <b/>
      <u/>
      <sz val="9"/>
      <color theme="1"/>
      <name val="Arial"/>
      <family val="2"/>
    </font>
    <font>
      <b/>
      <sz val="9"/>
      <color rgb="FFFF0000"/>
      <name val="Arial"/>
      <family val="2"/>
    </font>
    <font>
      <u/>
      <sz val="9"/>
      <color rgb="FF002060"/>
      <name val="Arial"/>
      <family val="2"/>
    </font>
    <font>
      <u/>
      <sz val="9"/>
      <color rgb="FF0C125C"/>
      <name val="Arial"/>
      <family val="2"/>
    </font>
    <font>
      <sz val="9"/>
      <name val="Arial"/>
      <family val="2"/>
    </font>
  </fonts>
  <fills count="47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B4C6E7"/>
        <bgColor rgb="FFB4C6E7"/>
      </patternFill>
    </fill>
    <fill>
      <patternFill patternType="solid">
        <fgColor rgb="FF7F7F7F"/>
        <bgColor rgb="FF7F7F7F"/>
      </patternFill>
    </fill>
    <fill>
      <patternFill patternType="solid">
        <fgColor rgb="FFD8D8D8"/>
        <bgColor rgb="FFD8D8D8"/>
      </patternFill>
    </fill>
    <fill>
      <patternFill patternType="solid">
        <fgColor rgb="FF132E57"/>
        <bgColor rgb="FF132E57"/>
      </patternFill>
    </fill>
    <fill>
      <patternFill patternType="solid">
        <fgColor rgb="FFED942D"/>
        <bgColor rgb="FFED942D"/>
      </patternFill>
    </fill>
    <fill>
      <patternFill patternType="solid">
        <fgColor rgb="FFBFBFBF"/>
        <bgColor rgb="FFBFBFBF"/>
      </patternFill>
    </fill>
    <fill>
      <patternFill patternType="solid">
        <fgColor rgb="FFE7E6E6"/>
        <bgColor rgb="FFE7E6E6"/>
      </patternFill>
    </fill>
    <fill>
      <patternFill patternType="solid">
        <fgColor rgb="FF1E8496"/>
        <bgColor rgb="FF1E8496"/>
      </patternFill>
    </fill>
    <fill>
      <patternFill patternType="solid">
        <fgColor rgb="FFFCFCFC"/>
        <bgColor rgb="FFFCFCF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2" tint="-0.249977111117893"/>
        <bgColor rgb="FF000000"/>
      </patternFill>
    </fill>
    <fill>
      <patternFill patternType="solid">
        <fgColor theme="0"/>
        <bgColor theme="0"/>
      </patternFill>
    </fill>
    <fill>
      <patternFill patternType="solid">
        <fgColor theme="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EFEFEF"/>
        <bgColor rgb="FFEFEFEF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7F1F9"/>
        <bgColor indexed="64"/>
      </patternFill>
    </fill>
    <fill>
      <patternFill patternType="solid">
        <fgColor rgb="FF16385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C125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34998626667073579"/>
        <bgColor rgb="FFD8D8D8"/>
      </patternFill>
    </fill>
    <fill>
      <patternFill patternType="solid">
        <fgColor theme="0"/>
        <bgColor rgb="FFED942D"/>
      </patternFill>
    </fill>
    <fill>
      <patternFill patternType="solid">
        <fgColor rgb="FFF0F0F0"/>
        <bgColor rgb="FFF0F0F0"/>
      </patternFill>
    </fill>
    <fill>
      <patternFill patternType="solid">
        <fgColor rgb="FF00206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14999847407452621"/>
        <bgColor indexed="64"/>
      </patternFill>
    </fill>
  </fills>
  <borders count="112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/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/>
      <top style="thin">
        <color rgb="FF3271D2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1E8496"/>
      </left>
      <right/>
      <top style="thin">
        <color rgb="FF1E8496"/>
      </top>
      <bottom style="thin">
        <color rgb="FF1E8496"/>
      </bottom>
      <diagonal/>
    </border>
    <border>
      <left/>
      <right/>
      <top style="thin">
        <color rgb="FF1E8496"/>
      </top>
      <bottom style="thin">
        <color rgb="FF1E8496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969696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969696"/>
      </bottom>
      <diagonal/>
    </border>
    <border>
      <left/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thin">
        <color rgb="FF1E8496"/>
      </top>
      <bottom style="thin">
        <color rgb="FF1E849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rgb="FF3271D2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dotted">
        <color rgb="FFD8D8D8"/>
      </right>
      <top/>
      <bottom/>
      <diagonal/>
    </border>
    <border>
      <left/>
      <right style="dotted">
        <color rgb="FFD8D8D8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8"/>
      </top>
      <bottom/>
      <diagonal/>
    </border>
    <border>
      <left/>
      <right/>
      <top style="medium">
        <color indexed="8"/>
      </top>
      <bottom style="thin">
        <color indexed="55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/>
      <top/>
      <bottom style="dotted">
        <color rgb="FF000000"/>
      </bottom>
      <diagonal/>
    </border>
    <border>
      <left/>
      <right style="thin">
        <color rgb="FF000000"/>
      </right>
      <top/>
      <bottom style="dotted">
        <color rgb="FF000000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hair">
        <color rgb="FF000000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 style="hair">
        <color rgb="FF000000"/>
      </top>
      <bottom/>
      <diagonal/>
    </border>
    <border>
      <left style="thin">
        <color indexed="64"/>
      </left>
      <right/>
      <top/>
      <bottom style="hair">
        <color rgb="FF000000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rgb="FF000000"/>
      </top>
      <bottom style="hair">
        <color rgb="FF000000"/>
      </bottom>
      <diagonal/>
    </border>
    <border>
      <left style="thin">
        <color indexed="64"/>
      </left>
      <right/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2060"/>
      </left>
      <right/>
      <top/>
      <bottom/>
      <diagonal/>
    </border>
    <border>
      <left/>
      <right style="hair">
        <color rgb="FF002060"/>
      </right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21">
    <xf numFmtId="0" fontId="0" fillId="0" borderId="0"/>
    <xf numFmtId="9" fontId="82" fillId="0" borderId="0" applyFont="0" applyFill="0" applyBorder="0" applyAlignment="0" applyProtection="0"/>
    <xf numFmtId="165" fontId="85" fillId="0" borderId="0" applyFont="0" applyFill="0" applyBorder="0" applyAlignment="0" applyProtection="0"/>
    <xf numFmtId="165" fontId="102" fillId="0" borderId="1" applyFont="0" applyFill="0" applyBorder="0" applyAlignment="0" applyProtection="0"/>
    <xf numFmtId="0" fontId="107" fillId="0" borderId="1" applyNumberFormat="0" applyFill="0" applyBorder="0" applyAlignment="0" applyProtection="0"/>
    <xf numFmtId="0" fontId="3" fillId="0" borderId="1"/>
    <xf numFmtId="0" fontId="125" fillId="0" borderId="1"/>
    <xf numFmtId="0" fontId="125" fillId="0" borderId="1"/>
    <xf numFmtId="44" fontId="125" fillId="0" borderId="1" applyFont="0" applyFill="0" applyBorder="0" applyAlignment="0" applyProtection="0"/>
    <xf numFmtId="0" fontId="38" fillId="0" borderId="1"/>
    <xf numFmtId="0" fontId="146" fillId="0" borderId="1"/>
    <xf numFmtId="0" fontId="146" fillId="18" borderId="50" applyNumberFormat="0" applyAlignment="0" applyProtection="0"/>
    <xf numFmtId="0" fontId="157" fillId="12" borderId="1" applyNumberFormat="0" applyBorder="0" applyAlignment="0" applyProtection="0"/>
    <xf numFmtId="0" fontId="156" fillId="13" borderId="1" applyNumberFormat="0" applyBorder="0" applyAlignment="0" applyProtection="0"/>
    <xf numFmtId="0" fontId="158" fillId="14" borderId="1" applyNumberFormat="0" applyBorder="0" applyAlignment="0" applyProtection="0"/>
    <xf numFmtId="0" fontId="160" fillId="15" borderId="47" applyNumberFormat="0" applyAlignment="0" applyProtection="0"/>
    <xf numFmtId="0" fontId="163" fillId="16" borderId="47" applyNumberFormat="0" applyAlignment="0" applyProtection="0"/>
    <xf numFmtId="0" fontId="161" fillId="0" borderId="48" applyNumberFormat="0" applyFill="0" applyAlignment="0" applyProtection="0"/>
    <xf numFmtId="0" fontId="159" fillId="17" borderId="49" applyNumberFormat="0" applyAlignment="0" applyProtection="0"/>
    <xf numFmtId="0" fontId="162" fillId="0" borderId="1" applyNumberFormat="0" applyFill="0" applyBorder="0" applyAlignment="0" applyProtection="0"/>
    <xf numFmtId="0" fontId="178" fillId="0" borderId="1"/>
  </cellStyleXfs>
  <cellXfs count="1647">
    <xf numFmtId="0" fontId="0" fillId="0" borderId="0" xfId="0"/>
    <xf numFmtId="0" fontId="4" fillId="2" borderId="1" xfId="0" applyFont="1" applyFill="1" applyBorder="1"/>
    <xf numFmtId="0" fontId="5" fillId="0" borderId="0" xfId="0" applyFont="1"/>
    <xf numFmtId="37" fontId="6" fillId="0" borderId="0" xfId="0" applyNumberFormat="1" applyFont="1" applyAlignment="1">
      <alignment vertical="top"/>
    </xf>
    <xf numFmtId="0" fontId="4" fillId="0" borderId="2" xfId="0" applyFont="1" applyBorder="1" applyAlignment="1">
      <alignment horizontal="center"/>
    </xf>
    <xf numFmtId="166" fontId="5" fillId="0" borderId="0" xfId="0" applyNumberFormat="1" applyFont="1"/>
    <xf numFmtId="0" fontId="9" fillId="0" borderId="0" xfId="0" applyFont="1"/>
    <xf numFmtId="167" fontId="10" fillId="0" borderId="0" xfId="0" applyNumberFormat="1" applyFont="1"/>
    <xf numFmtId="43" fontId="5" fillId="0" borderId="0" xfId="0" applyNumberFormat="1" applyFont="1"/>
    <xf numFmtId="164" fontId="5" fillId="0" borderId="0" xfId="0" applyNumberFormat="1" applyFont="1"/>
    <xf numFmtId="0" fontId="5" fillId="3" borderId="1" xfId="0" applyFont="1" applyFill="1" applyBorder="1"/>
    <xf numFmtId="0" fontId="11" fillId="0" borderId="0" xfId="0" applyFont="1" applyAlignment="1">
      <alignment horizontal="right"/>
    </xf>
    <xf numFmtId="0" fontId="11" fillId="0" borderId="0" xfId="0" applyFont="1"/>
    <xf numFmtId="166" fontId="11" fillId="0" borderId="0" xfId="0" applyNumberFormat="1" applyFont="1"/>
    <xf numFmtId="0" fontId="4" fillId="0" borderId="0" xfId="0" applyFont="1" applyAlignment="1">
      <alignment horizontal="center"/>
    </xf>
    <xf numFmtId="0" fontId="4" fillId="0" borderId="0" xfId="0" applyFont="1"/>
    <xf numFmtId="164" fontId="4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166" fontId="5" fillId="0" borderId="0" xfId="0" applyNumberFormat="1" applyFont="1" applyAlignment="1">
      <alignment horizontal="right"/>
    </xf>
    <xf numFmtId="0" fontId="7" fillId="0" borderId="0" xfId="0" applyFont="1"/>
    <xf numFmtId="0" fontId="12" fillId="4" borderId="1" xfId="0" applyFont="1" applyFill="1" applyBorder="1"/>
    <xf numFmtId="0" fontId="13" fillId="0" borderId="0" xfId="0" applyFont="1"/>
    <xf numFmtId="0" fontId="9" fillId="0" borderId="0" xfId="0" applyFont="1" applyAlignment="1">
      <alignment vertical="center"/>
    </xf>
    <xf numFmtId="0" fontId="7" fillId="5" borderId="1" xfId="0" applyFont="1" applyFill="1" applyBorder="1"/>
    <xf numFmtId="0" fontId="14" fillId="0" borderId="0" xfId="0" applyFont="1"/>
    <xf numFmtId="37" fontId="7" fillId="0" borderId="2" xfId="0" applyNumberFormat="1" applyFont="1" applyBorder="1" applyAlignment="1">
      <alignment horizontal="center" vertical="top"/>
    </xf>
    <xf numFmtId="37" fontId="4" fillId="0" borderId="2" xfId="0" applyNumberFormat="1" applyFont="1" applyBorder="1" applyAlignment="1">
      <alignment horizontal="center" vertical="top"/>
    </xf>
    <xf numFmtId="0" fontId="7" fillId="0" borderId="0" xfId="0" applyFont="1" applyAlignment="1">
      <alignment horizontal="center"/>
    </xf>
    <xf numFmtId="168" fontId="14" fillId="0" borderId="5" xfId="0" applyNumberFormat="1" applyFont="1" applyBorder="1"/>
    <xf numFmtId="168" fontId="14" fillId="0" borderId="5" xfId="0" applyNumberFormat="1" applyFont="1" applyBorder="1" applyAlignment="1">
      <alignment horizontal="right"/>
    </xf>
    <xf numFmtId="0" fontId="15" fillId="0" borderId="0" xfId="0" applyFont="1" applyAlignment="1">
      <alignment horizontal="right"/>
    </xf>
    <xf numFmtId="14" fontId="14" fillId="0" borderId="5" xfId="0" applyNumberFormat="1" applyFont="1" applyBorder="1" applyAlignment="1">
      <alignment horizontal="right"/>
    </xf>
    <xf numFmtId="168" fontId="16" fillId="0" borderId="0" xfId="0" applyNumberFormat="1" applyFont="1"/>
    <xf numFmtId="0" fontId="17" fillId="0" borderId="0" xfId="0" applyFont="1"/>
    <xf numFmtId="168" fontId="5" fillId="0" borderId="0" xfId="0" applyNumberFormat="1" applyFont="1" applyAlignment="1">
      <alignment horizontal="right"/>
    </xf>
    <xf numFmtId="0" fontId="5" fillId="0" borderId="0" xfId="0" applyFont="1" applyAlignment="1">
      <alignment horizontal="left"/>
    </xf>
    <xf numFmtId="169" fontId="9" fillId="0" borderId="0" xfId="0" applyNumberFormat="1" applyFont="1"/>
    <xf numFmtId="0" fontId="5" fillId="0" borderId="0" xfId="0" applyFont="1" applyAlignment="1">
      <alignment vertical="center"/>
    </xf>
    <xf numFmtId="169" fontId="14" fillId="0" borderId="6" xfId="0" applyNumberFormat="1" applyFont="1" applyBorder="1"/>
    <xf numFmtId="37" fontId="15" fillId="0" borderId="0" xfId="0" applyNumberFormat="1" applyFont="1" applyAlignment="1">
      <alignment horizontal="right"/>
    </xf>
    <xf numFmtId="0" fontId="18" fillId="0" borderId="0" xfId="0" applyFont="1" applyAlignment="1">
      <alignment horizontal="right"/>
    </xf>
    <xf numFmtId="170" fontId="19" fillId="0" borderId="0" xfId="0" applyNumberFormat="1" applyFont="1"/>
    <xf numFmtId="168" fontId="19" fillId="0" borderId="0" xfId="0" applyNumberFormat="1" applyFont="1"/>
    <xf numFmtId="9" fontId="10" fillId="0" borderId="0" xfId="0" applyNumberFormat="1" applyFont="1"/>
    <xf numFmtId="171" fontId="10" fillId="0" borderId="5" xfId="0" applyNumberFormat="1" applyFont="1" applyBorder="1"/>
    <xf numFmtId="172" fontId="19" fillId="0" borderId="0" xfId="0" applyNumberFormat="1" applyFont="1"/>
    <xf numFmtId="168" fontId="5" fillId="0" borderId="0" xfId="0" applyNumberFormat="1" applyFont="1"/>
    <xf numFmtId="172" fontId="10" fillId="0" borderId="5" xfId="0" applyNumberFormat="1" applyFont="1" applyBorder="1"/>
    <xf numFmtId="168" fontId="14" fillId="0" borderId="0" xfId="0" applyNumberFormat="1" applyFont="1"/>
    <xf numFmtId="0" fontId="12" fillId="6" borderId="1" xfId="0" applyFont="1" applyFill="1" applyBorder="1" applyAlignment="1">
      <alignment horizontal="left"/>
    </xf>
    <xf numFmtId="0" fontId="9" fillId="0" borderId="0" xfId="0" applyFont="1" applyAlignment="1">
      <alignment horizontal="center"/>
    </xf>
    <xf numFmtId="0" fontId="5" fillId="0" borderId="7" xfId="0" applyFont="1" applyBorder="1"/>
    <xf numFmtId="0" fontId="5" fillId="0" borderId="3" xfId="0" applyFont="1" applyBorder="1"/>
    <xf numFmtId="0" fontId="5" fillId="0" borderId="8" xfId="0" applyFont="1" applyBorder="1"/>
    <xf numFmtId="173" fontId="4" fillId="0" borderId="2" xfId="0" applyNumberFormat="1" applyFont="1" applyBorder="1"/>
    <xf numFmtId="0" fontId="5" fillId="0" borderId="9" xfId="0" applyFont="1" applyBorder="1"/>
    <xf numFmtId="0" fontId="5" fillId="0" borderId="10" xfId="0" applyFont="1" applyBorder="1"/>
    <xf numFmtId="164" fontId="14" fillId="0" borderId="0" xfId="0" applyNumberFormat="1" applyFont="1"/>
    <xf numFmtId="0" fontId="5" fillId="0" borderId="11" xfId="0" applyFont="1" applyBorder="1"/>
    <xf numFmtId="0" fontId="5" fillId="0" borderId="2" xfId="0" applyFont="1" applyBorder="1"/>
    <xf numFmtId="0" fontId="5" fillId="0" borderId="12" xfId="0" applyFont="1" applyBorder="1"/>
    <xf numFmtId="0" fontId="12" fillId="7" borderId="1" xfId="0" applyFont="1" applyFill="1" applyBorder="1"/>
    <xf numFmtId="0" fontId="20" fillId="0" borderId="0" xfId="0" applyFont="1"/>
    <xf numFmtId="0" fontId="21" fillId="0" borderId="0" xfId="0" applyFont="1"/>
    <xf numFmtId="174" fontId="4" fillId="0" borderId="2" xfId="0" applyNumberFormat="1" applyFont="1" applyBorder="1"/>
    <xf numFmtId="0" fontId="22" fillId="0" borderId="0" xfId="0" applyFont="1"/>
    <xf numFmtId="0" fontId="4" fillId="0" borderId="3" xfId="0" applyFont="1" applyBorder="1"/>
    <xf numFmtId="168" fontId="4" fillId="0" borderId="0" xfId="0" applyNumberFormat="1" applyFont="1" applyAlignment="1">
      <alignment horizontal="right"/>
    </xf>
    <xf numFmtId="168" fontId="10" fillId="0" borderId="0" xfId="0" applyNumberFormat="1" applyFont="1"/>
    <xf numFmtId="167" fontId="5" fillId="0" borderId="0" xfId="0" applyNumberFormat="1" applyFont="1"/>
    <xf numFmtId="3" fontId="4" fillId="0" borderId="0" xfId="0" applyNumberFormat="1" applyFont="1"/>
    <xf numFmtId="0" fontId="23" fillId="0" borderId="0" xfId="0" applyFont="1" applyAlignment="1">
      <alignment horizontal="left"/>
    </xf>
    <xf numFmtId="0" fontId="24" fillId="0" borderId="0" xfId="0" applyFont="1"/>
    <xf numFmtId="174" fontId="25" fillId="0" borderId="0" xfId="0" applyNumberFormat="1" applyFont="1" applyAlignment="1">
      <alignment horizontal="right" vertical="center"/>
    </xf>
    <xf numFmtId="0" fontId="26" fillId="0" borderId="0" xfId="0" applyFont="1" applyAlignment="1">
      <alignment horizontal="left"/>
    </xf>
    <xf numFmtId="175" fontId="28" fillId="0" borderId="13" xfId="0" applyNumberFormat="1" applyFont="1" applyBorder="1" applyAlignment="1">
      <alignment horizontal="right" vertical="center"/>
    </xf>
    <xf numFmtId="175" fontId="28" fillId="0" borderId="14" xfId="0" applyNumberFormat="1" applyFont="1" applyBorder="1" applyAlignment="1">
      <alignment horizontal="right" vertical="center"/>
    </xf>
    <xf numFmtId="175" fontId="28" fillId="0" borderId="15" xfId="0" applyNumberFormat="1" applyFont="1" applyBorder="1" applyAlignment="1">
      <alignment horizontal="right" vertical="center"/>
    </xf>
    <xf numFmtId="175" fontId="28" fillId="0" borderId="16" xfId="0" applyNumberFormat="1" applyFont="1" applyBorder="1" applyAlignment="1">
      <alignment horizontal="right" vertical="center"/>
    </xf>
    <xf numFmtId="175" fontId="28" fillId="0" borderId="0" xfId="0" applyNumberFormat="1" applyFont="1" applyAlignment="1">
      <alignment horizontal="right" vertical="center"/>
    </xf>
    <xf numFmtId="175" fontId="28" fillId="0" borderId="17" xfId="0" applyNumberFormat="1" applyFont="1" applyBorder="1" applyAlignment="1">
      <alignment horizontal="right" vertical="center"/>
    </xf>
    <xf numFmtId="175" fontId="28" fillId="0" borderId="18" xfId="0" applyNumberFormat="1" applyFont="1" applyBorder="1" applyAlignment="1">
      <alignment horizontal="right" vertical="center"/>
    </xf>
    <xf numFmtId="175" fontId="28" fillId="0" borderId="19" xfId="0" applyNumberFormat="1" applyFont="1" applyBorder="1" applyAlignment="1">
      <alignment horizontal="right" vertical="center"/>
    </xf>
    <xf numFmtId="175" fontId="28" fillId="0" borderId="20" xfId="0" applyNumberFormat="1" applyFont="1" applyBorder="1" applyAlignment="1">
      <alignment horizontal="right" vertical="center"/>
    </xf>
    <xf numFmtId="0" fontId="29" fillId="0" borderId="0" xfId="0" applyFont="1" applyAlignment="1">
      <alignment horizontal="right" vertical="center"/>
    </xf>
    <xf numFmtId="176" fontId="28" fillId="0" borderId="13" xfId="0" applyNumberFormat="1" applyFont="1" applyBorder="1" applyAlignment="1">
      <alignment horizontal="right" vertical="center"/>
    </xf>
    <xf numFmtId="176" fontId="28" fillId="0" borderId="14" xfId="0" applyNumberFormat="1" applyFont="1" applyBorder="1" applyAlignment="1">
      <alignment horizontal="right" vertical="center"/>
    </xf>
    <xf numFmtId="176" fontId="28" fillId="0" borderId="15" xfId="0" applyNumberFormat="1" applyFont="1" applyBorder="1" applyAlignment="1">
      <alignment horizontal="right" vertical="center"/>
    </xf>
    <xf numFmtId="37" fontId="30" fillId="0" borderId="0" xfId="0" applyNumberFormat="1" applyFont="1" applyAlignment="1">
      <alignment vertical="center"/>
    </xf>
    <xf numFmtId="0" fontId="31" fillId="0" borderId="0" xfId="0" applyFont="1"/>
    <xf numFmtId="0" fontId="32" fillId="0" borderId="0" xfId="0" applyFont="1" applyAlignment="1">
      <alignment horizontal="left"/>
    </xf>
    <xf numFmtId="0" fontId="29" fillId="0" borderId="0" xfId="0" applyFont="1"/>
    <xf numFmtId="0" fontId="29" fillId="0" borderId="21" xfId="0" applyFont="1" applyBorder="1" applyAlignment="1">
      <alignment horizontal="left" vertical="center"/>
    </xf>
    <xf numFmtId="0" fontId="29" fillId="0" borderId="21" xfId="0" applyFont="1" applyBorder="1" applyAlignment="1">
      <alignment vertical="center"/>
    </xf>
    <xf numFmtId="0" fontId="29" fillId="0" borderId="0" xfId="0" applyFont="1" applyAlignment="1">
      <alignment horizontal="left" vertical="center"/>
    </xf>
    <xf numFmtId="0" fontId="29" fillId="0" borderId="0" xfId="0" applyFont="1" applyAlignment="1">
      <alignment vertical="center"/>
    </xf>
    <xf numFmtId="0" fontId="27" fillId="0" borderId="0" xfId="0" applyFont="1" applyAlignment="1">
      <alignment horizontal="center" vertical="center"/>
    </xf>
    <xf numFmtId="168" fontId="28" fillId="0" borderId="0" xfId="0" applyNumberFormat="1" applyFont="1" applyAlignment="1">
      <alignment vertical="center"/>
    </xf>
    <xf numFmtId="174" fontId="22" fillId="0" borderId="0" xfId="0" applyNumberFormat="1" applyFont="1"/>
    <xf numFmtId="174" fontId="4" fillId="0" borderId="0" xfId="0" applyNumberFormat="1" applyFont="1"/>
    <xf numFmtId="167" fontId="19" fillId="0" borderId="0" xfId="0" applyNumberFormat="1" applyFont="1"/>
    <xf numFmtId="37" fontId="10" fillId="0" borderId="0" xfId="0" applyNumberFormat="1" applyFont="1"/>
    <xf numFmtId="37" fontId="5" fillId="0" borderId="0" xfId="0" applyNumberFormat="1" applyFont="1"/>
    <xf numFmtId="167" fontId="4" fillId="0" borderId="3" xfId="0" applyNumberFormat="1" applyFont="1" applyBorder="1"/>
    <xf numFmtId="9" fontId="5" fillId="0" borderId="0" xfId="0" applyNumberFormat="1" applyFont="1"/>
    <xf numFmtId="167" fontId="5" fillId="0" borderId="3" xfId="0" applyNumberFormat="1" applyFont="1" applyBorder="1"/>
    <xf numFmtId="167" fontId="4" fillId="0" borderId="0" xfId="0" applyNumberFormat="1" applyFont="1"/>
    <xf numFmtId="37" fontId="4" fillId="0" borderId="0" xfId="0" applyNumberFormat="1" applyFont="1"/>
    <xf numFmtId="0" fontId="4" fillId="9" borderId="1" xfId="0" applyFont="1" applyFill="1" applyBorder="1"/>
    <xf numFmtId="173" fontId="5" fillId="0" borderId="0" xfId="0" applyNumberFormat="1" applyFont="1" applyAlignment="1">
      <alignment horizontal="left"/>
    </xf>
    <xf numFmtId="167" fontId="5" fillId="0" borderId="0" xfId="0" applyNumberFormat="1" applyFont="1" applyAlignment="1">
      <alignment horizontal="right"/>
    </xf>
    <xf numFmtId="0" fontId="5" fillId="0" borderId="3" xfId="0" applyFont="1" applyBorder="1" applyAlignment="1">
      <alignment horizontal="left"/>
    </xf>
    <xf numFmtId="0" fontId="34" fillId="0" borderId="0" xfId="0" applyFont="1"/>
    <xf numFmtId="37" fontId="34" fillId="0" borderId="0" xfId="0" applyNumberFormat="1" applyFont="1"/>
    <xf numFmtId="0" fontId="22" fillId="10" borderId="24" xfId="0" applyFont="1" applyFill="1" applyBorder="1"/>
    <xf numFmtId="0" fontId="5" fillId="0" borderId="25" xfId="0" applyFont="1" applyBorder="1"/>
    <xf numFmtId="167" fontId="35" fillId="0" borderId="3" xfId="0" applyNumberFormat="1" applyFont="1" applyBorder="1"/>
    <xf numFmtId="167" fontId="4" fillId="0" borderId="2" xfId="0" applyNumberFormat="1" applyFont="1" applyBorder="1"/>
    <xf numFmtId="3" fontId="5" fillId="0" borderId="2" xfId="0" applyNumberFormat="1" applyFont="1" applyBorder="1"/>
    <xf numFmtId="167" fontId="19" fillId="0" borderId="3" xfId="0" applyNumberFormat="1" applyFont="1" applyBorder="1"/>
    <xf numFmtId="167" fontId="5" fillId="0" borderId="2" xfId="0" applyNumberFormat="1" applyFont="1" applyBorder="1"/>
    <xf numFmtId="37" fontId="5" fillId="0" borderId="2" xfId="0" applyNumberFormat="1" applyFont="1" applyBorder="1"/>
    <xf numFmtId="3" fontId="5" fillId="0" borderId="0" xfId="0" applyNumberFormat="1" applyFont="1"/>
    <xf numFmtId="37" fontId="5" fillId="0" borderId="3" xfId="0" applyNumberFormat="1" applyFont="1" applyBorder="1"/>
    <xf numFmtId="0" fontId="4" fillId="0" borderId="0" xfId="0" applyFont="1" applyAlignment="1">
      <alignment horizontal="left"/>
    </xf>
    <xf numFmtId="37" fontId="4" fillId="0" borderId="3" xfId="0" applyNumberFormat="1" applyFont="1" applyBorder="1"/>
    <xf numFmtId="37" fontId="4" fillId="0" borderId="2" xfId="0" applyNumberFormat="1" applyFont="1" applyBorder="1"/>
    <xf numFmtId="167" fontId="35" fillId="0" borderId="0" xfId="0" applyNumberFormat="1" applyFont="1"/>
    <xf numFmtId="43" fontId="4" fillId="0" borderId="3" xfId="0" applyNumberFormat="1" applyFont="1" applyBorder="1"/>
    <xf numFmtId="39" fontId="5" fillId="0" borderId="0" xfId="0" applyNumberFormat="1" applyFont="1"/>
    <xf numFmtId="2" fontId="5" fillId="0" borderId="0" xfId="0" applyNumberFormat="1" applyFont="1" applyAlignment="1">
      <alignment horizontal="right"/>
    </xf>
    <xf numFmtId="37" fontId="5" fillId="0" borderId="0" xfId="0" applyNumberFormat="1" applyFont="1" applyAlignment="1">
      <alignment horizontal="right"/>
    </xf>
    <xf numFmtId="10" fontId="5" fillId="0" borderId="0" xfId="0" applyNumberFormat="1" applyFont="1" applyAlignment="1">
      <alignment horizontal="right"/>
    </xf>
    <xf numFmtId="0" fontId="4" fillId="0" borderId="3" xfId="0" applyFont="1" applyBorder="1" applyAlignment="1">
      <alignment horizontal="left"/>
    </xf>
    <xf numFmtId="177" fontId="36" fillId="0" borderId="0" xfId="0" applyNumberFormat="1" applyFont="1"/>
    <xf numFmtId="174" fontId="5" fillId="0" borderId="2" xfId="0" applyNumberFormat="1" applyFont="1" applyBorder="1"/>
    <xf numFmtId="9" fontId="4" fillId="0" borderId="0" xfId="0" applyNumberFormat="1" applyFont="1"/>
    <xf numFmtId="0" fontId="37" fillId="0" borderId="0" xfId="0" applyFont="1"/>
    <xf numFmtId="167" fontId="37" fillId="0" borderId="0" xfId="0" applyNumberFormat="1" applyFont="1"/>
    <xf numFmtId="177" fontId="38" fillId="0" borderId="0" xfId="0" applyNumberFormat="1" applyFont="1"/>
    <xf numFmtId="177" fontId="39" fillId="0" borderId="0" xfId="0" applyNumberFormat="1" applyFont="1"/>
    <xf numFmtId="0" fontId="9" fillId="0" borderId="26" xfId="0" applyFont="1" applyBorder="1"/>
    <xf numFmtId="0" fontId="36" fillId="0" borderId="26" xfId="0" applyFont="1" applyBorder="1" applyAlignment="1">
      <alignment horizontal="center"/>
    </xf>
    <xf numFmtId="174" fontId="7" fillId="0" borderId="26" xfId="0" applyNumberFormat="1" applyFont="1" applyBorder="1"/>
    <xf numFmtId="0" fontId="36" fillId="0" borderId="27" xfId="0" applyFont="1" applyBorder="1"/>
    <xf numFmtId="179" fontId="5" fillId="0" borderId="0" xfId="0" applyNumberFormat="1" applyFont="1" applyAlignment="1">
      <alignment horizontal="right"/>
    </xf>
    <xf numFmtId="0" fontId="40" fillId="0" borderId="28" xfId="0" applyFont="1" applyBorder="1"/>
    <xf numFmtId="0" fontId="36" fillId="0" borderId="28" xfId="0" applyFont="1" applyBorder="1"/>
    <xf numFmtId="0" fontId="40" fillId="0" borderId="28" xfId="0" applyFont="1" applyBorder="1" applyAlignment="1">
      <alignment horizontal="center"/>
    </xf>
    <xf numFmtId="0" fontId="36" fillId="0" borderId="28" xfId="0" applyFont="1" applyBorder="1" applyAlignment="1">
      <alignment horizontal="center"/>
    </xf>
    <xf numFmtId="0" fontId="22" fillId="0" borderId="0" xfId="0" applyFont="1" applyAlignment="1">
      <alignment horizontal="center"/>
    </xf>
    <xf numFmtId="0" fontId="40" fillId="0" borderId="0" xfId="0" applyFont="1"/>
    <xf numFmtId="0" fontId="41" fillId="0" borderId="0" xfId="0" applyFont="1"/>
    <xf numFmtId="180" fontId="41" fillId="0" borderId="0" xfId="0" applyNumberFormat="1" applyFont="1"/>
    <xf numFmtId="181" fontId="41" fillId="0" borderId="0" xfId="0" applyNumberFormat="1" applyFont="1"/>
    <xf numFmtId="180" fontId="42" fillId="0" borderId="0" xfId="0" applyNumberFormat="1" applyFont="1"/>
    <xf numFmtId="0" fontId="36" fillId="0" borderId="0" xfId="0" applyFont="1"/>
    <xf numFmtId="181" fontId="36" fillId="0" borderId="0" xfId="0" applyNumberFormat="1" applyFont="1"/>
    <xf numFmtId="0" fontId="38" fillId="0" borderId="0" xfId="0" applyFont="1"/>
    <xf numFmtId="180" fontId="38" fillId="0" borderId="0" xfId="0" applyNumberFormat="1" applyFont="1"/>
    <xf numFmtId="3" fontId="9" fillId="0" borderId="0" xfId="0" applyNumberFormat="1" applyFont="1"/>
    <xf numFmtId="182" fontId="36" fillId="0" borderId="0" xfId="0" applyNumberFormat="1" applyFont="1"/>
    <xf numFmtId="183" fontId="38" fillId="0" borderId="0" xfId="0" applyNumberFormat="1" applyFont="1"/>
    <xf numFmtId="0" fontId="39" fillId="0" borderId="28" xfId="0" applyFont="1" applyBorder="1"/>
    <xf numFmtId="0" fontId="43" fillId="0" borderId="28" xfId="0" applyFont="1" applyBorder="1"/>
    <xf numFmtId="183" fontId="39" fillId="0" borderId="28" xfId="0" applyNumberFormat="1" applyFont="1" applyBorder="1"/>
    <xf numFmtId="0" fontId="44" fillId="0" borderId="0" xfId="0" applyFont="1"/>
    <xf numFmtId="0" fontId="38" fillId="0" borderId="28" xfId="0" applyFont="1" applyBorder="1"/>
    <xf numFmtId="0" fontId="41" fillId="0" borderId="28" xfId="0" applyFont="1" applyBorder="1"/>
    <xf numFmtId="183" fontId="38" fillId="0" borderId="28" xfId="0" applyNumberFormat="1" applyFont="1" applyBorder="1"/>
    <xf numFmtId="0" fontId="14" fillId="0" borderId="26" xfId="0" applyFont="1" applyBorder="1"/>
    <xf numFmtId="0" fontId="36" fillId="0" borderId="29" xfId="0" applyFont="1" applyBorder="1"/>
    <xf numFmtId="181" fontId="38" fillId="0" borderId="0" xfId="0" applyNumberFormat="1" applyFont="1"/>
    <xf numFmtId="184" fontId="41" fillId="0" borderId="0" xfId="0" applyNumberFormat="1" applyFont="1"/>
    <xf numFmtId="181" fontId="38" fillId="0" borderId="28" xfId="0" applyNumberFormat="1" applyFont="1" applyBorder="1"/>
    <xf numFmtId="166" fontId="9" fillId="0" borderId="0" xfId="0" applyNumberFormat="1" applyFont="1"/>
    <xf numFmtId="184" fontId="38" fillId="0" borderId="0" xfId="0" applyNumberFormat="1" applyFont="1"/>
    <xf numFmtId="0" fontId="45" fillId="0" borderId="0" xfId="0" applyFont="1"/>
    <xf numFmtId="172" fontId="5" fillId="0" borderId="0" xfId="0" applyNumberFormat="1" applyFont="1"/>
    <xf numFmtId="172" fontId="10" fillId="0" borderId="0" xfId="0" applyNumberFormat="1" applyFont="1"/>
    <xf numFmtId="166" fontId="10" fillId="0" borderId="0" xfId="0" applyNumberFormat="1" applyFont="1"/>
    <xf numFmtId="166" fontId="10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0" fontId="46" fillId="0" borderId="0" xfId="0" applyFont="1"/>
    <xf numFmtId="0" fontId="47" fillId="0" borderId="0" xfId="0" applyFont="1"/>
    <xf numFmtId="182" fontId="38" fillId="0" borderId="0" xfId="0" applyNumberFormat="1" applyFont="1"/>
    <xf numFmtId="183" fontId="41" fillId="0" borderId="0" xfId="0" applyNumberFormat="1" applyFont="1"/>
    <xf numFmtId="173" fontId="7" fillId="0" borderId="2" xfId="0" applyNumberFormat="1" applyFont="1" applyBorder="1"/>
    <xf numFmtId="14" fontId="16" fillId="0" borderId="0" xfId="0" applyNumberFormat="1" applyFont="1"/>
    <xf numFmtId="14" fontId="9" fillId="0" borderId="0" xfId="0" applyNumberFormat="1" applyFont="1"/>
    <xf numFmtId="164" fontId="9" fillId="0" borderId="0" xfId="0" applyNumberFormat="1" applyFont="1"/>
    <xf numFmtId="0" fontId="9" fillId="0" borderId="2" xfId="0" applyFont="1" applyBorder="1"/>
    <xf numFmtId="43" fontId="9" fillId="0" borderId="0" xfId="0" applyNumberFormat="1" applyFont="1"/>
    <xf numFmtId="164" fontId="7" fillId="0" borderId="0" xfId="0" applyNumberFormat="1" applyFont="1"/>
    <xf numFmtId="185" fontId="7" fillId="0" borderId="0" xfId="0" applyNumberFormat="1" applyFont="1"/>
    <xf numFmtId="0" fontId="48" fillId="0" borderId="0" xfId="0" applyFont="1" applyAlignment="1">
      <alignment horizontal="left" vertical="center"/>
    </xf>
    <xf numFmtId="0" fontId="48" fillId="0" borderId="0" xfId="0" applyFont="1" applyAlignment="1">
      <alignment horizontal="center" vertical="center"/>
    </xf>
    <xf numFmtId="0" fontId="7" fillId="0" borderId="3" xfId="0" applyFont="1" applyBorder="1"/>
    <xf numFmtId="164" fontId="7" fillId="0" borderId="3" xfId="0" applyNumberFormat="1" applyFont="1" applyBorder="1"/>
    <xf numFmtId="168" fontId="49" fillId="0" borderId="0" xfId="0" applyNumberFormat="1" applyFont="1"/>
    <xf numFmtId="169" fontId="50" fillId="0" borderId="31" xfId="0" applyNumberFormat="1" applyFont="1" applyBorder="1"/>
    <xf numFmtId="169" fontId="7" fillId="0" borderId="31" xfId="0" applyNumberFormat="1" applyFont="1" applyBorder="1"/>
    <xf numFmtId="169" fontId="50" fillId="0" borderId="32" xfId="0" applyNumberFormat="1" applyFont="1" applyBorder="1"/>
    <xf numFmtId="167" fontId="16" fillId="0" borderId="0" xfId="0" applyNumberFormat="1" applyFont="1"/>
    <xf numFmtId="9" fontId="51" fillId="0" borderId="10" xfId="0" applyNumberFormat="1" applyFont="1" applyBorder="1"/>
    <xf numFmtId="166" fontId="5" fillId="0" borderId="7" xfId="0" applyNumberFormat="1" applyFont="1" applyBorder="1"/>
    <xf numFmtId="166" fontId="5" fillId="0" borderId="3" xfId="0" applyNumberFormat="1" applyFont="1" applyBorder="1"/>
    <xf numFmtId="166" fontId="5" fillId="0" borderId="8" xfId="0" applyNumberFormat="1" applyFont="1" applyBorder="1"/>
    <xf numFmtId="166" fontId="5" fillId="0" borderId="10" xfId="0" applyNumberFormat="1" applyFont="1" applyBorder="1"/>
    <xf numFmtId="186" fontId="16" fillId="0" borderId="2" xfId="0" applyNumberFormat="1" applyFont="1" applyBorder="1"/>
    <xf numFmtId="9" fontId="4" fillId="0" borderId="10" xfId="0" applyNumberFormat="1" applyFont="1" applyBorder="1"/>
    <xf numFmtId="0" fontId="12" fillId="0" borderId="0" xfId="0" applyFont="1" applyAlignment="1">
      <alignment horizontal="center"/>
    </xf>
    <xf numFmtId="0" fontId="9" fillId="0" borderId="9" xfId="0" applyFont="1" applyBorder="1"/>
    <xf numFmtId="0" fontId="9" fillId="0" borderId="10" xfId="0" applyFont="1" applyBorder="1"/>
    <xf numFmtId="168" fontId="50" fillId="0" borderId="31" xfId="0" applyNumberFormat="1" applyFont="1" applyBorder="1"/>
    <xf numFmtId="168" fontId="7" fillId="0" borderId="31" xfId="0" applyNumberFormat="1" applyFont="1" applyBorder="1"/>
    <xf numFmtId="168" fontId="50" fillId="0" borderId="32" xfId="0" applyNumberFormat="1" applyFont="1" applyBorder="1"/>
    <xf numFmtId="0" fontId="9" fillId="0" borderId="11" xfId="0" applyFont="1" applyBorder="1"/>
    <xf numFmtId="0" fontId="9" fillId="0" borderId="12" xfId="0" applyFont="1" applyBorder="1"/>
    <xf numFmtId="0" fontId="4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/>
    </xf>
    <xf numFmtId="9" fontId="5" fillId="0" borderId="0" xfId="0" applyNumberFormat="1" applyFont="1" applyAlignment="1">
      <alignment vertical="center"/>
    </xf>
    <xf numFmtId="169" fontId="5" fillId="0" borderId="0" xfId="0" applyNumberFormat="1" applyFont="1" applyAlignment="1">
      <alignment vertical="center"/>
    </xf>
    <xf numFmtId="166" fontId="52" fillId="0" borderId="0" xfId="0" applyNumberFormat="1" applyFont="1"/>
    <xf numFmtId="0" fontId="53" fillId="0" borderId="0" xfId="0" applyFont="1"/>
    <xf numFmtId="169" fontId="40" fillId="0" borderId="0" xfId="0" applyNumberFormat="1" applyFont="1" applyAlignment="1">
      <alignment horizontal="center"/>
    </xf>
    <xf numFmtId="169" fontId="36" fillId="0" borderId="0" xfId="0" applyNumberFormat="1" applyFont="1" applyAlignment="1">
      <alignment horizontal="center"/>
    </xf>
    <xf numFmtId="182" fontId="38" fillId="0" borderId="7" xfId="0" applyNumberFormat="1" applyFont="1" applyBorder="1"/>
    <xf numFmtId="182" fontId="38" fillId="0" borderId="3" xfId="0" applyNumberFormat="1" applyFont="1" applyBorder="1"/>
    <xf numFmtId="182" fontId="38" fillId="0" borderId="8" xfId="0" applyNumberFormat="1" applyFont="1" applyBorder="1"/>
    <xf numFmtId="187" fontId="38" fillId="0" borderId="9" xfId="0" applyNumberFormat="1" applyFont="1" applyBorder="1"/>
    <xf numFmtId="187" fontId="38" fillId="0" borderId="0" xfId="0" applyNumberFormat="1" applyFont="1"/>
    <xf numFmtId="187" fontId="38" fillId="0" borderId="10" xfId="0" applyNumberFormat="1" applyFont="1" applyBorder="1"/>
    <xf numFmtId="187" fontId="38" fillId="0" borderId="11" xfId="0" applyNumberFormat="1" applyFont="1" applyBorder="1"/>
    <xf numFmtId="187" fontId="38" fillId="0" borderId="2" xfId="0" applyNumberFormat="1" applyFont="1" applyBorder="1"/>
    <xf numFmtId="187" fontId="38" fillId="0" borderId="12" xfId="0" applyNumberFormat="1" applyFont="1" applyBorder="1"/>
    <xf numFmtId="188" fontId="40" fillId="0" borderId="0" xfId="0" applyNumberFormat="1" applyFont="1" applyAlignment="1">
      <alignment horizontal="center"/>
    </xf>
    <xf numFmtId="188" fontId="36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164" fontId="19" fillId="0" borderId="0" xfId="0" applyNumberFormat="1" applyFont="1" applyAlignment="1">
      <alignment horizontal="right"/>
    </xf>
    <xf numFmtId="169" fontId="5" fillId="0" borderId="0" xfId="0" applyNumberFormat="1" applyFont="1" applyAlignment="1">
      <alignment horizontal="center"/>
    </xf>
    <xf numFmtId="164" fontId="4" fillId="0" borderId="3" xfId="0" applyNumberFormat="1" applyFont="1" applyBorder="1" applyAlignment="1">
      <alignment horizontal="right"/>
    </xf>
    <xf numFmtId="169" fontId="35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64" fontId="22" fillId="0" borderId="0" xfId="0" applyNumberFormat="1" applyFont="1" applyAlignment="1">
      <alignment horizontal="right"/>
    </xf>
    <xf numFmtId="0" fontId="22" fillId="0" borderId="0" xfId="0" applyFont="1" applyAlignment="1">
      <alignment horizontal="right"/>
    </xf>
    <xf numFmtId="169" fontId="4" fillId="0" borderId="0" xfId="0" applyNumberFormat="1" applyFont="1" applyAlignment="1">
      <alignment horizontal="right"/>
    </xf>
    <xf numFmtId="189" fontId="19" fillId="0" borderId="2" xfId="0" applyNumberFormat="1" applyFont="1" applyBorder="1" applyAlignment="1">
      <alignment horizontal="right"/>
    </xf>
    <xf numFmtId="189" fontId="5" fillId="0" borderId="2" xfId="0" applyNumberFormat="1" applyFont="1" applyBorder="1" applyAlignment="1">
      <alignment horizontal="right"/>
    </xf>
    <xf numFmtId="0" fontId="5" fillId="11" borderId="1" xfId="0" applyFont="1" applyFill="1" applyBorder="1"/>
    <xf numFmtId="169" fontId="5" fillId="0" borderId="0" xfId="0" applyNumberFormat="1" applyFont="1" applyAlignment="1">
      <alignment horizontal="right"/>
    </xf>
    <xf numFmtId="169" fontId="4" fillId="0" borderId="3" xfId="0" applyNumberFormat="1" applyFont="1" applyBorder="1" applyAlignment="1">
      <alignment horizontal="right"/>
    </xf>
    <xf numFmtId="5" fontId="5" fillId="0" borderId="0" xfId="0" applyNumberFormat="1" applyFont="1" applyAlignment="1">
      <alignment vertical="center"/>
    </xf>
    <xf numFmtId="1" fontId="4" fillId="0" borderId="0" xfId="0" applyNumberFormat="1" applyFont="1" applyAlignment="1">
      <alignment horizontal="right"/>
    </xf>
    <xf numFmtId="1" fontId="5" fillId="0" borderId="0" xfId="0" applyNumberFormat="1" applyFont="1"/>
    <xf numFmtId="166" fontId="54" fillId="0" borderId="0" xfId="0" applyNumberFormat="1" applyFont="1"/>
    <xf numFmtId="0" fontId="7" fillId="0" borderId="0" xfId="0" applyFont="1" applyAlignment="1">
      <alignment horizontal="left"/>
    </xf>
    <xf numFmtId="0" fontId="7" fillId="0" borderId="2" xfId="0" applyFont="1" applyBorder="1" applyAlignment="1">
      <alignment horizontal="left"/>
    </xf>
    <xf numFmtId="0" fontId="7" fillId="0" borderId="2" xfId="0" applyFont="1" applyBorder="1"/>
    <xf numFmtId="0" fontId="7" fillId="0" borderId="2" xfId="0" applyFont="1" applyBorder="1" applyAlignment="1">
      <alignment horizontal="center"/>
    </xf>
    <xf numFmtId="0" fontId="7" fillId="0" borderId="2" xfId="0" applyFont="1" applyBorder="1" applyAlignment="1">
      <alignment horizontal="right"/>
    </xf>
    <xf numFmtId="9" fontId="14" fillId="0" borderId="0" xfId="0" applyNumberFormat="1" applyFont="1" applyAlignment="1">
      <alignment horizontal="right"/>
    </xf>
    <xf numFmtId="37" fontId="9" fillId="0" borderId="0" xfId="0" applyNumberFormat="1" applyFont="1" applyAlignment="1">
      <alignment horizontal="left"/>
    </xf>
    <xf numFmtId="5" fontId="19" fillId="0" borderId="0" xfId="0" applyNumberFormat="1" applyFont="1" applyAlignment="1">
      <alignment vertical="center"/>
    </xf>
    <xf numFmtId="168" fontId="9" fillId="0" borderId="0" xfId="0" applyNumberFormat="1" applyFont="1" applyAlignment="1">
      <alignment horizontal="right"/>
    </xf>
    <xf numFmtId="168" fontId="14" fillId="0" borderId="0" xfId="0" applyNumberFormat="1" applyFont="1" applyAlignment="1">
      <alignment horizontal="right"/>
    </xf>
    <xf numFmtId="2" fontId="14" fillId="0" borderId="0" xfId="0" applyNumberFormat="1" applyFont="1" applyAlignment="1">
      <alignment horizontal="right"/>
    </xf>
    <xf numFmtId="2" fontId="9" fillId="0" borderId="0" xfId="0" applyNumberFormat="1" applyFont="1" applyAlignment="1">
      <alignment horizontal="right"/>
    </xf>
    <xf numFmtId="168" fontId="16" fillId="0" borderId="0" xfId="0" applyNumberFormat="1" applyFont="1" applyAlignment="1">
      <alignment horizontal="right"/>
    </xf>
    <xf numFmtId="190" fontId="16" fillId="0" borderId="0" xfId="0" applyNumberFormat="1" applyFont="1"/>
    <xf numFmtId="168" fontId="16" fillId="0" borderId="2" xfId="0" applyNumberFormat="1" applyFont="1" applyBorder="1" applyAlignment="1">
      <alignment horizontal="right"/>
    </xf>
    <xf numFmtId="168" fontId="7" fillId="0" borderId="0" xfId="0" applyNumberFormat="1" applyFont="1"/>
    <xf numFmtId="9" fontId="14" fillId="0" borderId="2" xfId="0" applyNumberFormat="1" applyFont="1" applyBorder="1" applyAlignment="1">
      <alignment horizontal="right"/>
    </xf>
    <xf numFmtId="5" fontId="19" fillId="0" borderId="2" xfId="0" applyNumberFormat="1" applyFont="1" applyBorder="1" applyAlignment="1">
      <alignment vertical="center"/>
    </xf>
    <xf numFmtId="168" fontId="9" fillId="0" borderId="2" xfId="0" applyNumberFormat="1" applyFont="1" applyBorder="1" applyAlignment="1">
      <alignment horizontal="right"/>
    </xf>
    <xf numFmtId="168" fontId="14" fillId="0" borderId="2" xfId="0" applyNumberFormat="1" applyFont="1" applyBorder="1" applyAlignment="1">
      <alignment horizontal="right"/>
    </xf>
    <xf numFmtId="2" fontId="14" fillId="0" borderId="2" xfId="0" applyNumberFormat="1" applyFont="1" applyBorder="1" applyAlignment="1">
      <alignment horizontal="right"/>
    </xf>
    <xf numFmtId="2" fontId="9" fillId="0" borderId="2" xfId="0" applyNumberFormat="1" applyFont="1" applyBorder="1" applyAlignment="1">
      <alignment horizontal="right"/>
    </xf>
    <xf numFmtId="0" fontId="9" fillId="0" borderId="0" xfId="0" applyFont="1" applyAlignment="1">
      <alignment horizontal="left"/>
    </xf>
    <xf numFmtId="168" fontId="7" fillId="0" borderId="0" xfId="0" applyNumberFormat="1" applyFont="1" applyAlignment="1">
      <alignment horizontal="right"/>
    </xf>
    <xf numFmtId="168" fontId="7" fillId="0" borderId="3" xfId="0" applyNumberFormat="1" applyFont="1" applyBorder="1" applyAlignment="1">
      <alignment horizontal="right"/>
    </xf>
    <xf numFmtId="43" fontId="7" fillId="0" borderId="0" xfId="0" applyNumberFormat="1" applyFont="1" applyAlignment="1">
      <alignment horizontal="right"/>
    </xf>
    <xf numFmtId="2" fontId="9" fillId="0" borderId="0" xfId="0" applyNumberFormat="1" applyFont="1"/>
    <xf numFmtId="0" fontId="12" fillId="0" borderId="0" xfId="0" applyFont="1"/>
    <xf numFmtId="168" fontId="7" fillId="0" borderId="2" xfId="0" applyNumberFormat="1" applyFont="1" applyBorder="1" applyAlignment="1">
      <alignment horizontal="right"/>
    </xf>
    <xf numFmtId="0" fontId="7" fillId="0" borderId="26" xfId="0" applyFont="1" applyBorder="1"/>
    <xf numFmtId="168" fontId="7" fillId="0" borderId="26" xfId="0" applyNumberFormat="1" applyFont="1" applyBorder="1" applyAlignment="1">
      <alignment horizontal="right"/>
    </xf>
    <xf numFmtId="0" fontId="55" fillId="0" borderId="0" xfId="0" applyFont="1"/>
    <xf numFmtId="0" fontId="56" fillId="0" borderId="0" xfId="0" applyFont="1"/>
    <xf numFmtId="10" fontId="56" fillId="0" borderId="0" xfId="0" applyNumberFormat="1" applyFont="1"/>
    <xf numFmtId="0" fontId="57" fillId="0" borderId="33" xfId="0" applyFont="1" applyBorder="1" applyAlignment="1">
      <alignment horizontal="center"/>
    </xf>
    <xf numFmtId="0" fontId="56" fillId="0" borderId="26" xfId="0" applyFont="1" applyBorder="1"/>
    <xf numFmtId="191" fontId="56" fillId="0" borderId="0" xfId="0" applyNumberFormat="1" applyFont="1"/>
    <xf numFmtId="191" fontId="58" fillId="0" borderId="0" xfId="0" applyNumberFormat="1" applyFont="1"/>
    <xf numFmtId="10" fontId="55" fillId="0" borderId="0" xfId="0" applyNumberFormat="1" applyFont="1"/>
    <xf numFmtId="0" fontId="4" fillId="0" borderId="2" xfId="0" applyFont="1" applyBorder="1"/>
    <xf numFmtId="10" fontId="4" fillId="0" borderId="0" xfId="0" applyNumberFormat="1" applyFont="1"/>
    <xf numFmtId="0" fontId="55" fillId="0" borderId="2" xfId="0" applyFont="1" applyBorder="1"/>
    <xf numFmtId="14" fontId="56" fillId="0" borderId="0" xfId="0" applyNumberFormat="1" applyFont="1"/>
    <xf numFmtId="191" fontId="55" fillId="0" borderId="2" xfId="0" applyNumberFormat="1" applyFont="1" applyBorder="1"/>
    <xf numFmtId="191" fontId="55" fillId="0" borderId="0" xfId="0" applyNumberFormat="1" applyFont="1"/>
    <xf numFmtId="191" fontId="37" fillId="0" borderId="0" xfId="0" applyNumberFormat="1" applyFont="1"/>
    <xf numFmtId="9" fontId="56" fillId="0" borderId="0" xfId="0" applyNumberFormat="1" applyFont="1"/>
    <xf numFmtId="0" fontId="59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0" fillId="0" borderId="0" xfId="0" applyFont="1" applyAlignment="1">
      <alignment horizontal="left"/>
    </xf>
    <xf numFmtId="0" fontId="61" fillId="0" borderId="0" xfId="0" applyFont="1" applyAlignment="1">
      <alignment horizontal="center"/>
    </xf>
    <xf numFmtId="0" fontId="62" fillId="0" borderId="0" xfId="0" applyFont="1" applyAlignment="1">
      <alignment horizontal="center" vertical="center"/>
    </xf>
    <xf numFmtId="0" fontId="63" fillId="0" borderId="0" xfId="0" applyFont="1" applyAlignment="1">
      <alignment horizontal="center" vertical="center"/>
    </xf>
    <xf numFmtId="0" fontId="63" fillId="0" borderId="0" xfId="0" quotePrefix="1" applyFont="1" applyAlignment="1">
      <alignment horizontal="center" vertical="center"/>
    </xf>
    <xf numFmtId="0" fontId="61" fillId="0" borderId="0" xfId="0" applyFont="1" applyAlignment="1">
      <alignment horizontal="center" vertical="center"/>
    </xf>
    <xf numFmtId="37" fontId="5" fillId="0" borderId="0" xfId="0" applyNumberFormat="1" applyFont="1" applyAlignment="1">
      <alignment vertical="center"/>
    </xf>
    <xf numFmtId="169" fontId="5" fillId="0" borderId="0" xfId="0" applyNumberFormat="1" applyFont="1" applyAlignment="1">
      <alignment horizontal="right" vertical="center"/>
    </xf>
    <xf numFmtId="7" fontId="5" fillId="0" borderId="0" xfId="0" applyNumberFormat="1" applyFont="1" applyAlignment="1">
      <alignment vertical="center"/>
    </xf>
    <xf numFmtId="37" fontId="4" fillId="0" borderId="0" xfId="0" applyNumberFormat="1" applyFont="1" applyAlignment="1">
      <alignment vertical="center"/>
    </xf>
    <xf numFmtId="5" fontId="4" fillId="0" borderId="0" xfId="0" applyNumberFormat="1" applyFont="1" applyAlignment="1">
      <alignment vertical="center"/>
    </xf>
    <xf numFmtId="7" fontId="4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169" fontId="4" fillId="0" borderId="0" xfId="0" applyNumberFormat="1" applyFont="1" applyAlignment="1">
      <alignment vertical="center"/>
    </xf>
    <xf numFmtId="169" fontId="4" fillId="0" borderId="0" xfId="0" applyNumberFormat="1" applyFont="1" applyAlignment="1">
      <alignment horizontal="right" vertical="center"/>
    </xf>
    <xf numFmtId="37" fontId="5" fillId="0" borderId="2" xfId="0" applyNumberFormat="1" applyFont="1" applyBorder="1" applyAlignment="1">
      <alignment vertical="center"/>
    </xf>
    <xf numFmtId="5" fontId="5" fillId="0" borderId="2" xfId="0" applyNumberFormat="1" applyFont="1" applyBorder="1" applyAlignment="1">
      <alignment vertical="center"/>
    </xf>
    <xf numFmtId="0" fontId="5" fillId="0" borderId="2" xfId="0" applyFont="1" applyBorder="1" applyAlignment="1">
      <alignment vertical="center"/>
    </xf>
    <xf numFmtId="169" fontId="5" fillId="0" borderId="2" xfId="0" applyNumberFormat="1" applyFont="1" applyBorder="1" applyAlignment="1">
      <alignment vertical="center"/>
    </xf>
    <xf numFmtId="169" fontId="5" fillId="0" borderId="2" xfId="0" applyNumberFormat="1" applyFont="1" applyBorder="1" applyAlignment="1">
      <alignment horizontal="right" vertical="center"/>
    </xf>
    <xf numFmtId="168" fontId="5" fillId="0" borderId="2" xfId="0" applyNumberFormat="1" applyFont="1" applyBorder="1" applyAlignment="1">
      <alignment horizontal="right"/>
    </xf>
    <xf numFmtId="168" fontId="4" fillId="0" borderId="0" xfId="0" applyNumberFormat="1" applyFont="1" applyAlignment="1">
      <alignment vertical="center"/>
    </xf>
    <xf numFmtId="192" fontId="4" fillId="0" borderId="0" xfId="0" applyNumberFormat="1" applyFont="1" applyAlignment="1">
      <alignment vertical="center"/>
    </xf>
    <xf numFmtId="7" fontId="5" fillId="0" borderId="0" xfId="0" applyNumberFormat="1" applyFont="1"/>
    <xf numFmtId="37" fontId="10" fillId="0" borderId="0" xfId="0" applyNumberFormat="1" applyFont="1" applyAlignment="1">
      <alignment vertical="center"/>
    </xf>
    <xf numFmtId="5" fontId="10" fillId="0" borderId="0" xfId="0" applyNumberFormat="1" applyFont="1" applyAlignment="1">
      <alignment vertical="center"/>
    </xf>
    <xf numFmtId="193" fontId="5" fillId="0" borderId="0" xfId="0" applyNumberFormat="1" applyFont="1"/>
    <xf numFmtId="5" fontId="5" fillId="0" borderId="0" xfId="0" applyNumberFormat="1" applyFont="1"/>
    <xf numFmtId="0" fontId="49" fillId="0" borderId="0" xfId="0" applyFont="1"/>
    <xf numFmtId="0" fontId="4" fillId="0" borderId="0" xfId="0" applyFont="1" applyAlignment="1">
      <alignment horizontal="left" vertical="center"/>
    </xf>
    <xf numFmtId="0" fontId="10" fillId="0" borderId="7" xfId="0" applyFont="1" applyBorder="1" applyAlignment="1">
      <alignment horizontal="left"/>
    </xf>
    <xf numFmtId="15" fontId="5" fillId="0" borderId="3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164" fontId="64" fillId="0" borderId="3" xfId="0" applyNumberFormat="1" applyFont="1" applyBorder="1" applyAlignment="1">
      <alignment vertical="center"/>
    </xf>
    <xf numFmtId="169" fontId="5" fillId="0" borderId="3" xfId="0" applyNumberFormat="1" applyFont="1" applyBorder="1" applyAlignment="1">
      <alignment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left"/>
    </xf>
    <xf numFmtId="15" fontId="5" fillId="0" borderId="0" xfId="0" applyNumberFormat="1" applyFont="1" applyAlignment="1">
      <alignment horizontal="center" vertical="center"/>
    </xf>
    <xf numFmtId="164" fontId="64" fillId="0" borderId="0" xfId="0" applyNumberFormat="1" applyFont="1" applyAlignment="1">
      <alignment vertic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15" fontId="5" fillId="0" borderId="2" xfId="0" applyNumberFormat="1" applyFont="1" applyBorder="1" applyAlignment="1">
      <alignment horizontal="center" vertical="center"/>
    </xf>
    <xf numFmtId="164" fontId="64" fillId="0" borderId="2" xfId="0" applyNumberFormat="1" applyFont="1" applyBorder="1" applyAlignment="1">
      <alignment vertical="center"/>
    </xf>
    <xf numFmtId="0" fontId="5" fillId="0" borderId="12" xfId="0" applyFont="1" applyBorder="1" applyAlignment="1">
      <alignment horizontal="center"/>
    </xf>
    <xf numFmtId="0" fontId="4" fillId="0" borderId="34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194" fontId="4" fillId="0" borderId="3" xfId="0" applyNumberFormat="1" applyFont="1" applyBorder="1" applyAlignment="1">
      <alignment vertical="center"/>
    </xf>
    <xf numFmtId="194" fontId="4" fillId="0" borderId="0" xfId="0" applyNumberFormat="1" applyFont="1" applyAlignment="1">
      <alignment vertical="center"/>
    </xf>
    <xf numFmtId="169" fontId="4" fillId="0" borderId="7" xfId="0" applyNumberFormat="1" applyFont="1" applyBorder="1" applyAlignment="1">
      <alignment horizontal="right" vertical="center"/>
    </xf>
    <xf numFmtId="169" fontId="4" fillId="0" borderId="3" xfId="0" applyNumberFormat="1" applyFont="1" applyBorder="1" applyAlignment="1">
      <alignment horizontal="right" vertical="center"/>
    </xf>
    <xf numFmtId="169" fontId="4" fillId="0" borderId="8" xfId="0" applyNumberFormat="1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4" fillId="0" borderId="35" xfId="0" applyFont="1" applyBorder="1" applyAlignment="1">
      <alignment vertical="center"/>
    </xf>
    <xf numFmtId="169" fontId="4" fillId="0" borderId="9" xfId="0" applyNumberFormat="1" applyFont="1" applyBorder="1" applyAlignment="1">
      <alignment horizontal="right" vertical="center"/>
    </xf>
    <xf numFmtId="169" fontId="4" fillId="0" borderId="10" xfId="0" applyNumberFormat="1" applyFont="1" applyBorder="1" applyAlignment="1">
      <alignment horizontal="right" vertical="center"/>
    </xf>
    <xf numFmtId="0" fontId="4" fillId="0" borderId="36" xfId="0" applyFont="1" applyBorder="1" applyAlignment="1">
      <alignment vertical="center"/>
    </xf>
    <xf numFmtId="169" fontId="4" fillId="0" borderId="11" xfId="0" applyNumberFormat="1" applyFont="1" applyBorder="1" applyAlignment="1">
      <alignment horizontal="right" vertical="center"/>
    </xf>
    <xf numFmtId="169" fontId="4" fillId="0" borderId="2" xfId="0" applyNumberFormat="1" applyFont="1" applyBorder="1" applyAlignment="1">
      <alignment horizontal="right" vertical="center"/>
    </xf>
    <xf numFmtId="169" fontId="4" fillId="0" borderId="12" xfId="0" applyNumberFormat="1" applyFont="1" applyBorder="1" applyAlignment="1">
      <alignment horizontal="right" vertical="center"/>
    </xf>
    <xf numFmtId="173" fontId="22" fillId="0" borderId="0" xfId="0" applyNumberFormat="1" applyFont="1"/>
    <xf numFmtId="195" fontId="5" fillId="0" borderId="0" xfId="0" applyNumberFormat="1" applyFont="1"/>
    <xf numFmtId="0" fontId="65" fillId="0" borderId="0" xfId="0" applyFont="1"/>
    <xf numFmtId="196" fontId="17" fillId="0" borderId="0" xfId="0" applyNumberFormat="1" applyFont="1"/>
    <xf numFmtId="193" fontId="56" fillId="0" borderId="0" xfId="0" applyNumberFormat="1" applyFont="1"/>
    <xf numFmtId="0" fontId="17" fillId="0" borderId="3" xfId="0" applyFont="1" applyBorder="1"/>
    <xf numFmtId="0" fontId="22" fillId="0" borderId="0" xfId="0" applyFont="1" applyAlignment="1">
      <alignment horizontal="left"/>
    </xf>
    <xf numFmtId="0" fontId="66" fillId="0" borderId="0" xfId="0" applyFont="1"/>
    <xf numFmtId="0" fontId="4" fillId="0" borderId="2" xfId="0" applyFont="1" applyBorder="1" applyAlignment="1">
      <alignment horizontal="left"/>
    </xf>
    <xf numFmtId="0" fontId="4" fillId="0" borderId="2" xfId="0" applyFont="1" applyBorder="1" applyAlignment="1">
      <alignment horizontal="right"/>
    </xf>
    <xf numFmtId="0" fontId="67" fillId="0" borderId="0" xfId="0" applyFont="1" applyAlignment="1">
      <alignment vertical="top" wrapText="1"/>
    </xf>
    <xf numFmtId="164" fontId="67" fillId="0" borderId="0" xfId="0" applyNumberFormat="1" applyFont="1" applyAlignment="1">
      <alignment horizontal="right" vertical="top" wrapText="1"/>
    </xf>
    <xf numFmtId="0" fontId="67" fillId="0" borderId="0" xfId="0" applyFont="1" applyAlignment="1">
      <alignment horizontal="right" vertical="top" wrapText="1"/>
    </xf>
    <xf numFmtId="0" fontId="4" fillId="0" borderId="0" xfId="0" applyFont="1" applyAlignment="1">
      <alignment wrapText="1"/>
    </xf>
    <xf numFmtId="164" fontId="4" fillId="0" borderId="0" xfId="0" applyNumberFormat="1" applyFont="1" applyAlignment="1">
      <alignment horizontal="right" wrapText="1"/>
    </xf>
    <xf numFmtId="0" fontId="17" fillId="0" borderId="0" xfId="0" applyFont="1" applyAlignment="1">
      <alignment vertical="center"/>
    </xf>
    <xf numFmtId="0" fontId="68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5" fontId="4" fillId="0" borderId="0" xfId="0" applyNumberFormat="1" applyFont="1" applyAlignment="1">
      <alignment wrapText="1"/>
    </xf>
    <xf numFmtId="0" fontId="69" fillId="0" borderId="0" xfId="0" applyFont="1" applyAlignment="1">
      <alignment horizontal="center"/>
    </xf>
    <xf numFmtId="0" fontId="69" fillId="0" borderId="0" xfId="0" applyFont="1" applyAlignment="1">
      <alignment horizontal="center" wrapText="1"/>
    </xf>
    <xf numFmtId="43" fontId="22" fillId="0" borderId="0" xfId="0" applyNumberFormat="1" applyFont="1" applyAlignment="1">
      <alignment horizontal="center" wrapText="1"/>
    </xf>
    <xf numFmtId="0" fontId="22" fillId="0" borderId="0" xfId="0" applyFont="1" applyAlignment="1">
      <alignment horizontal="center" wrapText="1"/>
    </xf>
    <xf numFmtId="197" fontId="5" fillId="0" borderId="0" xfId="0" applyNumberFormat="1" applyFont="1" applyAlignment="1">
      <alignment horizontal="left" vertical="center"/>
    </xf>
    <xf numFmtId="198" fontId="10" fillId="0" borderId="0" xfId="0" applyNumberFormat="1" applyFont="1" applyAlignment="1">
      <alignment horizontal="left" vertical="center"/>
    </xf>
    <xf numFmtId="198" fontId="70" fillId="0" borderId="0" xfId="0" applyNumberFormat="1" applyFont="1" applyAlignment="1">
      <alignment vertical="center"/>
    </xf>
    <xf numFmtId="10" fontId="70" fillId="0" borderId="0" xfId="0" applyNumberFormat="1" applyFont="1" applyAlignment="1">
      <alignment vertical="center"/>
    </xf>
    <xf numFmtId="166" fontId="70" fillId="0" borderId="0" xfId="0" applyNumberFormat="1" applyFont="1" applyAlignment="1">
      <alignment vertical="center"/>
    </xf>
    <xf numFmtId="9" fontId="70" fillId="0" borderId="0" xfId="0" applyNumberFormat="1" applyFont="1" applyAlignment="1">
      <alignment vertical="center"/>
    </xf>
    <xf numFmtId="166" fontId="17" fillId="0" borderId="0" xfId="0" applyNumberFormat="1" applyFont="1" applyAlignment="1">
      <alignment vertical="center"/>
    </xf>
    <xf numFmtId="197" fontId="5" fillId="0" borderId="0" xfId="0" applyNumberFormat="1" applyFont="1" applyAlignment="1">
      <alignment horizontal="left"/>
    </xf>
    <xf numFmtId="9" fontId="17" fillId="0" borderId="0" xfId="0" applyNumberFormat="1" applyFont="1" applyAlignment="1">
      <alignment vertical="center"/>
    </xf>
    <xf numFmtId="0" fontId="71" fillId="0" borderId="0" xfId="0" applyFont="1" applyAlignment="1">
      <alignment horizontal="center" vertical="center"/>
    </xf>
    <xf numFmtId="197" fontId="72" fillId="0" borderId="0" xfId="0" applyNumberFormat="1" applyFont="1" applyAlignment="1">
      <alignment horizontal="left" vertical="center"/>
    </xf>
    <xf numFmtId="10" fontId="73" fillId="0" borderId="0" xfId="0" applyNumberFormat="1" applyFont="1" applyAlignment="1">
      <alignment horizontal="center"/>
    </xf>
    <xf numFmtId="10" fontId="56" fillId="0" borderId="0" xfId="0" applyNumberFormat="1" applyFont="1" applyAlignment="1">
      <alignment horizontal="center"/>
    </xf>
    <xf numFmtId="0" fontId="56" fillId="0" borderId="0" xfId="0" applyFont="1" applyAlignment="1">
      <alignment horizontal="center"/>
    </xf>
    <xf numFmtId="0" fontId="56" fillId="0" borderId="0" xfId="0" applyFont="1" applyAlignment="1">
      <alignment horizontal="center" vertical="center"/>
    </xf>
    <xf numFmtId="2" fontId="56" fillId="0" borderId="0" xfId="0" applyNumberFormat="1" applyFont="1" applyAlignment="1">
      <alignment horizontal="center" vertical="center"/>
    </xf>
    <xf numFmtId="199" fontId="56" fillId="0" borderId="0" xfId="0" applyNumberFormat="1" applyFont="1" applyAlignment="1">
      <alignment horizontal="center" vertical="center"/>
    </xf>
    <xf numFmtId="10" fontId="56" fillId="0" borderId="0" xfId="0" applyNumberFormat="1" applyFont="1" applyAlignment="1">
      <alignment horizontal="center" vertical="center"/>
    </xf>
    <xf numFmtId="0" fontId="74" fillId="0" borderId="0" xfId="0" applyFont="1" applyAlignment="1">
      <alignment horizontal="center" vertical="center"/>
    </xf>
    <xf numFmtId="0" fontId="5" fillId="0" borderId="37" xfId="0" applyFont="1" applyBorder="1"/>
    <xf numFmtId="0" fontId="55" fillId="0" borderId="37" xfId="0" applyFont="1" applyBorder="1" applyAlignment="1">
      <alignment horizontal="center"/>
    </xf>
    <xf numFmtId="0" fontId="55" fillId="0" borderId="38" xfId="0" applyFont="1" applyBorder="1" applyAlignment="1">
      <alignment horizontal="center"/>
    </xf>
    <xf numFmtId="0" fontId="55" fillId="0" borderId="39" xfId="0" applyFont="1" applyBorder="1" applyAlignment="1">
      <alignment horizontal="center"/>
    </xf>
    <xf numFmtId="10" fontId="56" fillId="0" borderId="39" xfId="0" applyNumberFormat="1" applyFont="1" applyBorder="1" applyAlignment="1">
      <alignment horizontal="center"/>
    </xf>
    <xf numFmtId="10" fontId="56" fillId="0" borderId="40" xfId="0" applyNumberFormat="1" applyFont="1" applyBorder="1" applyAlignment="1">
      <alignment horizontal="center"/>
    </xf>
    <xf numFmtId="10" fontId="55" fillId="0" borderId="39" xfId="0" applyNumberFormat="1" applyFont="1" applyBorder="1" applyAlignment="1">
      <alignment horizontal="center"/>
    </xf>
    <xf numFmtId="10" fontId="55" fillId="0" borderId="40" xfId="0" applyNumberFormat="1" applyFont="1" applyBorder="1" applyAlignment="1">
      <alignment horizontal="center"/>
    </xf>
    <xf numFmtId="0" fontId="5" fillId="0" borderId="41" xfId="0" applyFont="1" applyBorder="1"/>
    <xf numFmtId="0" fontId="5" fillId="0" borderId="42" xfId="0" applyFont="1" applyBorder="1"/>
    <xf numFmtId="0" fontId="33" fillId="0" borderId="0" xfId="0" applyFont="1"/>
    <xf numFmtId="0" fontId="75" fillId="0" borderId="0" xfId="0" applyFont="1"/>
    <xf numFmtId="2" fontId="56" fillId="0" borderId="0" xfId="0" applyNumberFormat="1" applyFont="1" applyAlignment="1">
      <alignment horizontal="center"/>
    </xf>
    <xf numFmtId="9" fontId="14" fillId="0" borderId="6" xfId="1" applyFont="1" applyBorder="1"/>
    <xf numFmtId="0" fontId="83" fillId="0" borderId="0" xfId="0" applyFont="1"/>
    <xf numFmtId="174" fontId="84" fillId="0" borderId="0" xfId="0" applyNumberFormat="1" applyFont="1"/>
    <xf numFmtId="174" fontId="4" fillId="0" borderId="43" xfId="0" applyNumberFormat="1" applyFont="1" applyBorder="1"/>
    <xf numFmtId="0" fontId="0" fillId="0" borderId="43" xfId="0" applyBorder="1"/>
    <xf numFmtId="167" fontId="5" fillId="0" borderId="43" xfId="0" applyNumberFormat="1" applyFont="1" applyBorder="1"/>
    <xf numFmtId="0" fontId="5" fillId="0" borderId="43" xfId="0" applyFont="1" applyBorder="1"/>
    <xf numFmtId="37" fontId="5" fillId="0" borderId="43" xfId="0" applyNumberFormat="1" applyFont="1" applyBorder="1"/>
    <xf numFmtId="167" fontId="4" fillId="0" borderId="44" xfId="0" applyNumberFormat="1" applyFont="1" applyBorder="1"/>
    <xf numFmtId="37" fontId="5" fillId="8" borderId="43" xfId="0" applyNumberFormat="1" applyFont="1" applyFill="1" applyBorder="1"/>
    <xf numFmtId="166" fontId="5" fillId="0" borderId="43" xfId="0" applyNumberFormat="1" applyFont="1" applyBorder="1" applyAlignment="1">
      <alignment horizontal="right"/>
    </xf>
    <xf numFmtId="167" fontId="5" fillId="0" borderId="44" xfId="0" applyNumberFormat="1" applyFont="1" applyBorder="1"/>
    <xf numFmtId="167" fontId="4" fillId="0" borderId="43" xfId="0" applyNumberFormat="1" applyFont="1" applyBorder="1"/>
    <xf numFmtId="37" fontId="4" fillId="0" borderId="43" xfId="0" applyNumberFormat="1" applyFont="1" applyBorder="1"/>
    <xf numFmtId="0" fontId="22" fillId="0" borderId="43" xfId="0" applyFont="1" applyBorder="1"/>
    <xf numFmtId="37" fontId="10" fillId="0" borderId="43" xfId="0" applyNumberFormat="1" applyFont="1" applyBorder="1"/>
    <xf numFmtId="167" fontId="5" fillId="0" borderId="43" xfId="0" applyNumberFormat="1" applyFont="1" applyBorder="1" applyAlignment="1">
      <alignment horizontal="right"/>
    </xf>
    <xf numFmtId="37" fontId="34" fillId="0" borderId="43" xfId="0" applyNumberFormat="1" applyFont="1" applyBorder="1"/>
    <xf numFmtId="0" fontId="5" fillId="0" borderId="46" xfId="0" applyFont="1" applyBorder="1"/>
    <xf numFmtId="3" fontId="5" fillId="0" borderId="45" xfId="0" applyNumberFormat="1" applyFont="1" applyBorder="1"/>
    <xf numFmtId="3" fontId="5" fillId="0" borderId="43" xfId="0" applyNumberFormat="1" applyFont="1" applyBorder="1"/>
    <xf numFmtId="37" fontId="5" fillId="0" borderId="45" xfId="0" applyNumberFormat="1" applyFont="1" applyBorder="1"/>
    <xf numFmtId="3" fontId="4" fillId="0" borderId="43" xfId="0" applyNumberFormat="1" applyFont="1" applyBorder="1"/>
    <xf numFmtId="43" fontId="4" fillId="0" borderId="44" xfId="0" applyNumberFormat="1" applyFont="1" applyBorder="1"/>
    <xf numFmtId="39" fontId="5" fillId="0" borderId="43" xfId="0" applyNumberFormat="1" applyFont="1" applyBorder="1"/>
    <xf numFmtId="2" fontId="5" fillId="0" borderId="43" xfId="0" applyNumberFormat="1" applyFont="1" applyBorder="1" applyAlignment="1">
      <alignment horizontal="right"/>
    </xf>
    <xf numFmtId="168" fontId="5" fillId="0" borderId="43" xfId="0" applyNumberFormat="1" applyFont="1" applyBorder="1"/>
    <xf numFmtId="0" fontId="0" fillId="0" borderId="1" xfId="0" applyBorder="1"/>
    <xf numFmtId="174" fontId="5" fillId="0" borderId="22" xfId="0" applyNumberFormat="1" applyFont="1" applyBorder="1"/>
    <xf numFmtId="0" fontId="5" fillId="0" borderId="1" xfId="0" applyFont="1" applyBorder="1"/>
    <xf numFmtId="166" fontId="4" fillId="0" borderId="1" xfId="0" applyNumberFormat="1" applyFont="1" applyBorder="1"/>
    <xf numFmtId="174" fontId="4" fillId="0" borderId="1" xfId="0" applyNumberFormat="1" applyFont="1" applyBorder="1"/>
    <xf numFmtId="167" fontId="19" fillId="0" borderId="1" xfId="0" applyNumberFormat="1" applyFont="1" applyBorder="1"/>
    <xf numFmtId="37" fontId="10" fillId="0" borderId="1" xfId="0" applyNumberFormat="1" applyFont="1" applyBorder="1"/>
    <xf numFmtId="37" fontId="5" fillId="0" borderId="1" xfId="0" applyNumberFormat="1" applyFont="1" applyBorder="1"/>
    <xf numFmtId="167" fontId="5" fillId="0" borderId="1" xfId="0" applyNumberFormat="1" applyFont="1" applyBorder="1"/>
    <xf numFmtId="167" fontId="4" fillId="0" borderId="1" xfId="0" applyNumberFormat="1" applyFont="1" applyBorder="1"/>
    <xf numFmtId="37" fontId="4" fillId="0" borderId="1" xfId="0" applyNumberFormat="1" applyFont="1" applyBorder="1"/>
    <xf numFmtId="0" fontId="22" fillId="0" borderId="1" xfId="0" applyFont="1" applyBorder="1"/>
    <xf numFmtId="37" fontId="34" fillId="0" borderId="1" xfId="0" applyNumberFormat="1" applyFont="1" applyBorder="1"/>
    <xf numFmtId="167" fontId="35" fillId="0" borderId="1" xfId="0" applyNumberFormat="1" applyFont="1" applyBorder="1"/>
    <xf numFmtId="3" fontId="5" fillId="0" borderId="1" xfId="0" applyNumberFormat="1" applyFont="1" applyBorder="1"/>
    <xf numFmtId="43" fontId="4" fillId="0" borderId="1" xfId="0" applyNumberFormat="1" applyFont="1" applyBorder="1"/>
    <xf numFmtId="39" fontId="5" fillId="0" borderId="1" xfId="0" applyNumberFormat="1" applyFont="1" applyBorder="1"/>
    <xf numFmtId="10" fontId="5" fillId="0" borderId="1" xfId="0" applyNumberFormat="1" applyFont="1" applyBorder="1" applyAlignment="1">
      <alignment horizontal="right"/>
    </xf>
    <xf numFmtId="166" fontId="5" fillId="0" borderId="1" xfId="0" applyNumberFormat="1" applyFont="1" applyBorder="1" applyAlignment="1">
      <alignment horizontal="right"/>
    </xf>
    <xf numFmtId="177" fontId="36" fillId="0" borderId="1" xfId="0" applyNumberFormat="1" applyFont="1" applyBorder="1"/>
    <xf numFmtId="174" fontId="5" fillId="0" borderId="1" xfId="0" applyNumberFormat="1" applyFont="1" applyBorder="1"/>
    <xf numFmtId="177" fontId="38" fillId="0" borderId="1" xfId="0" applyNumberFormat="1" applyFont="1" applyBorder="1"/>
    <xf numFmtId="178" fontId="39" fillId="0" borderId="1" xfId="0" applyNumberFormat="1" applyFont="1" applyBorder="1"/>
    <xf numFmtId="0" fontId="86" fillId="0" borderId="1" xfId="0" applyFont="1" applyBorder="1" applyAlignment="1">
      <alignment horizontal="left" vertical="center"/>
    </xf>
    <xf numFmtId="0" fontId="87" fillId="0" borderId="1" xfId="0" applyFont="1" applyBorder="1" applyAlignment="1">
      <alignment horizontal="centerContinuous"/>
    </xf>
    <xf numFmtId="0" fontId="87" fillId="0" borderId="21" xfId="0" applyFont="1" applyBorder="1"/>
    <xf numFmtId="0" fontId="87" fillId="0" borderId="0" xfId="0" applyFont="1"/>
    <xf numFmtId="0" fontId="88" fillId="0" borderId="0" xfId="0" applyFont="1" applyAlignment="1">
      <alignment vertical="center"/>
    </xf>
    <xf numFmtId="0" fontId="89" fillId="0" borderId="0" xfId="0" applyFont="1" applyAlignment="1">
      <alignment vertical="center"/>
    </xf>
    <xf numFmtId="176" fontId="90" fillId="0" borderId="1" xfId="1" applyNumberFormat="1" applyFont="1" applyFill="1" applyBorder="1" applyAlignment="1">
      <alignment horizontal="right" vertical="center"/>
    </xf>
    <xf numFmtId="0" fontId="88" fillId="0" borderId="1" xfId="0" applyFont="1" applyBorder="1" applyAlignment="1">
      <alignment vertical="center"/>
    </xf>
    <xf numFmtId="0" fontId="87" fillId="0" borderId="1" xfId="0" applyFont="1" applyBorder="1"/>
    <xf numFmtId="0" fontId="89" fillId="0" borderId="1" xfId="0" applyFont="1" applyBorder="1" applyAlignment="1">
      <alignment vertical="center"/>
    </xf>
    <xf numFmtId="0" fontId="91" fillId="0" borderId="1" xfId="0" quotePrefix="1" applyFont="1" applyBorder="1" applyAlignment="1">
      <alignment horizontal="center" vertical="center"/>
    </xf>
    <xf numFmtId="175" fontId="90" fillId="0" borderId="1" xfId="2" applyNumberFormat="1" applyFont="1" applyBorder="1" applyAlignment="1">
      <alignment horizontal="right" vertical="center"/>
    </xf>
    <xf numFmtId="0" fontId="90" fillId="0" borderId="1" xfId="0" applyFont="1" applyBorder="1" applyAlignment="1">
      <alignment vertical="center"/>
    </xf>
    <xf numFmtId="0" fontId="90" fillId="0" borderId="1" xfId="0" applyFont="1" applyBorder="1"/>
    <xf numFmtId="0" fontId="92" fillId="0" borderId="1" xfId="0" quotePrefix="1" applyFont="1" applyBorder="1" applyAlignment="1">
      <alignment horizontal="center" vertical="center"/>
    </xf>
    <xf numFmtId="200" fontId="90" fillId="0" borderId="1" xfId="0" applyNumberFormat="1" applyFont="1" applyBorder="1" applyAlignment="1">
      <alignment horizontal="right"/>
    </xf>
    <xf numFmtId="0" fontId="86" fillId="0" borderId="1" xfId="0" applyFont="1" applyBorder="1" applyAlignment="1">
      <alignment horizontal="centerContinuous" vertical="center"/>
    </xf>
    <xf numFmtId="0" fontId="94" fillId="0" borderId="0" xfId="0" applyFont="1"/>
    <xf numFmtId="0" fontId="95" fillId="0" borderId="1" xfId="0" applyFont="1" applyBorder="1" applyAlignment="1">
      <alignment horizontal="centerContinuous" vertical="center"/>
    </xf>
    <xf numFmtId="0" fontId="94" fillId="0" borderId="1" xfId="0" applyFont="1" applyBorder="1" applyAlignment="1">
      <alignment horizontal="centerContinuous"/>
    </xf>
    <xf numFmtId="0" fontId="94" fillId="0" borderId="21" xfId="0" applyFont="1" applyBorder="1"/>
    <xf numFmtId="0" fontId="87" fillId="0" borderId="0" xfId="0" applyFont="1" applyAlignment="1">
      <alignment horizontal="left"/>
    </xf>
    <xf numFmtId="0" fontId="96" fillId="0" borderId="0" xfId="0" applyFont="1" applyAlignment="1">
      <alignment horizontal="left"/>
    </xf>
    <xf numFmtId="0" fontId="88" fillId="0" borderId="0" xfId="0" applyFont="1" applyAlignment="1">
      <alignment horizontal="centerContinuous" vertical="center"/>
    </xf>
    <xf numFmtId="0" fontId="87" fillId="0" borderId="0" xfId="0" applyFont="1" applyAlignment="1">
      <alignment horizontal="centerContinuous"/>
    </xf>
    <xf numFmtId="0" fontId="94" fillId="0" borderId="0" xfId="0" applyFont="1" applyAlignment="1">
      <alignment horizontal="left"/>
    </xf>
    <xf numFmtId="0" fontId="90" fillId="0" borderId="0" xfId="0" applyFont="1" applyAlignment="1">
      <alignment horizontal="centerContinuous" vertical="center"/>
    </xf>
    <xf numFmtId="0" fontId="94" fillId="0" borderId="0" xfId="0" applyFont="1" applyAlignment="1">
      <alignment horizontal="centerContinuous"/>
    </xf>
    <xf numFmtId="201" fontId="97" fillId="0" borderId="1" xfId="0" applyNumberFormat="1" applyFont="1" applyBorder="1" applyAlignment="1">
      <alignment horizontal="right"/>
    </xf>
    <xf numFmtId="176" fontId="98" fillId="0" borderId="1" xfId="1" applyNumberFormat="1" applyFont="1" applyFill="1" applyBorder="1" applyAlignment="1">
      <alignment horizontal="right" vertical="center"/>
    </xf>
    <xf numFmtId="202" fontId="99" fillId="0" borderId="1" xfId="0" applyNumberFormat="1" applyFont="1" applyBorder="1" applyAlignment="1">
      <alignment horizontal="right"/>
    </xf>
    <xf numFmtId="175" fontId="90" fillId="0" borderId="13" xfId="2" applyNumberFormat="1" applyFont="1" applyFill="1" applyBorder="1" applyAlignment="1">
      <alignment vertical="center"/>
    </xf>
    <xf numFmtId="175" fontId="90" fillId="0" borderId="14" xfId="2" applyNumberFormat="1" applyFont="1" applyFill="1" applyBorder="1" applyAlignment="1">
      <alignment vertical="center"/>
    </xf>
    <xf numFmtId="175" fontId="90" fillId="0" borderId="15" xfId="2" applyNumberFormat="1" applyFont="1" applyFill="1" applyBorder="1" applyAlignment="1">
      <alignment vertical="center"/>
    </xf>
    <xf numFmtId="200" fontId="90" fillId="0" borderId="13" xfId="2" applyNumberFormat="1" applyFont="1" applyFill="1" applyBorder="1" applyAlignment="1">
      <alignment vertical="center"/>
    </xf>
    <xf numFmtId="200" fontId="90" fillId="0" borderId="14" xfId="2" applyNumberFormat="1" applyFont="1" applyFill="1" applyBorder="1" applyAlignment="1">
      <alignment vertical="center"/>
    </xf>
    <xf numFmtId="200" fontId="90" fillId="0" borderId="15" xfId="2" applyNumberFormat="1" applyFont="1" applyFill="1" applyBorder="1" applyAlignment="1">
      <alignment vertical="center"/>
    </xf>
    <xf numFmtId="175" fontId="90" fillId="0" borderId="16" xfId="2" applyNumberFormat="1" applyFont="1" applyFill="1" applyBorder="1" applyAlignment="1">
      <alignment vertical="center"/>
    </xf>
    <xf numFmtId="175" fontId="90" fillId="0" borderId="0" xfId="2" applyNumberFormat="1" applyFont="1" applyFill="1" applyAlignment="1">
      <alignment vertical="center"/>
    </xf>
    <xf numFmtId="175" fontId="90" fillId="0" borderId="17" xfId="2" applyNumberFormat="1" applyFont="1" applyFill="1" applyBorder="1" applyAlignment="1">
      <alignment vertical="center"/>
    </xf>
    <xf numFmtId="200" fontId="90" fillId="0" borderId="16" xfId="2" applyNumberFormat="1" applyFont="1" applyFill="1" applyBorder="1" applyAlignment="1">
      <alignment vertical="center"/>
    </xf>
    <xf numFmtId="200" fontId="90" fillId="0" borderId="0" xfId="2" applyNumberFormat="1" applyFont="1" applyFill="1" applyAlignment="1">
      <alignment vertical="center"/>
    </xf>
    <xf numFmtId="200" fontId="90" fillId="0" borderId="17" xfId="2" applyNumberFormat="1" applyFont="1" applyFill="1" applyBorder="1" applyAlignment="1">
      <alignment vertical="center"/>
    </xf>
    <xf numFmtId="175" fontId="95" fillId="0" borderId="51" xfId="2" applyNumberFormat="1" applyFont="1" applyFill="1" applyBorder="1" applyAlignment="1">
      <alignment vertical="center"/>
    </xf>
    <xf numFmtId="200" fontId="95" fillId="0" borderId="51" xfId="2" applyNumberFormat="1" applyFont="1" applyFill="1" applyBorder="1" applyAlignment="1">
      <alignment vertical="center"/>
    </xf>
    <xf numFmtId="175" fontId="90" fillId="0" borderId="18" xfId="2" applyNumberFormat="1" applyFont="1" applyFill="1" applyBorder="1" applyAlignment="1">
      <alignment vertical="center"/>
    </xf>
    <xf numFmtId="175" fontId="90" fillId="0" borderId="19" xfId="2" applyNumberFormat="1" applyFont="1" applyFill="1" applyBorder="1" applyAlignment="1">
      <alignment vertical="center"/>
    </xf>
    <xf numFmtId="175" fontId="90" fillId="0" borderId="20" xfId="2" applyNumberFormat="1" applyFont="1" applyFill="1" applyBorder="1" applyAlignment="1">
      <alignment vertical="center"/>
    </xf>
    <xf numFmtId="200" fontId="90" fillId="0" borderId="18" xfId="2" applyNumberFormat="1" applyFont="1" applyFill="1" applyBorder="1" applyAlignment="1">
      <alignment vertical="center"/>
    </xf>
    <xf numFmtId="200" fontId="90" fillId="0" borderId="19" xfId="2" applyNumberFormat="1" applyFont="1" applyFill="1" applyBorder="1" applyAlignment="1">
      <alignment vertical="center"/>
    </xf>
    <xf numFmtId="200" fontId="90" fillId="0" borderId="20" xfId="2" applyNumberFormat="1" applyFont="1" applyFill="1" applyBorder="1" applyAlignment="1">
      <alignment vertical="center"/>
    </xf>
    <xf numFmtId="0" fontId="95" fillId="0" borderId="0" xfId="0" applyFont="1" applyAlignment="1">
      <alignment horizontal="centerContinuous" vertical="center"/>
    </xf>
    <xf numFmtId="201" fontId="99" fillId="0" borderId="1" xfId="0" applyNumberFormat="1" applyFont="1" applyBorder="1" applyAlignment="1">
      <alignment horizontal="right"/>
    </xf>
    <xf numFmtId="176" fontId="98" fillId="0" borderId="19" xfId="1" applyNumberFormat="1" applyFont="1" applyFill="1" applyBorder="1" applyAlignment="1">
      <alignment horizontal="right" vertical="center"/>
    </xf>
    <xf numFmtId="201" fontId="90" fillId="0" borderId="1" xfId="0" applyNumberFormat="1" applyFont="1" applyBorder="1" applyAlignment="1">
      <alignment horizontal="right"/>
    </xf>
    <xf numFmtId="175" fontId="90" fillId="0" borderId="1" xfId="2" applyNumberFormat="1" applyFont="1" applyFill="1" applyBorder="1" applyAlignment="1">
      <alignment vertical="center"/>
    </xf>
    <xf numFmtId="176" fontId="90" fillId="0" borderId="13" xfId="2" applyNumberFormat="1" applyFont="1" applyFill="1" applyBorder="1" applyAlignment="1">
      <alignment horizontal="right" vertical="center"/>
    </xf>
    <xf numFmtId="176" fontId="90" fillId="0" borderId="14" xfId="2" applyNumberFormat="1" applyFont="1" applyFill="1" applyBorder="1" applyAlignment="1">
      <alignment horizontal="right" vertical="center"/>
    </xf>
    <xf numFmtId="176" fontId="90" fillId="0" borderId="15" xfId="2" applyNumberFormat="1" applyFont="1" applyFill="1" applyBorder="1" applyAlignment="1">
      <alignment horizontal="right" vertical="center"/>
    </xf>
    <xf numFmtId="176" fontId="90" fillId="0" borderId="16" xfId="2" applyNumberFormat="1" applyFont="1" applyFill="1" applyBorder="1" applyAlignment="1">
      <alignment horizontal="right" vertical="center"/>
    </xf>
    <xf numFmtId="176" fontId="90" fillId="0" borderId="0" xfId="2" applyNumberFormat="1" applyFont="1" applyFill="1" applyAlignment="1">
      <alignment horizontal="right" vertical="center"/>
    </xf>
    <xf numFmtId="176" fontId="90" fillId="0" borderId="17" xfId="2" applyNumberFormat="1" applyFont="1" applyFill="1" applyBorder="1" applyAlignment="1">
      <alignment horizontal="right" vertical="center"/>
    </xf>
    <xf numFmtId="176" fontId="95" fillId="0" borderId="51" xfId="2" applyNumberFormat="1" applyFont="1" applyFill="1" applyBorder="1" applyAlignment="1">
      <alignment horizontal="right" vertical="center"/>
    </xf>
    <xf numFmtId="176" fontId="90" fillId="0" borderId="18" xfId="2" applyNumberFormat="1" applyFont="1" applyFill="1" applyBorder="1" applyAlignment="1">
      <alignment horizontal="right" vertical="center"/>
    </xf>
    <xf numFmtId="176" fontId="90" fillId="0" borderId="19" xfId="2" applyNumberFormat="1" applyFont="1" applyFill="1" applyBorder="1" applyAlignment="1">
      <alignment horizontal="right" vertical="center"/>
    </xf>
    <xf numFmtId="176" fontId="90" fillId="0" borderId="20" xfId="2" applyNumberFormat="1" applyFont="1" applyFill="1" applyBorder="1" applyAlignment="1">
      <alignment horizontal="right" vertical="center"/>
    </xf>
    <xf numFmtId="0" fontId="90" fillId="0" borderId="0" xfId="0" applyFont="1" applyAlignment="1">
      <alignment horizontal="center" vertical="center" textRotation="90"/>
    </xf>
    <xf numFmtId="175" fontId="90" fillId="0" borderId="1" xfId="2" applyNumberFormat="1" applyFont="1" applyBorder="1" applyAlignment="1">
      <alignment vertical="center"/>
    </xf>
    <xf numFmtId="176" fontId="90" fillId="0" borderId="1" xfId="2" applyNumberFormat="1" applyFont="1" applyBorder="1" applyAlignment="1">
      <alignment horizontal="right" vertical="center"/>
    </xf>
    <xf numFmtId="0" fontId="94" fillId="0" borderId="1" xfId="0" applyFont="1" applyBorder="1"/>
    <xf numFmtId="201" fontId="100" fillId="0" borderId="1" xfId="0" applyNumberFormat="1" applyFont="1" applyBorder="1" applyAlignment="1">
      <alignment horizontal="right"/>
    </xf>
    <xf numFmtId="203" fontId="98" fillId="0" borderId="1" xfId="1" applyNumberFormat="1" applyFont="1" applyFill="1" applyBorder="1" applyAlignment="1">
      <alignment horizontal="right" vertical="center"/>
    </xf>
    <xf numFmtId="202" fontId="90" fillId="0" borderId="1" xfId="0" applyNumberFormat="1" applyFont="1" applyBorder="1" applyAlignment="1">
      <alignment horizontal="right"/>
    </xf>
    <xf numFmtId="0" fontId="88" fillId="0" borderId="21" xfId="0" applyFont="1" applyBorder="1" applyAlignment="1">
      <alignment vertical="center"/>
    </xf>
    <xf numFmtId="0" fontId="88" fillId="0" borderId="21" xfId="0" applyFont="1" applyBorder="1"/>
    <xf numFmtId="175" fontId="101" fillId="0" borderId="21" xfId="2" applyNumberFormat="1" applyFont="1" applyFill="1" applyBorder="1" applyAlignment="1">
      <alignment vertical="center"/>
    </xf>
    <xf numFmtId="0" fontId="88" fillId="0" borderId="0" xfId="0" applyFont="1"/>
    <xf numFmtId="204" fontId="89" fillId="0" borderId="1" xfId="3" applyNumberFormat="1" applyFont="1" applyAlignment="1">
      <alignment horizontal="right"/>
    </xf>
    <xf numFmtId="175" fontId="101" fillId="0" borderId="1" xfId="2" applyNumberFormat="1" applyFont="1" applyFill="1" applyBorder="1" applyAlignment="1">
      <alignment vertical="center"/>
    </xf>
    <xf numFmtId="175" fontId="101" fillId="0" borderId="0" xfId="2" applyNumberFormat="1" applyFont="1"/>
    <xf numFmtId="0" fontId="103" fillId="0" borderId="21" xfId="0" quotePrefix="1" applyFont="1" applyBorder="1" applyAlignment="1">
      <alignment horizontal="center" vertical="center"/>
    </xf>
    <xf numFmtId="0" fontId="104" fillId="0" borderId="1" xfId="0" quotePrefix="1" applyFont="1" applyBorder="1" applyAlignment="1">
      <alignment horizontal="center" vertical="center"/>
    </xf>
    <xf numFmtId="200" fontId="101" fillId="0" borderId="1" xfId="1" applyNumberFormat="1" applyFont="1" applyFill="1" applyBorder="1" applyAlignment="1">
      <alignment horizontal="right" vertical="center"/>
    </xf>
    <xf numFmtId="0" fontId="87" fillId="0" borderId="1" xfId="0" applyFont="1" applyBorder="1" applyAlignment="1">
      <alignment vertical="center"/>
    </xf>
    <xf numFmtId="176" fontId="101" fillId="0" borderId="1" xfId="1" applyNumberFormat="1" applyFont="1" applyFill="1" applyBorder="1" applyAlignment="1">
      <alignment vertical="center"/>
    </xf>
    <xf numFmtId="0" fontId="103" fillId="0" borderId="0" xfId="0" applyFont="1" applyAlignment="1">
      <alignment horizontal="center" vertical="center"/>
    </xf>
    <xf numFmtId="203" fontId="101" fillId="0" borderId="1" xfId="2" applyNumberFormat="1" applyFont="1" applyFill="1" applyBorder="1" applyAlignment="1">
      <alignment vertical="center"/>
    </xf>
    <xf numFmtId="0" fontId="87" fillId="0" borderId="0" xfId="0" applyFont="1" applyAlignment="1">
      <alignment vertical="center"/>
    </xf>
    <xf numFmtId="176" fontId="90" fillId="0" borderId="1" xfId="1" applyNumberFormat="1" applyFont="1" applyFill="1" applyBorder="1" applyAlignment="1">
      <alignment vertical="center"/>
    </xf>
    <xf numFmtId="49" fontId="88" fillId="0" borderId="1" xfId="0" applyNumberFormat="1" applyFont="1" applyBorder="1" applyAlignment="1">
      <alignment vertical="center"/>
    </xf>
    <xf numFmtId="204" fontId="98" fillId="0" borderId="1" xfId="3" applyNumberFormat="1" applyFont="1" applyFill="1" applyBorder="1" applyAlignment="1">
      <alignment horizontal="right" vertical="center"/>
    </xf>
    <xf numFmtId="0" fontId="94" fillId="0" borderId="1" xfId="0" applyFont="1" applyBorder="1" applyAlignment="1">
      <alignment vertical="center"/>
    </xf>
    <xf numFmtId="204" fontId="106" fillId="0" borderId="1" xfId="3" applyNumberFormat="1" applyFont="1" applyFill="1" applyBorder="1" applyAlignment="1" applyProtection="1">
      <alignment vertical="center"/>
      <protection locked="0"/>
    </xf>
    <xf numFmtId="205" fontId="88" fillId="0" borderId="1" xfId="4" applyNumberFormat="1" applyFont="1" applyFill="1" applyBorder="1" applyAlignment="1" applyProtection="1">
      <alignment horizontal="right" vertical="center"/>
      <protection locked="0"/>
    </xf>
    <xf numFmtId="206" fontId="109" fillId="0" borderId="1" xfId="0" applyNumberFormat="1" applyFont="1" applyBorder="1" applyAlignment="1">
      <alignment horizontal="left" indent="1"/>
    </xf>
    <xf numFmtId="0" fontId="110" fillId="0" borderId="1" xfId="0" applyFont="1" applyBorder="1"/>
    <xf numFmtId="0" fontId="92" fillId="0" borderId="1" xfId="0" applyFont="1" applyBorder="1"/>
    <xf numFmtId="207" fontId="109" fillId="0" borderId="1" xfId="0" applyNumberFormat="1" applyFont="1" applyBorder="1" applyAlignment="1">
      <alignment horizontal="left" indent="1"/>
    </xf>
    <xf numFmtId="208" fontId="109" fillId="0" borderId="1" xfId="0" applyNumberFormat="1" applyFont="1" applyBorder="1" applyAlignment="1">
      <alignment horizontal="left" indent="1"/>
    </xf>
    <xf numFmtId="209" fontId="109" fillId="0" borderId="1" xfId="0" applyNumberFormat="1" applyFont="1" applyBorder="1" applyAlignment="1">
      <alignment horizontal="left" indent="1"/>
    </xf>
    <xf numFmtId="0" fontId="99" fillId="0" borderId="0" xfId="0" applyFont="1"/>
    <xf numFmtId="0" fontId="110" fillId="0" borderId="0" xfId="0" applyFont="1"/>
    <xf numFmtId="0" fontId="95" fillId="0" borderId="19" xfId="0" applyFont="1" applyBorder="1" applyAlignment="1">
      <alignment horizontal="left"/>
    </xf>
    <xf numFmtId="0" fontId="110" fillId="0" borderId="19" xfId="0" applyFont="1" applyBorder="1"/>
    <xf numFmtId="0" fontId="87" fillId="0" borderId="19" xfId="0" applyFont="1" applyBorder="1"/>
    <xf numFmtId="37" fontId="108" fillId="0" borderId="19" xfId="0" applyNumberFormat="1" applyFont="1" applyBorder="1" applyAlignment="1">
      <alignment vertical="center"/>
    </xf>
    <xf numFmtId="0" fontId="89" fillId="0" borderId="21" xfId="0" applyFont="1" applyBorder="1" applyAlignment="1">
      <alignment vertical="center"/>
    </xf>
    <xf numFmtId="0" fontId="90" fillId="0" borderId="0" xfId="0" applyFont="1" applyAlignment="1">
      <alignment horizontal="left" indent="1"/>
    </xf>
    <xf numFmtId="176" fontId="101" fillId="0" borderId="1" xfId="0" applyNumberFormat="1" applyFont="1" applyBorder="1" applyAlignment="1">
      <alignment vertical="center"/>
    </xf>
    <xf numFmtId="176" fontId="90" fillId="0" borderId="1" xfId="0" applyNumberFormat="1" applyFont="1" applyBorder="1" applyAlignment="1">
      <alignment vertical="center"/>
    </xf>
    <xf numFmtId="176" fontId="101" fillId="0" borderId="19" xfId="0" applyNumberFormat="1" applyFont="1" applyBorder="1" applyAlignment="1">
      <alignment vertical="center"/>
    </xf>
    <xf numFmtId="204" fontId="88" fillId="0" borderId="1" xfId="3" applyNumberFormat="1" applyFont="1" applyBorder="1" applyAlignment="1" applyProtection="1">
      <alignment vertical="center"/>
      <protection locked="0"/>
    </xf>
    <xf numFmtId="204" fontId="89" fillId="0" borderId="1" xfId="3" applyNumberFormat="1" applyFont="1" applyBorder="1" applyAlignment="1" applyProtection="1">
      <alignment vertical="center"/>
      <protection locked="0"/>
    </xf>
    <xf numFmtId="210" fontId="101" fillId="0" borderId="1" xfId="1" applyNumberFormat="1" applyFont="1" applyFill="1" applyBorder="1" applyAlignment="1">
      <alignment vertical="center"/>
    </xf>
    <xf numFmtId="176" fontId="101" fillId="0" borderId="1" xfId="1" applyNumberFormat="1" applyFont="1" applyFill="1" applyBorder="1" applyAlignment="1">
      <alignment horizontal="right" vertical="center"/>
    </xf>
    <xf numFmtId="200" fontId="101" fillId="0" borderId="1" xfId="2" applyNumberFormat="1" applyFont="1" applyFill="1" applyBorder="1" applyAlignment="1">
      <alignment vertical="center"/>
    </xf>
    <xf numFmtId="0" fontId="95" fillId="0" borderId="1" xfId="0" applyFont="1" applyBorder="1" applyAlignment="1">
      <alignment horizontal="left"/>
    </xf>
    <xf numFmtId="174" fontId="114" fillId="0" borderId="0" xfId="0" applyNumberFormat="1" applyFont="1" applyAlignment="1">
      <alignment horizontal="right" vertical="center"/>
    </xf>
    <xf numFmtId="0" fontId="113" fillId="0" borderId="0" xfId="0" applyFont="1" applyAlignment="1">
      <alignment horizontal="left"/>
    </xf>
    <xf numFmtId="0" fontId="90" fillId="0" borderId="1" xfId="0" applyFont="1" applyBorder="1" applyAlignment="1">
      <alignment horizontal="left" vertical="center"/>
    </xf>
    <xf numFmtId="176" fontId="95" fillId="0" borderId="52" xfId="1" applyNumberFormat="1" applyFont="1" applyFill="1" applyBorder="1" applyAlignment="1">
      <alignment horizontal="left" vertical="center"/>
    </xf>
    <xf numFmtId="176" fontId="95" fillId="0" borderId="4" xfId="1" applyNumberFormat="1" applyFont="1" applyFill="1" applyBorder="1" applyAlignment="1">
      <alignment horizontal="left" vertical="center"/>
    </xf>
    <xf numFmtId="0" fontId="88" fillId="0" borderId="1" xfId="0" applyFont="1" applyBorder="1" applyAlignment="1">
      <alignment horizontal="left" vertical="center"/>
    </xf>
    <xf numFmtId="168" fontId="88" fillId="0" borderId="0" xfId="0" applyNumberFormat="1" applyFont="1" applyAlignment="1">
      <alignment horizontal="left" vertical="center"/>
    </xf>
    <xf numFmtId="168" fontId="89" fillId="0" borderId="0" xfId="0" applyNumberFormat="1" applyFont="1" applyAlignment="1">
      <alignment horizontal="left" vertical="center"/>
    </xf>
    <xf numFmtId="168" fontId="112" fillId="0" borderId="1" xfId="0" applyNumberFormat="1" applyFont="1" applyBorder="1" applyAlignment="1">
      <alignment horizontal="left" vertical="center"/>
    </xf>
    <xf numFmtId="168" fontId="113" fillId="0" borderId="0" xfId="0" applyNumberFormat="1" applyFont="1" applyAlignment="1">
      <alignment horizontal="left"/>
    </xf>
    <xf numFmtId="0" fontId="99" fillId="0" borderId="1" xfId="0" applyFont="1" applyBorder="1" applyAlignment="1">
      <alignment horizontal="left" vertical="center"/>
    </xf>
    <xf numFmtId="176" fontId="101" fillId="0" borderId="13" xfId="0" applyNumberFormat="1" applyFont="1" applyBorder="1" applyAlignment="1">
      <alignment horizontal="left" vertical="center"/>
    </xf>
    <xf numFmtId="176" fontId="101" fillId="0" borderId="14" xfId="0" applyNumberFormat="1" applyFont="1" applyBorder="1" applyAlignment="1">
      <alignment horizontal="left" vertical="center"/>
    </xf>
    <xf numFmtId="176" fontId="101" fillId="0" borderId="16" xfId="0" applyNumberFormat="1" applyFont="1" applyBorder="1" applyAlignment="1">
      <alignment horizontal="left" vertical="center"/>
    </xf>
    <xf numFmtId="176" fontId="101" fillId="0" borderId="1" xfId="0" applyNumberFormat="1" applyFont="1" applyBorder="1" applyAlignment="1">
      <alignment horizontal="left" vertical="center"/>
    </xf>
    <xf numFmtId="176" fontId="101" fillId="0" borderId="18" xfId="0" applyNumberFormat="1" applyFont="1" applyBorder="1" applyAlignment="1">
      <alignment horizontal="left" vertical="center"/>
    </xf>
    <xf numFmtId="176" fontId="101" fillId="0" borderId="19" xfId="0" applyNumberFormat="1" applyFont="1" applyBorder="1" applyAlignment="1">
      <alignment horizontal="left" vertical="center"/>
    </xf>
    <xf numFmtId="0" fontId="0" fillId="0" borderId="0" xfId="0" applyAlignment="1">
      <alignment horizontal="left"/>
    </xf>
    <xf numFmtId="175" fontId="95" fillId="0" borderId="52" xfId="1" applyNumberFormat="1" applyFont="1" applyFill="1" applyBorder="1" applyAlignment="1">
      <alignment horizontal="left" vertical="center"/>
    </xf>
    <xf numFmtId="175" fontId="95" fillId="0" borderId="4" xfId="1" applyNumberFormat="1" applyFont="1" applyFill="1" applyBorder="1" applyAlignment="1">
      <alignment horizontal="left" vertical="center"/>
    </xf>
    <xf numFmtId="175" fontId="88" fillId="0" borderId="0" xfId="0" applyNumberFormat="1" applyFont="1" applyAlignment="1">
      <alignment horizontal="left" vertical="center"/>
    </xf>
    <xf numFmtId="175" fontId="111" fillId="0" borderId="0" xfId="0" applyNumberFormat="1" applyFont="1" applyAlignment="1">
      <alignment horizontal="left" vertical="center"/>
    </xf>
    <xf numFmtId="175" fontId="112" fillId="0" borderId="1" xfId="0" applyNumberFormat="1" applyFont="1" applyBorder="1" applyAlignment="1">
      <alignment horizontal="left" vertical="center"/>
    </xf>
    <xf numFmtId="175" fontId="113" fillId="0" borderId="0" xfId="0" applyNumberFormat="1" applyFont="1" applyAlignment="1">
      <alignment horizontal="left"/>
    </xf>
    <xf numFmtId="175" fontId="101" fillId="0" borderId="13" xfId="0" applyNumberFormat="1" applyFont="1" applyBorder="1" applyAlignment="1">
      <alignment horizontal="left" vertical="center"/>
    </xf>
    <xf numFmtId="175" fontId="101" fillId="0" borderId="14" xfId="0" applyNumberFormat="1" applyFont="1" applyBorder="1" applyAlignment="1">
      <alignment horizontal="left" vertical="center"/>
    </xf>
    <xf numFmtId="175" fontId="101" fillId="0" borderId="16" xfId="0" applyNumberFormat="1" applyFont="1" applyBorder="1" applyAlignment="1">
      <alignment horizontal="left" vertical="center"/>
    </xf>
    <xf numFmtId="175" fontId="101" fillId="0" borderId="1" xfId="0" applyNumberFormat="1" applyFont="1" applyBorder="1" applyAlignment="1">
      <alignment horizontal="left" vertical="center"/>
    </xf>
    <xf numFmtId="175" fontId="101" fillId="0" borderId="18" xfId="0" applyNumberFormat="1" applyFont="1" applyBorder="1" applyAlignment="1">
      <alignment horizontal="left" vertical="center"/>
    </xf>
    <xf numFmtId="175" fontId="101" fillId="0" borderId="19" xfId="0" applyNumberFormat="1" applyFont="1" applyBorder="1" applyAlignment="1">
      <alignment horizontal="left" vertical="center"/>
    </xf>
    <xf numFmtId="174" fontId="114" fillId="0" borderId="0" xfId="0" applyNumberFormat="1" applyFont="1" applyAlignment="1">
      <alignment horizontal="left" vertical="center"/>
    </xf>
    <xf numFmtId="174" fontId="114" fillId="0" borderId="1" xfId="0" applyNumberFormat="1" applyFont="1" applyBorder="1" applyAlignment="1">
      <alignment horizontal="left" vertical="center"/>
    </xf>
    <xf numFmtId="176" fontId="101" fillId="0" borderId="54" xfId="0" applyNumberFormat="1" applyFont="1" applyBorder="1" applyAlignment="1">
      <alignment horizontal="left" vertical="center"/>
    </xf>
    <xf numFmtId="176" fontId="101" fillId="0" borderId="55" xfId="0" applyNumberFormat="1" applyFont="1" applyBorder="1" applyAlignment="1">
      <alignment horizontal="left" vertical="center"/>
    </xf>
    <xf numFmtId="0" fontId="3" fillId="0" borderId="0" xfId="0" applyFont="1"/>
    <xf numFmtId="0" fontId="115" fillId="0" borderId="0" xfId="0" applyFont="1"/>
    <xf numFmtId="0" fontId="0" fillId="0" borderId="57" xfId="0" applyBorder="1"/>
    <xf numFmtId="0" fontId="83" fillId="0" borderId="57" xfId="0" applyFont="1" applyBorder="1"/>
    <xf numFmtId="0" fontId="83" fillId="0" borderId="0" xfId="0" applyFont="1" applyAlignment="1">
      <alignment horizontal="left"/>
    </xf>
    <xf numFmtId="0" fontId="24" fillId="0" borderId="0" xfId="0" applyFont="1" applyAlignment="1">
      <alignment horizontal="right"/>
    </xf>
    <xf numFmtId="175" fontId="28" fillId="0" borderId="1" xfId="0" applyNumberFormat="1" applyFont="1" applyBorder="1" applyAlignment="1">
      <alignment horizontal="right" vertical="center"/>
    </xf>
    <xf numFmtId="0" fontId="95" fillId="0" borderId="0" xfId="0" applyFont="1" applyAlignment="1">
      <alignment horizontal="left"/>
    </xf>
    <xf numFmtId="201" fontId="90" fillId="0" borderId="1" xfId="0" applyNumberFormat="1" applyFont="1" applyBorder="1"/>
    <xf numFmtId="37" fontId="116" fillId="0" borderId="0" xfId="0" applyNumberFormat="1" applyFont="1" applyAlignment="1">
      <alignment vertical="center"/>
    </xf>
    <xf numFmtId="37" fontId="108" fillId="0" borderId="0" xfId="0" applyNumberFormat="1" applyFont="1" applyAlignment="1">
      <alignment vertical="center"/>
    </xf>
    <xf numFmtId="174" fontId="117" fillId="0" borderId="0" xfId="0" applyNumberFormat="1" applyFont="1" applyAlignment="1">
      <alignment horizontal="right"/>
    </xf>
    <xf numFmtId="175" fontId="90" fillId="0" borderId="1" xfId="0" applyNumberFormat="1" applyFont="1" applyBorder="1"/>
    <xf numFmtId="212" fontId="118" fillId="0" borderId="0" xfId="0" applyNumberFormat="1" applyFont="1" applyAlignment="1">
      <alignment vertical="center"/>
    </xf>
    <xf numFmtId="37" fontId="120" fillId="0" borderId="0" xfId="0" applyNumberFormat="1" applyFont="1" applyAlignment="1">
      <alignment vertical="center"/>
    </xf>
    <xf numFmtId="37" fontId="119" fillId="0" borderId="0" xfId="0" applyNumberFormat="1" applyFont="1" applyAlignment="1">
      <alignment vertical="center"/>
    </xf>
    <xf numFmtId="174" fontId="108" fillId="0" borderId="0" xfId="0" applyNumberFormat="1" applyFont="1" applyAlignment="1">
      <alignment horizontal="right"/>
    </xf>
    <xf numFmtId="174" fontId="117" fillId="0" borderId="60" xfId="0" applyNumberFormat="1" applyFont="1" applyBorder="1" applyAlignment="1">
      <alignment horizontal="right"/>
    </xf>
    <xf numFmtId="174" fontId="117" fillId="0" borderId="1" xfId="0" applyNumberFormat="1" applyFont="1" applyBorder="1" applyAlignment="1">
      <alignment horizontal="right"/>
    </xf>
    <xf numFmtId="213" fontId="117" fillId="0" borderId="1" xfId="0" applyNumberFormat="1" applyFont="1" applyBorder="1" applyAlignment="1">
      <alignment horizontal="right"/>
    </xf>
    <xf numFmtId="175" fontId="101" fillId="0" borderId="0" xfId="0" applyNumberFormat="1" applyFont="1" applyAlignment="1">
      <alignment horizontal="right"/>
    </xf>
    <xf numFmtId="175" fontId="99" fillId="0" borderId="0" xfId="0" applyNumberFormat="1" applyFont="1" applyAlignment="1">
      <alignment horizontal="right"/>
    </xf>
    <xf numFmtId="175" fontId="99" fillId="0" borderId="1" xfId="0" applyNumberFormat="1" applyFont="1" applyBorder="1" applyAlignment="1">
      <alignment horizontal="right"/>
    </xf>
    <xf numFmtId="175" fontId="101" fillId="0" borderId="19" xfId="0" applyNumberFormat="1" applyFont="1" applyBorder="1" applyAlignment="1">
      <alignment horizontal="right"/>
    </xf>
    <xf numFmtId="175" fontId="99" fillId="0" borderId="19" xfId="0" applyNumberFormat="1" applyFont="1" applyBorder="1" applyAlignment="1">
      <alignment horizontal="right"/>
    </xf>
    <xf numFmtId="0" fontId="95" fillId="0" borderId="0" xfId="0" applyFont="1" applyAlignment="1">
      <alignment horizontal="left" indent="1"/>
    </xf>
    <xf numFmtId="0" fontId="117" fillId="0" borderId="0" xfId="0" applyFont="1"/>
    <xf numFmtId="175" fontId="117" fillId="0" borderId="0" xfId="0" applyNumberFormat="1" applyFont="1" applyAlignment="1">
      <alignment horizontal="right"/>
    </xf>
    <xf numFmtId="175" fontId="117" fillId="0" borderId="1" xfId="0" applyNumberFormat="1" applyFont="1" applyBorder="1" applyAlignment="1">
      <alignment horizontal="right"/>
    </xf>
    <xf numFmtId="175" fontId="117" fillId="0" borderId="0" xfId="1" applyNumberFormat="1" applyFont="1" applyFill="1" applyAlignment="1">
      <alignment horizontal="right"/>
    </xf>
    <xf numFmtId="175" fontId="121" fillId="0" borderId="0" xfId="1" applyNumberFormat="1" applyFont="1" applyFill="1" applyAlignment="1">
      <alignment horizontal="right"/>
    </xf>
    <xf numFmtId="175" fontId="117" fillId="0" borderId="1" xfId="1" applyNumberFormat="1" applyFont="1" applyFill="1" applyBorder="1" applyAlignment="1">
      <alignment horizontal="right"/>
    </xf>
    <xf numFmtId="175" fontId="90" fillId="0" borderId="0" xfId="0" applyNumberFormat="1" applyFont="1" applyAlignment="1">
      <alignment horizontal="right"/>
    </xf>
    <xf numFmtId="175" fontId="90" fillId="0" borderId="1" xfId="0" applyNumberFormat="1" applyFont="1" applyBorder="1" applyAlignment="1">
      <alignment horizontal="right"/>
    </xf>
    <xf numFmtId="175" fontId="101" fillId="0" borderId="59" xfId="0" applyNumberFormat="1" applyFont="1" applyBorder="1" applyAlignment="1">
      <alignment horizontal="right"/>
    </xf>
    <xf numFmtId="175" fontId="99" fillId="0" borderId="59" xfId="0" applyNumberFormat="1" applyFont="1" applyBorder="1" applyAlignment="1">
      <alignment horizontal="right"/>
    </xf>
    <xf numFmtId="175" fontId="117" fillId="0" borderId="61" xfId="0" applyNumberFormat="1" applyFont="1" applyBorder="1" applyAlignment="1">
      <alignment horizontal="right" vertical="center"/>
    </xf>
    <xf numFmtId="37" fontId="122" fillId="19" borderId="0" xfId="0" applyNumberFormat="1" applyFont="1" applyFill="1" applyAlignment="1">
      <alignment vertical="center"/>
    </xf>
    <xf numFmtId="37" fontId="117" fillId="19" borderId="0" xfId="0" applyNumberFormat="1" applyFont="1" applyFill="1" applyAlignment="1">
      <alignment vertical="center"/>
    </xf>
    <xf numFmtId="37" fontId="99" fillId="19" borderId="0" xfId="0" applyNumberFormat="1" applyFont="1" applyFill="1" applyAlignment="1">
      <alignment vertical="center"/>
    </xf>
    <xf numFmtId="174" fontId="117" fillId="19" borderId="0" xfId="0" applyNumberFormat="1" applyFont="1" applyFill="1" applyAlignment="1">
      <alignment horizontal="right"/>
    </xf>
    <xf numFmtId="175" fontId="90" fillId="0" borderId="0" xfId="0" applyNumberFormat="1" applyFont="1"/>
    <xf numFmtId="201" fontId="99" fillId="0" borderId="0" xfId="0" applyNumberFormat="1" applyFont="1"/>
    <xf numFmtId="0" fontId="99" fillId="0" borderId="0" xfId="0" applyFont="1" applyAlignment="1">
      <alignment horizontal="left" indent="1"/>
    </xf>
    <xf numFmtId="175" fontId="99" fillId="0" borderId="1" xfId="0" applyNumberFormat="1" applyFont="1" applyBorder="1"/>
    <xf numFmtId="201" fontId="112" fillId="0" borderId="0" xfId="0" applyNumberFormat="1" applyFont="1"/>
    <xf numFmtId="0" fontId="117" fillId="0" borderId="0" xfId="0" applyFont="1" applyAlignment="1">
      <alignment horizontal="left"/>
    </xf>
    <xf numFmtId="0" fontId="0" fillId="0" borderId="59" xfId="0" applyBorder="1"/>
    <xf numFmtId="0" fontId="3" fillId="0" borderId="59" xfId="0" applyFont="1" applyBorder="1"/>
    <xf numFmtId="201" fontId="90" fillId="0" borderId="0" xfId="0" applyNumberFormat="1" applyFont="1"/>
    <xf numFmtId="175" fontId="90" fillId="0" borderId="61" xfId="0" applyNumberFormat="1" applyFont="1" applyBorder="1" applyAlignment="1">
      <alignment vertical="center"/>
    </xf>
    <xf numFmtId="0" fontId="123" fillId="0" borderId="59" xfId="0" applyFont="1" applyBorder="1" applyAlignment="1">
      <alignment horizontal="left" indent="1"/>
    </xf>
    <xf numFmtId="201" fontId="101" fillId="0" borderId="1" xfId="0" applyNumberFormat="1" applyFont="1" applyBorder="1"/>
    <xf numFmtId="202" fontId="101" fillId="0" borderId="1" xfId="0" applyNumberFormat="1" applyFont="1" applyBorder="1" applyAlignment="1">
      <alignment horizontal="right"/>
    </xf>
    <xf numFmtId="174" fontId="99" fillId="0" borderId="0" xfId="0" applyNumberFormat="1" applyFont="1" applyAlignment="1">
      <alignment horizontal="right"/>
    </xf>
    <xf numFmtId="0" fontId="0" fillId="0" borderId="61" xfId="0" applyBorder="1"/>
    <xf numFmtId="0" fontId="86" fillId="0" borderId="0" xfId="0" applyFont="1"/>
    <xf numFmtId="42" fontId="88" fillId="0" borderId="0" xfId="0" applyNumberFormat="1" applyFont="1"/>
    <xf numFmtId="0" fontId="88" fillId="0" borderId="59" xfId="0" applyFont="1" applyBorder="1"/>
    <xf numFmtId="42" fontId="88" fillId="0" borderId="59" xfId="0" applyNumberFormat="1" applyFont="1" applyBorder="1"/>
    <xf numFmtId="42" fontId="86" fillId="0" borderId="0" xfId="0" applyNumberFormat="1" applyFont="1"/>
    <xf numFmtId="42" fontId="99" fillId="0" borderId="59" xfId="0" applyNumberFormat="1" applyFont="1" applyBorder="1"/>
    <xf numFmtId="0" fontId="108" fillId="21" borderId="0" xfId="0" applyFont="1" applyFill="1"/>
    <xf numFmtId="10" fontId="88" fillId="0" borderId="0" xfId="0" applyNumberFormat="1" applyFont="1"/>
    <xf numFmtId="2" fontId="99" fillId="0" borderId="0" xfId="0" applyNumberFormat="1" applyFont="1"/>
    <xf numFmtId="2" fontId="88" fillId="0" borderId="0" xfId="2" applyNumberFormat="1" applyFont="1"/>
    <xf numFmtId="2" fontId="88" fillId="0" borderId="0" xfId="0" applyNumberFormat="1" applyFont="1"/>
    <xf numFmtId="0" fontId="9" fillId="0" borderId="59" xfId="0" applyFont="1" applyBorder="1"/>
    <xf numFmtId="0" fontId="7" fillId="22" borderId="0" xfId="0" applyFont="1" applyFill="1"/>
    <xf numFmtId="0" fontId="7" fillId="22" borderId="0" xfId="0" applyFont="1" applyFill="1" applyAlignment="1">
      <alignment horizontal="left"/>
    </xf>
    <xf numFmtId="0" fontId="88" fillId="0" borderId="0" xfId="0" applyFont="1" applyAlignment="1">
      <alignment horizontal="left" indent="1"/>
    </xf>
    <xf numFmtId="175" fontId="88" fillId="0" borderId="0" xfId="0" applyNumberFormat="1" applyFont="1"/>
    <xf numFmtId="175" fontId="90" fillId="23" borderId="0" xfId="0" applyNumberFormat="1" applyFont="1" applyFill="1" applyAlignment="1">
      <alignment vertical="center"/>
    </xf>
    <xf numFmtId="175" fontId="90" fillId="23" borderId="62" xfId="0" applyNumberFormat="1" applyFont="1" applyFill="1" applyBorder="1" applyAlignment="1">
      <alignment vertical="center"/>
    </xf>
    <xf numFmtId="0" fontId="95" fillId="0" borderId="1" xfId="5" applyFont="1" applyAlignment="1">
      <alignment horizontal="center" vertical="center"/>
    </xf>
    <xf numFmtId="0" fontId="95" fillId="0" borderId="1" xfId="5" applyFont="1" applyAlignment="1">
      <alignment horizontal="right" vertical="center"/>
    </xf>
    <xf numFmtId="175" fontId="95" fillId="0" borderId="1" xfId="6" applyNumberFormat="1" applyFont="1" applyAlignment="1">
      <alignment horizontal="right"/>
    </xf>
    <xf numFmtId="175" fontId="86" fillId="0" borderId="0" xfId="0" applyNumberFormat="1" applyFont="1" applyAlignment="1">
      <alignment horizontal="centerContinuous"/>
    </xf>
    <xf numFmtId="175" fontId="94" fillId="0" borderId="1" xfId="5" applyNumberFormat="1" applyFont="1" applyAlignment="1">
      <alignment horizontal="centerContinuous"/>
    </xf>
    <xf numFmtId="0" fontId="95" fillId="0" borderId="1" xfId="6" applyFont="1" applyAlignment="1">
      <alignment horizontal="left"/>
    </xf>
    <xf numFmtId="0" fontId="95" fillId="0" borderId="1" xfId="6" applyFont="1" applyAlignment="1">
      <alignment horizontal="right"/>
    </xf>
    <xf numFmtId="0" fontId="117" fillId="0" borderId="1" xfId="6" applyFont="1" applyAlignment="1">
      <alignment horizontal="right"/>
    </xf>
    <xf numFmtId="218" fontId="86" fillId="0" borderId="0" xfId="0" applyNumberFormat="1" applyFont="1" applyAlignment="1">
      <alignment horizontal="right"/>
    </xf>
    <xf numFmtId="219" fontId="86" fillId="0" borderId="0" xfId="0" applyNumberFormat="1" applyFont="1" applyAlignment="1">
      <alignment horizontal="right"/>
    </xf>
    <xf numFmtId="0" fontId="91" fillId="0" borderId="0" xfId="0" applyFont="1" applyAlignment="1">
      <alignment horizontal="left"/>
    </xf>
    <xf numFmtId="0" fontId="98" fillId="0" borderId="1" xfId="5" applyFont="1" applyAlignment="1">
      <alignment horizontal="center" vertical="center"/>
    </xf>
    <xf numFmtId="0" fontId="118" fillId="0" borderId="1" xfId="5" applyFont="1" applyAlignment="1">
      <alignment horizontal="right"/>
    </xf>
    <xf numFmtId="0" fontId="118" fillId="0" borderId="1" xfId="5" applyFont="1" applyAlignment="1">
      <alignment horizontal="right" vertical="center"/>
    </xf>
    <xf numFmtId="220" fontId="101" fillId="0" borderId="1" xfId="5" applyNumberFormat="1" applyFont="1" applyAlignment="1">
      <alignment horizontal="left" vertical="center"/>
    </xf>
    <xf numFmtId="0" fontId="90" fillId="0" borderId="1" xfId="5" applyFont="1" applyAlignment="1">
      <alignment vertical="center"/>
    </xf>
    <xf numFmtId="200" fontId="101" fillId="0" borderId="1" xfId="5" applyNumberFormat="1" applyFont="1" applyAlignment="1">
      <alignment vertical="center"/>
    </xf>
    <xf numFmtId="210" fontId="90" fillId="23" borderId="1" xfId="5" applyNumberFormat="1" applyFont="1" applyFill="1" applyAlignment="1">
      <alignment vertical="center"/>
    </xf>
    <xf numFmtId="175" fontId="101" fillId="0" borderId="1" xfId="5" applyNumberFormat="1" applyFont="1" applyAlignment="1">
      <alignment vertical="center"/>
    </xf>
    <xf numFmtId="175" fontId="90" fillId="0" borderId="1" xfId="5" applyNumberFormat="1" applyFont="1" applyAlignment="1">
      <alignment vertical="center"/>
    </xf>
    <xf numFmtId="201" fontId="90" fillId="0" borderId="1" xfId="5" applyNumberFormat="1" applyFont="1" applyAlignment="1">
      <alignment horizontal="right" vertical="center"/>
    </xf>
    <xf numFmtId="201" fontId="101" fillId="0" borderId="1" xfId="5" applyNumberFormat="1" applyFont="1" applyAlignment="1">
      <alignment vertical="center"/>
    </xf>
    <xf numFmtId="203" fontId="90" fillId="0" borderId="1" xfId="5" applyNumberFormat="1" applyFont="1" applyAlignment="1">
      <alignment horizontal="right" vertical="center"/>
    </xf>
    <xf numFmtId="0" fontId="101" fillId="0" borderId="1" xfId="5" applyFont="1" applyAlignment="1">
      <alignment vertical="center"/>
    </xf>
    <xf numFmtId="201" fontId="101" fillId="0" borderId="1" xfId="5" applyNumberFormat="1" applyFont="1" applyAlignment="1">
      <alignment horizontal="right" vertical="center"/>
    </xf>
    <xf numFmtId="0" fontId="90" fillId="0" borderId="1" xfId="5" applyFont="1" applyAlignment="1">
      <alignment horizontal="left" vertical="center" indent="1"/>
    </xf>
    <xf numFmtId="0" fontId="110" fillId="0" borderId="1" xfId="5" applyFont="1"/>
    <xf numFmtId="0" fontId="126" fillId="0" borderId="1" xfId="5" applyFont="1"/>
    <xf numFmtId="210" fontId="94" fillId="0" borderId="1" xfId="5" applyNumberFormat="1" applyFont="1"/>
    <xf numFmtId="175" fontId="90" fillId="0" borderId="1" xfId="5" applyNumberFormat="1" applyFont="1" applyAlignment="1">
      <alignment horizontal="right" vertical="center"/>
    </xf>
    <xf numFmtId="201" fontId="127" fillId="0" borderId="1" xfId="5" applyNumberFormat="1" applyFont="1" applyAlignment="1">
      <alignment vertical="center"/>
    </xf>
    <xf numFmtId="37" fontId="90" fillId="0" borderId="1" xfId="5" applyNumberFormat="1" applyFont="1" applyAlignment="1">
      <alignment horizontal="left" vertical="center" indent="1"/>
    </xf>
    <xf numFmtId="0" fontId="87" fillId="0" borderId="1" xfId="5" applyFont="1"/>
    <xf numFmtId="0" fontId="128" fillId="0" borderId="1" xfId="5" applyFont="1" applyAlignment="1">
      <alignment vertical="center"/>
    </xf>
    <xf numFmtId="201" fontId="101" fillId="0" borderId="0" xfId="0" applyNumberFormat="1" applyFont="1" applyAlignment="1">
      <alignment horizontal="right"/>
    </xf>
    <xf numFmtId="203" fontId="99" fillId="0" borderId="1" xfId="5" applyNumberFormat="1" applyFont="1" applyAlignment="1">
      <alignment horizontal="right" vertical="center"/>
    </xf>
    <xf numFmtId="37" fontId="95" fillId="0" borderId="1" xfId="5" applyNumberFormat="1" applyFont="1" applyAlignment="1">
      <alignment horizontal="left" vertical="center"/>
    </xf>
    <xf numFmtId="203" fontId="127" fillId="0" borderId="1" xfId="5" applyNumberFormat="1" applyFont="1" applyAlignment="1">
      <alignment horizontal="right" vertical="center"/>
    </xf>
    <xf numFmtId="200" fontId="129" fillId="23" borderId="1" xfId="5" applyNumberFormat="1" applyFont="1" applyFill="1" applyAlignment="1">
      <alignment vertical="center"/>
    </xf>
    <xf numFmtId="200" fontId="90" fillId="23" borderId="1" xfId="5" applyNumberFormat="1" applyFont="1" applyFill="1" applyAlignment="1">
      <alignment vertical="center"/>
    </xf>
    <xf numFmtId="210" fontId="90" fillId="23" borderId="1" xfId="5" applyNumberFormat="1" applyFont="1" applyFill="1"/>
    <xf numFmtId="175" fontId="129" fillId="23" borderId="1" xfId="5" applyNumberFormat="1" applyFont="1" applyFill="1"/>
    <xf numFmtId="175" fontId="90" fillId="23" borderId="1" xfId="5" applyNumberFormat="1" applyFont="1" applyFill="1"/>
    <xf numFmtId="175" fontId="129" fillId="0" borderId="1" xfId="5" applyNumberFormat="1" applyFont="1" applyAlignment="1">
      <alignment horizontal="right" vertical="center"/>
    </xf>
    <xf numFmtId="0" fontId="36" fillId="20" borderId="7" xfId="0" applyFont="1" applyFill="1" applyBorder="1"/>
    <xf numFmtId="0" fontId="36" fillId="20" borderId="3" xfId="0" applyFont="1" applyFill="1" applyBorder="1"/>
    <xf numFmtId="169" fontId="36" fillId="20" borderId="8" xfId="0" applyNumberFormat="1" applyFont="1" applyFill="1" applyBorder="1"/>
    <xf numFmtId="221" fontId="36" fillId="0" borderId="0" xfId="0" applyNumberFormat="1" applyFont="1"/>
    <xf numFmtId="222" fontId="36" fillId="0" borderId="0" xfId="0" applyNumberFormat="1" applyFont="1"/>
    <xf numFmtId="222" fontId="36" fillId="0" borderId="63" xfId="0" applyNumberFormat="1" applyFont="1" applyBorder="1"/>
    <xf numFmtId="221" fontId="39" fillId="0" borderId="0" xfId="0" applyNumberFormat="1" applyFont="1"/>
    <xf numFmtId="222" fontId="38" fillId="0" borderId="0" xfId="0" applyNumberFormat="1" applyFont="1"/>
    <xf numFmtId="9" fontId="39" fillId="0" borderId="0" xfId="0" applyNumberFormat="1" applyFont="1"/>
    <xf numFmtId="9" fontId="39" fillId="0" borderId="63" xfId="0" applyNumberFormat="1" applyFont="1" applyBorder="1"/>
    <xf numFmtId="221" fontId="38" fillId="0" borderId="0" xfId="0" applyNumberFormat="1" applyFont="1"/>
    <xf numFmtId="222" fontId="38" fillId="0" borderId="63" xfId="0" applyNumberFormat="1" applyFont="1" applyBorder="1"/>
    <xf numFmtId="221" fontId="38" fillId="0" borderId="0" xfId="0" applyNumberFormat="1" applyFont="1" applyAlignment="1">
      <alignment horizontal="left"/>
    </xf>
    <xf numFmtId="221" fontId="39" fillId="0" borderId="0" xfId="0" applyNumberFormat="1" applyFont="1" applyAlignment="1">
      <alignment horizontal="left"/>
    </xf>
    <xf numFmtId="221" fontId="36" fillId="0" borderId="0" xfId="0" applyNumberFormat="1" applyFont="1" applyAlignment="1">
      <alignment horizontal="left"/>
    </xf>
    <xf numFmtId="221" fontId="36" fillId="8" borderId="1" xfId="0" applyNumberFormat="1" applyFont="1" applyFill="1" applyBorder="1"/>
    <xf numFmtId="222" fontId="36" fillId="8" borderId="1" xfId="0" applyNumberFormat="1" applyFont="1" applyFill="1" applyBorder="1"/>
    <xf numFmtId="222" fontId="36" fillId="8" borderId="63" xfId="0" applyNumberFormat="1" applyFont="1" applyFill="1" applyBorder="1"/>
    <xf numFmtId="168" fontId="38" fillId="0" borderId="0" xfId="0" applyNumberFormat="1" applyFont="1"/>
    <xf numFmtId="10" fontId="38" fillId="0" borderId="0" xfId="0" applyNumberFormat="1" applyFont="1"/>
    <xf numFmtId="221" fontId="38" fillId="0" borderId="59" xfId="0" applyNumberFormat="1" applyFont="1" applyBorder="1"/>
    <xf numFmtId="222" fontId="38" fillId="0" borderId="59" xfId="0" applyNumberFormat="1" applyFont="1" applyBorder="1"/>
    <xf numFmtId="222" fontId="38" fillId="0" borderId="64" xfId="0" applyNumberFormat="1" applyFont="1" applyBorder="1"/>
    <xf numFmtId="221" fontId="36" fillId="0" borderId="65" xfId="0" applyNumberFormat="1" applyFont="1" applyBorder="1"/>
    <xf numFmtId="0" fontId="0" fillId="0" borderId="65" xfId="0" applyBorder="1"/>
    <xf numFmtId="0" fontId="83" fillId="0" borderId="65" xfId="0" applyFont="1" applyBorder="1"/>
    <xf numFmtId="0" fontId="3" fillId="0" borderId="66" xfId="0" applyFont="1" applyBorder="1"/>
    <xf numFmtId="0" fontId="83" fillId="0" borderId="1" xfId="0" applyFont="1" applyBorder="1"/>
    <xf numFmtId="174" fontId="124" fillId="0" borderId="60" xfId="0" applyNumberFormat="1" applyFont="1" applyBorder="1" applyAlignment="1">
      <alignment horizontal="right"/>
    </xf>
    <xf numFmtId="0" fontId="125" fillId="0" borderId="1" xfId="7"/>
    <xf numFmtId="180" fontId="125" fillId="0" borderId="1" xfId="7" applyNumberFormat="1"/>
    <xf numFmtId="183" fontId="125" fillId="0" borderId="1" xfId="7" applyNumberFormat="1"/>
    <xf numFmtId="180" fontId="131" fillId="0" borderId="1" xfId="7" applyNumberFormat="1" applyFont="1"/>
    <xf numFmtId="223" fontId="131" fillId="0" borderId="1" xfId="7" applyNumberFormat="1" applyFont="1"/>
    <xf numFmtId="0" fontId="132" fillId="0" borderId="1" xfId="7" applyFont="1"/>
    <xf numFmtId="0" fontId="133" fillId="0" borderId="1" xfId="7" applyFont="1"/>
    <xf numFmtId="0" fontId="125" fillId="0" borderId="67" xfId="7" applyBorder="1"/>
    <xf numFmtId="181" fontId="133" fillId="0" borderId="67" xfId="7" applyNumberFormat="1" applyFont="1" applyBorder="1"/>
    <xf numFmtId="0" fontId="133" fillId="0" borderId="67" xfId="7" applyFont="1" applyBorder="1"/>
    <xf numFmtId="180" fontId="134" fillId="0" borderId="1" xfId="7" applyNumberFormat="1" applyFont="1"/>
    <xf numFmtId="181" fontId="125" fillId="0" borderId="1" xfId="7" applyNumberFormat="1"/>
    <xf numFmtId="0" fontId="131" fillId="0" borderId="1" xfId="7" applyFont="1"/>
    <xf numFmtId="0" fontId="135" fillId="0" borderId="1" xfId="7" applyFont="1"/>
    <xf numFmtId="0" fontId="131" fillId="0" borderId="1" xfId="7" applyFont="1" applyProtection="1">
      <protection locked="0"/>
    </xf>
    <xf numFmtId="0" fontId="131" fillId="0" borderId="68" xfId="7" applyFont="1" applyBorder="1" applyAlignment="1">
      <alignment horizontal="center"/>
    </xf>
    <xf numFmtId="224" fontId="125" fillId="0" borderId="1" xfId="7" applyNumberFormat="1"/>
    <xf numFmtId="224" fontId="131" fillId="0" borderId="1" xfId="7" applyNumberFormat="1" applyFont="1"/>
    <xf numFmtId="183" fontId="131" fillId="0" borderId="1" xfId="7" applyNumberFormat="1" applyFont="1"/>
    <xf numFmtId="0" fontId="135" fillId="0" borderId="67" xfId="7" applyFont="1" applyBorder="1"/>
    <xf numFmtId="0" fontId="133" fillId="0" borderId="67" xfId="7" applyFont="1" applyBorder="1" applyAlignment="1">
      <alignment horizontal="center"/>
    </xf>
    <xf numFmtId="0" fontId="135" fillId="0" borderId="69" xfId="7" applyFont="1" applyBorder="1"/>
    <xf numFmtId="0" fontId="133" fillId="0" borderId="70" xfId="7" applyFont="1" applyBorder="1" applyAlignment="1">
      <alignment horizontal="centerContinuous"/>
    </xf>
    <xf numFmtId="0" fontId="135" fillId="0" borderId="70" xfId="7" applyFont="1" applyBorder="1" applyAlignment="1">
      <alignment horizontal="centerContinuous"/>
    </xf>
    <xf numFmtId="0" fontId="135" fillId="0" borderId="69" xfId="7" applyFont="1" applyBorder="1" applyAlignment="1">
      <alignment horizontal="center"/>
    </xf>
    <xf numFmtId="0" fontId="133" fillId="0" borderId="69" xfId="7" applyFont="1" applyBorder="1" applyAlignment="1">
      <alignment horizontal="centerContinuous"/>
    </xf>
    <xf numFmtId="0" fontId="133" fillId="0" borderId="69" xfId="7" applyFont="1" applyBorder="1"/>
    <xf numFmtId="0" fontId="136" fillId="0" borderId="1" xfId="7" applyFont="1"/>
    <xf numFmtId="0" fontId="137" fillId="0" borderId="1" xfId="7" applyFont="1"/>
    <xf numFmtId="0" fontId="138" fillId="0" borderId="1" xfId="7" applyFont="1"/>
    <xf numFmtId="0" fontId="131" fillId="0" borderId="67" xfId="7" applyFont="1" applyBorder="1"/>
    <xf numFmtId="180" fontId="125" fillId="0" borderId="67" xfId="7" applyNumberFormat="1" applyBorder="1"/>
    <xf numFmtId="181" fontId="133" fillId="0" borderId="1" xfId="7" applyNumberFormat="1" applyFont="1"/>
    <xf numFmtId="180" fontId="131" fillId="24" borderId="1" xfId="7" applyNumberFormat="1" applyFont="1" applyFill="1"/>
    <xf numFmtId="0" fontId="139" fillId="0" borderId="1" xfId="7" applyFont="1" applyAlignment="1">
      <alignment horizontal="center"/>
    </xf>
    <xf numFmtId="225" fontId="125" fillId="0" borderId="1" xfId="7" applyNumberFormat="1"/>
    <xf numFmtId="181" fontId="131" fillId="0" borderId="1" xfId="8" applyNumberFormat="1" applyFont="1" applyFill="1" applyBorder="1" applyProtection="1">
      <protection locked="0"/>
    </xf>
    <xf numFmtId="0" fontId="131" fillId="0" borderId="1" xfId="7" applyFont="1" applyAlignment="1">
      <alignment horizontal="center"/>
    </xf>
    <xf numFmtId="0" fontId="139" fillId="0" borderId="1" xfId="7" applyFont="1" applyAlignment="1" applyProtection="1">
      <alignment horizontal="center"/>
      <protection locked="0"/>
    </xf>
    <xf numFmtId="0" fontId="140" fillId="0" borderId="1" xfId="7" applyFont="1" applyAlignment="1">
      <alignment horizontal="center"/>
    </xf>
    <xf numFmtId="226" fontId="125" fillId="0" borderId="1" xfId="7" applyNumberFormat="1"/>
    <xf numFmtId="0" fontId="135" fillId="0" borderId="1" xfId="7" applyFont="1" applyProtection="1">
      <protection locked="0"/>
    </xf>
    <xf numFmtId="180" fontId="141" fillId="0" borderId="1" xfId="7" applyNumberFormat="1" applyFont="1"/>
    <xf numFmtId="181" fontId="131" fillId="0" borderId="1" xfId="7" applyNumberFormat="1" applyFont="1"/>
    <xf numFmtId="0" fontId="137" fillId="0" borderId="0" xfId="0" applyFont="1"/>
    <xf numFmtId="0" fontId="136" fillId="0" borderId="0" xfId="0" applyFont="1"/>
    <xf numFmtId="0" fontId="133" fillId="0" borderId="69" xfId="0" applyFont="1" applyBorder="1"/>
    <xf numFmtId="0" fontId="135" fillId="0" borderId="69" xfId="0" applyFont="1" applyBorder="1" applyAlignment="1">
      <alignment horizontal="centerContinuous"/>
    </xf>
    <xf numFmtId="0" fontId="135" fillId="0" borderId="69" xfId="0" applyFont="1" applyBorder="1" applyAlignment="1">
      <alignment horizontal="center"/>
    </xf>
    <xf numFmtId="0" fontId="135" fillId="0" borderId="70" xfId="0" applyFont="1" applyBorder="1" applyAlignment="1">
      <alignment horizontal="centerContinuous"/>
    </xf>
    <xf numFmtId="0" fontId="133" fillId="0" borderId="70" xfId="0" applyFont="1" applyBorder="1" applyAlignment="1">
      <alignment horizontal="centerContinuous"/>
    </xf>
    <xf numFmtId="0" fontId="135" fillId="0" borderId="69" xfId="0" applyFont="1" applyBorder="1"/>
    <xf numFmtId="0" fontId="135" fillId="0" borderId="67" xfId="0" applyFont="1" applyBorder="1"/>
    <xf numFmtId="0" fontId="133" fillId="0" borderId="67" xfId="0" applyFont="1" applyBorder="1"/>
    <xf numFmtId="0" fontId="133" fillId="0" borderId="67" xfId="0" applyFont="1" applyBorder="1" applyAlignment="1">
      <alignment horizontal="center"/>
    </xf>
    <xf numFmtId="0" fontId="131" fillId="0" borderId="0" xfId="0" applyFont="1"/>
    <xf numFmtId="181" fontId="125" fillId="0" borderId="0" xfId="0" applyNumberFormat="1" applyFont="1"/>
    <xf numFmtId="180" fontId="125" fillId="0" borderId="0" xfId="0" applyNumberFormat="1" applyFont="1"/>
    <xf numFmtId="180" fontId="134" fillId="0" borderId="0" xfId="0" applyNumberFormat="1" applyFont="1"/>
    <xf numFmtId="180" fontId="140" fillId="0" borderId="0" xfId="0" applyNumberFormat="1" applyFont="1"/>
    <xf numFmtId="180" fontId="131" fillId="0" borderId="0" xfId="0" applyNumberFormat="1" applyFont="1"/>
    <xf numFmtId="180" fontId="0" fillId="0" borderId="0" xfId="0" applyNumberFormat="1"/>
    <xf numFmtId="0" fontId="135" fillId="0" borderId="0" xfId="0" applyFont="1"/>
    <xf numFmtId="227" fontId="125" fillId="0" borderId="0" xfId="0" applyNumberFormat="1" applyFont="1"/>
    <xf numFmtId="227" fontId="125" fillId="24" borderId="0" xfId="0" applyNumberFormat="1" applyFont="1" applyFill="1"/>
    <xf numFmtId="227" fontId="0" fillId="0" borderId="0" xfId="0" applyNumberFormat="1"/>
    <xf numFmtId="183" fontId="125" fillId="0" borderId="0" xfId="0" applyNumberFormat="1" applyFont="1"/>
    <xf numFmtId="183" fontId="125" fillId="24" borderId="0" xfId="0" applyNumberFormat="1" applyFont="1" applyFill="1"/>
    <xf numFmtId="0" fontId="131" fillId="0" borderId="1" xfId="0" applyFont="1" applyBorder="1"/>
    <xf numFmtId="183" fontId="125" fillId="0" borderId="1" xfId="0" applyNumberFormat="1" applyFont="1" applyBorder="1"/>
    <xf numFmtId="0" fontId="131" fillId="0" borderId="0" xfId="0" applyFont="1" applyProtection="1">
      <protection locked="0"/>
    </xf>
    <xf numFmtId="0" fontId="131" fillId="0" borderId="67" xfId="0" applyFont="1" applyBorder="1"/>
    <xf numFmtId="0" fontId="0" fillId="0" borderId="67" xfId="0" applyBorder="1"/>
    <xf numFmtId="183" fontId="125" fillId="0" borderId="67" xfId="0" applyNumberFormat="1" applyFont="1" applyBorder="1"/>
    <xf numFmtId="0" fontId="142" fillId="0" borderId="0" xfId="0" applyFont="1"/>
    <xf numFmtId="0" fontId="132" fillId="0" borderId="0" xfId="0" applyFont="1"/>
    <xf numFmtId="0" fontId="133" fillId="0" borderId="0" xfId="0" applyFont="1"/>
    <xf numFmtId="0" fontId="143" fillId="25" borderId="71" xfId="0" applyFont="1" applyFill="1" applyBorder="1" applyAlignment="1">
      <alignment horizontal="centerContinuous"/>
    </xf>
    <xf numFmtId="0" fontId="143" fillId="25" borderId="57" xfId="0" applyFont="1" applyFill="1" applyBorder="1" applyAlignment="1">
      <alignment horizontal="centerContinuous"/>
    </xf>
    <xf numFmtId="0" fontId="143" fillId="25" borderId="58" xfId="0" applyFont="1" applyFill="1" applyBorder="1" applyAlignment="1">
      <alignment horizontal="centerContinuous"/>
    </xf>
    <xf numFmtId="0" fontId="133" fillId="0" borderId="71" xfId="0" applyFont="1" applyBorder="1" applyAlignment="1">
      <alignment horizontal="center"/>
    </xf>
    <xf numFmtId="0" fontId="133" fillId="0" borderId="57" xfId="0" applyFont="1" applyBorder="1" applyAlignment="1">
      <alignment horizontal="center"/>
    </xf>
    <xf numFmtId="0" fontId="133" fillId="0" borderId="58" xfId="0" applyFont="1" applyBorder="1" applyAlignment="1">
      <alignment horizontal="center"/>
    </xf>
    <xf numFmtId="0" fontId="125" fillId="0" borderId="0" xfId="0" applyFont="1"/>
    <xf numFmtId="0" fontId="133" fillId="0" borderId="0" xfId="0" applyFont="1" applyAlignment="1">
      <alignment horizontal="center"/>
    </xf>
    <xf numFmtId="0" fontId="125" fillId="0" borderId="72" xfId="0" applyFont="1" applyBorder="1"/>
    <xf numFmtId="0" fontId="125" fillId="0" borderId="66" xfId="0" applyFont="1" applyBorder="1"/>
    <xf numFmtId="0" fontId="125" fillId="0" borderId="73" xfId="0" applyFont="1" applyBorder="1"/>
    <xf numFmtId="227" fontId="131" fillId="0" borderId="74" xfId="0" applyNumberFormat="1" applyFont="1" applyBorder="1"/>
    <xf numFmtId="227" fontId="131" fillId="0" borderId="1" xfId="0" applyNumberFormat="1" applyFont="1" applyBorder="1"/>
    <xf numFmtId="227" fontId="131" fillId="0" borderId="43" xfId="0" applyNumberFormat="1" applyFont="1" applyBorder="1"/>
    <xf numFmtId="183" fontId="0" fillId="0" borderId="0" xfId="0" applyNumberFormat="1"/>
    <xf numFmtId="183" fontId="131" fillId="0" borderId="75" xfId="0" applyNumberFormat="1" applyFont="1" applyBorder="1"/>
    <xf numFmtId="183" fontId="131" fillId="0" borderId="59" xfId="0" applyNumberFormat="1" applyFont="1" applyBorder="1"/>
    <xf numFmtId="183" fontId="131" fillId="0" borderId="76" xfId="0" applyNumberFormat="1" applyFont="1" applyBorder="1"/>
    <xf numFmtId="228" fontId="101" fillId="0" borderId="0" xfId="0" applyNumberFormat="1" applyFont="1"/>
    <xf numFmtId="228" fontId="99" fillId="0" borderId="0" xfId="0" applyNumberFormat="1" applyFont="1"/>
    <xf numFmtId="201" fontId="87" fillId="0" borderId="0" xfId="0" applyNumberFormat="1" applyFont="1"/>
    <xf numFmtId="201" fontId="101" fillId="0" borderId="0" xfId="0" applyNumberFormat="1" applyFont="1"/>
    <xf numFmtId="228" fontId="90" fillId="0" borderId="14" xfId="0" applyNumberFormat="1" applyFont="1" applyBorder="1"/>
    <xf numFmtId="228" fontId="144" fillId="0" borderId="0" xfId="0" applyNumberFormat="1" applyFont="1"/>
    <xf numFmtId="228" fontId="117" fillId="0" borderId="0" xfId="0" applyNumberFormat="1" applyFont="1"/>
    <xf numFmtId="210" fontId="90" fillId="0" borderId="0" xfId="0" applyNumberFormat="1" applyFont="1" applyAlignment="1">
      <alignment vertical="center"/>
    </xf>
    <xf numFmtId="201" fontId="112" fillId="0" borderId="0" xfId="0" applyNumberFormat="1" applyFont="1" applyAlignment="1">
      <alignment horizontal="right"/>
    </xf>
    <xf numFmtId="201" fontId="99" fillId="0" borderId="0" xfId="0" applyNumberFormat="1" applyFont="1" applyAlignment="1">
      <alignment horizontal="right"/>
    </xf>
    <xf numFmtId="0" fontId="99" fillId="0" borderId="0" xfId="0" applyFont="1" applyAlignment="1">
      <alignment horizontal="left" indent="2"/>
    </xf>
    <xf numFmtId="201" fontId="90" fillId="0" borderId="14" xfId="0" applyNumberFormat="1" applyFont="1" applyBorder="1"/>
    <xf numFmtId="201" fontId="145" fillId="0" borderId="0" xfId="0" applyNumberFormat="1" applyFont="1"/>
    <xf numFmtId="201" fontId="8" fillId="0" borderId="0" xfId="0" applyNumberFormat="1" applyFont="1"/>
    <xf numFmtId="0" fontId="7" fillId="0" borderId="77" xfId="0" applyFont="1" applyBorder="1"/>
    <xf numFmtId="14" fontId="7" fillId="0" borderId="78" xfId="0" applyNumberFormat="1" applyFont="1" applyBorder="1"/>
    <xf numFmtId="0" fontId="7" fillId="0" borderId="79" xfId="0" applyFont="1" applyBorder="1"/>
    <xf numFmtId="175" fontId="101" fillId="0" borderId="1" xfId="0" applyNumberFormat="1" applyFont="1" applyBorder="1" applyAlignment="1">
      <alignment horizontal="right"/>
    </xf>
    <xf numFmtId="0" fontId="146" fillId="26" borderId="9" xfId="0" applyFont="1" applyFill="1" applyBorder="1"/>
    <xf numFmtId="0" fontId="23" fillId="0" borderId="0" xfId="0" applyFont="1" applyAlignment="1">
      <alignment horizontal="left" indent="1"/>
    </xf>
    <xf numFmtId="0" fontId="147" fillId="26" borderId="9" xfId="0" applyFont="1" applyFill="1" applyBorder="1"/>
    <xf numFmtId="0" fontId="146" fillId="26" borderId="0" xfId="0" applyFont="1" applyFill="1"/>
    <xf numFmtId="0" fontId="146" fillId="26" borderId="11" xfId="0" applyFont="1" applyFill="1" applyBorder="1"/>
    <xf numFmtId="0" fontId="146" fillId="26" borderId="22" xfId="0" applyFont="1" applyFill="1" applyBorder="1"/>
    <xf numFmtId="0" fontId="146" fillId="26" borderId="10" xfId="0" applyFont="1" applyFill="1" applyBorder="1"/>
    <xf numFmtId="230" fontId="146" fillId="26" borderId="0" xfId="0" applyNumberFormat="1" applyFont="1" applyFill="1"/>
    <xf numFmtId="10" fontId="146" fillId="26" borderId="0" xfId="0" applyNumberFormat="1" applyFont="1" applyFill="1"/>
    <xf numFmtId="0" fontId="146" fillId="26" borderId="80" xfId="0" applyFont="1" applyFill="1" applyBorder="1"/>
    <xf numFmtId="0" fontId="146" fillId="26" borderId="81" xfId="0" applyFont="1" applyFill="1" applyBorder="1"/>
    <xf numFmtId="10" fontId="146" fillId="26" borderId="81" xfId="0" applyNumberFormat="1" applyFont="1" applyFill="1" applyBorder="1"/>
    <xf numFmtId="0" fontId="117" fillId="0" borderId="59" xfId="0" applyFont="1" applyBorder="1"/>
    <xf numFmtId="0" fontId="117" fillId="0" borderId="1" xfId="0" applyFont="1" applyBorder="1"/>
    <xf numFmtId="0" fontId="117" fillId="0" borderId="65" xfId="0" applyFont="1" applyBorder="1"/>
    <xf numFmtId="0" fontId="148" fillId="0" borderId="0" xfId="0" applyFont="1"/>
    <xf numFmtId="0" fontId="148" fillId="0" borderId="59" xfId="0" applyFont="1" applyBorder="1"/>
    <xf numFmtId="0" fontId="148" fillId="0" borderId="1" xfId="0" applyFont="1" applyBorder="1"/>
    <xf numFmtId="0" fontId="99" fillId="0" borderId="59" xfId="0" applyFont="1" applyBorder="1" applyAlignment="1">
      <alignment horizontal="left" indent="1"/>
    </xf>
    <xf numFmtId="0" fontId="87" fillId="0" borderId="59" xfId="0" applyFont="1" applyBorder="1"/>
    <xf numFmtId="201" fontId="101" fillId="0" borderId="59" xfId="0" applyNumberFormat="1" applyFont="1" applyBorder="1"/>
    <xf numFmtId="0" fontId="146" fillId="26" borderId="0" xfId="0" applyFont="1" applyFill="1" applyAlignment="1">
      <alignment horizontal="center"/>
    </xf>
    <xf numFmtId="230" fontId="146" fillId="26" borderId="10" xfId="0" applyNumberFormat="1" applyFont="1" applyFill="1" applyBorder="1"/>
    <xf numFmtId="0" fontId="146" fillId="26" borderId="22" xfId="0" applyFont="1" applyFill="1" applyBorder="1" applyAlignment="1">
      <alignment horizontal="center"/>
    </xf>
    <xf numFmtId="230" fontId="146" fillId="26" borderId="22" xfId="0" applyNumberFormat="1" applyFont="1" applyFill="1" applyBorder="1"/>
    <xf numFmtId="230" fontId="146" fillId="26" borderId="8" xfId="0" applyNumberFormat="1" applyFont="1" applyFill="1" applyBorder="1"/>
    <xf numFmtId="230" fontId="146" fillId="26" borderId="12" xfId="0" applyNumberFormat="1" applyFont="1" applyFill="1" applyBorder="1"/>
    <xf numFmtId="0" fontId="146" fillId="26" borderId="8" xfId="0" applyFont="1" applyFill="1" applyBorder="1"/>
    <xf numFmtId="10" fontId="146" fillId="26" borderId="10" xfId="0" applyNumberFormat="1" applyFont="1" applyFill="1" applyBorder="1"/>
    <xf numFmtId="10" fontId="146" fillId="26" borderId="22" xfId="0" applyNumberFormat="1" applyFont="1" applyFill="1" applyBorder="1"/>
    <xf numFmtId="10" fontId="146" fillId="26" borderId="12" xfId="0" applyNumberFormat="1" applyFont="1" applyFill="1" applyBorder="1"/>
    <xf numFmtId="229" fontId="146" fillId="26" borderId="0" xfId="0" applyNumberFormat="1" applyFont="1" applyFill="1"/>
    <xf numFmtId="229" fontId="146" fillId="26" borderId="10" xfId="0" applyNumberFormat="1" applyFont="1" applyFill="1" applyBorder="1"/>
    <xf numFmtId="0" fontId="146" fillId="26" borderId="81" xfId="0" applyFont="1" applyFill="1" applyBorder="1" applyAlignment="1">
      <alignment horizontal="center"/>
    </xf>
    <xf numFmtId="10" fontId="146" fillId="26" borderId="82" xfId="0" applyNumberFormat="1" applyFont="1" applyFill="1" applyBorder="1"/>
    <xf numFmtId="173" fontId="7" fillId="0" borderId="2" xfId="0" applyNumberFormat="1" applyFont="1" applyBorder="1" applyAlignment="1">
      <alignment horizontal="center"/>
    </xf>
    <xf numFmtId="0" fontId="9" fillId="0" borderId="77" xfId="0" applyFont="1" applyBorder="1"/>
    <xf numFmtId="14" fontId="149" fillId="0" borderId="0" xfId="0" applyNumberFormat="1" applyFont="1"/>
    <xf numFmtId="4" fontId="149" fillId="0" borderId="0" xfId="0" applyNumberFormat="1" applyFont="1"/>
    <xf numFmtId="4" fontId="149" fillId="0" borderId="78" xfId="0" applyNumberFormat="1" applyFont="1" applyBorder="1" applyAlignment="1">
      <alignment horizontal="center"/>
    </xf>
    <xf numFmtId="164" fontId="149" fillId="0" borderId="0" xfId="0" applyNumberFormat="1" applyFont="1"/>
    <xf numFmtId="164" fontId="149" fillId="0" borderId="78" xfId="0" applyNumberFormat="1" applyFont="1" applyBorder="1" applyAlignment="1">
      <alignment horizontal="center"/>
    </xf>
    <xf numFmtId="4" fontId="149" fillId="0" borderId="79" xfId="0" applyNumberFormat="1" applyFont="1" applyBorder="1"/>
    <xf numFmtId="14" fontId="149" fillId="0" borderId="78" xfId="0" applyNumberFormat="1" applyFont="1" applyBorder="1"/>
    <xf numFmtId="0" fontId="38" fillId="0" borderId="1" xfId="9"/>
    <xf numFmtId="231" fontId="41" fillId="0" borderId="1" xfId="9" applyNumberFormat="1" applyFont="1"/>
    <xf numFmtId="232" fontId="125" fillId="0" borderId="1" xfId="9" quotePrefix="1" applyNumberFormat="1" applyFont="1"/>
    <xf numFmtId="231" fontId="125" fillId="0" borderId="1" xfId="9" applyNumberFormat="1" applyFont="1"/>
    <xf numFmtId="232" fontId="38" fillId="0" borderId="1" xfId="9" quotePrefix="1" applyNumberFormat="1"/>
    <xf numFmtId="231" fontId="41" fillId="0" borderId="66" xfId="9" applyNumberFormat="1" applyFont="1" applyBorder="1"/>
    <xf numFmtId="232" fontId="38" fillId="0" borderId="66" xfId="9" quotePrefix="1" applyNumberFormat="1" applyBorder="1"/>
    <xf numFmtId="232" fontId="125" fillId="0" borderId="66" xfId="9" quotePrefix="1" applyNumberFormat="1" applyFont="1" applyBorder="1"/>
    <xf numFmtId="0" fontId="125" fillId="27" borderId="1" xfId="9" applyFont="1" applyFill="1"/>
    <xf numFmtId="0" fontId="38" fillId="27" borderId="1" xfId="9" applyFill="1"/>
    <xf numFmtId="232" fontId="133" fillId="27" borderId="1" xfId="9" quotePrefix="1" applyNumberFormat="1" applyFont="1" applyFill="1"/>
    <xf numFmtId="178" fontId="125" fillId="0" borderId="1" xfId="9" applyNumberFormat="1" applyFont="1"/>
    <xf numFmtId="231" fontId="133" fillId="28" borderId="76" xfId="9" applyNumberFormat="1" applyFont="1" applyFill="1" applyBorder="1" applyAlignment="1">
      <alignment horizontal="right"/>
    </xf>
    <xf numFmtId="232" fontId="36" fillId="28" borderId="59" xfId="9" quotePrefix="1" applyNumberFormat="1" applyFont="1" applyFill="1" applyBorder="1"/>
    <xf numFmtId="232" fontId="133" fillId="28" borderId="75" xfId="9" quotePrefix="1" applyNumberFormat="1" applyFont="1" applyFill="1" applyBorder="1"/>
    <xf numFmtId="231" fontId="133" fillId="28" borderId="73" xfId="9" applyNumberFormat="1" applyFont="1" applyFill="1" applyBorder="1" applyAlignment="1">
      <alignment horizontal="right"/>
    </xf>
    <xf numFmtId="232" fontId="36" fillId="28" borderId="66" xfId="9" quotePrefix="1" applyNumberFormat="1" applyFont="1" applyFill="1" applyBorder="1"/>
    <xf numFmtId="232" fontId="133" fillId="28" borderId="72" xfId="9" quotePrefix="1" applyNumberFormat="1" applyFont="1" applyFill="1" applyBorder="1"/>
    <xf numFmtId="178" fontId="133" fillId="0" borderId="66" xfId="9" applyNumberFormat="1" applyFont="1" applyBorder="1" applyAlignment="1">
      <alignment horizontal="right"/>
    </xf>
    <xf numFmtId="232" fontId="36" fillId="0" borderId="66" xfId="9" quotePrefix="1" applyNumberFormat="1" applyFont="1" applyBorder="1"/>
    <xf numFmtId="232" fontId="133" fillId="0" borderId="66" xfId="9" quotePrefix="1" applyNumberFormat="1" applyFont="1" applyBorder="1"/>
    <xf numFmtId="233" fontId="41" fillId="0" borderId="1" xfId="9" applyNumberFormat="1" applyFont="1" applyAlignment="1">
      <alignment horizontal="right"/>
    </xf>
    <xf numFmtId="233" fontId="125" fillId="0" borderId="1" xfId="9" applyNumberFormat="1" applyFont="1" applyAlignment="1">
      <alignment horizontal="right"/>
    </xf>
    <xf numFmtId="232" fontId="36" fillId="0" borderId="66" xfId="9" applyNumberFormat="1" applyFont="1" applyBorder="1"/>
    <xf numFmtId="232" fontId="38" fillId="0" borderId="1" xfId="9" applyNumberFormat="1" applyAlignment="1">
      <alignment horizontal="left"/>
    </xf>
    <xf numFmtId="232" fontId="125" fillId="0" borderId="1" xfId="9" quotePrefix="1" applyNumberFormat="1" applyFont="1" applyAlignment="1">
      <alignment horizontal="left"/>
    </xf>
    <xf numFmtId="178" fontId="125" fillId="0" borderId="1" xfId="9" applyNumberFormat="1" applyFont="1" applyAlignment="1">
      <alignment horizontal="right"/>
    </xf>
    <xf numFmtId="178" fontId="40" fillId="0" borderId="66" xfId="9" applyNumberFormat="1" applyFont="1" applyBorder="1" applyAlignment="1">
      <alignment horizontal="right"/>
    </xf>
    <xf numFmtId="178" fontId="40" fillId="29" borderId="1" xfId="9" applyNumberFormat="1" applyFont="1" applyFill="1"/>
    <xf numFmtId="232" fontId="36" fillId="29" borderId="1" xfId="9" quotePrefix="1" applyNumberFormat="1" applyFont="1" applyFill="1"/>
    <xf numFmtId="232" fontId="133" fillId="29" borderId="1" xfId="9" quotePrefix="1" applyNumberFormat="1" applyFont="1" applyFill="1"/>
    <xf numFmtId="233" fontId="125" fillId="0" borderId="1" xfId="9" applyNumberFormat="1" applyFont="1"/>
    <xf numFmtId="234" fontId="41" fillId="0" borderId="1" xfId="9" applyNumberFormat="1" applyFont="1" applyAlignment="1">
      <alignment horizontal="right"/>
    </xf>
    <xf numFmtId="178" fontId="125" fillId="0" borderId="66" xfId="9" applyNumberFormat="1" applyFont="1" applyBorder="1" applyAlignment="1">
      <alignment horizontal="right"/>
    </xf>
    <xf numFmtId="178" fontId="133" fillId="27" borderId="1" xfId="9" applyNumberFormat="1" applyFont="1" applyFill="1" applyAlignment="1">
      <alignment horizontal="centerContinuous"/>
    </xf>
    <xf numFmtId="232" fontId="36" fillId="27" borderId="1" xfId="9" quotePrefix="1" applyNumberFormat="1" applyFont="1" applyFill="1" applyAlignment="1">
      <alignment horizontal="centerContinuous"/>
    </xf>
    <xf numFmtId="232" fontId="133" fillId="27" borderId="1" xfId="9" quotePrefix="1" applyNumberFormat="1" applyFont="1" applyFill="1" applyAlignment="1">
      <alignment horizontal="centerContinuous"/>
    </xf>
    <xf numFmtId="178" fontId="133" fillId="0" borderId="1" xfId="9" applyNumberFormat="1" applyFont="1"/>
    <xf numFmtId="232" fontId="36" fillId="0" borderId="1" xfId="9" quotePrefix="1" applyNumberFormat="1" applyFont="1"/>
    <xf numFmtId="232" fontId="133" fillId="0" borderId="1" xfId="9" quotePrefix="1" applyNumberFormat="1" applyFont="1"/>
    <xf numFmtId="178" fontId="41" fillId="0" borderId="66" xfId="9" applyNumberFormat="1" applyFont="1" applyBorder="1" applyAlignment="1">
      <alignment horizontal="right"/>
    </xf>
    <xf numFmtId="0" fontId="38" fillId="27" borderId="1" xfId="9" applyFill="1" applyAlignment="1">
      <alignment horizontal="centerContinuous"/>
    </xf>
    <xf numFmtId="0" fontId="133" fillId="27" borderId="1" xfId="9" quotePrefix="1" applyFont="1" applyFill="1" applyAlignment="1">
      <alignment horizontal="centerContinuous"/>
    </xf>
    <xf numFmtId="178" fontId="41" fillId="0" borderId="1" xfId="9" applyNumberFormat="1" applyFont="1"/>
    <xf numFmtId="178" fontId="38" fillId="28" borderId="68" xfId="9" applyNumberFormat="1" applyFill="1" applyBorder="1" applyAlignment="1">
      <alignment horizontal="center"/>
    </xf>
    <xf numFmtId="232" fontId="38" fillId="0" borderId="1" xfId="9" quotePrefix="1" applyNumberFormat="1" applyAlignment="1">
      <alignment horizontal="right"/>
    </xf>
    <xf numFmtId="232" fontId="125" fillId="30" borderId="1" xfId="9" applyNumberFormat="1" applyFont="1" applyFill="1"/>
    <xf numFmtId="232" fontId="150" fillId="30" borderId="1" xfId="9" quotePrefix="1" applyNumberFormat="1" applyFont="1" applyFill="1"/>
    <xf numFmtId="232" fontId="130" fillId="30" borderId="1" xfId="9" quotePrefix="1" applyNumberFormat="1" applyFont="1" applyFill="1"/>
    <xf numFmtId="0" fontId="83" fillId="0" borderId="61" xfId="0" applyFont="1" applyBorder="1"/>
    <xf numFmtId="0" fontId="32" fillId="0" borderId="61" xfId="0" applyFont="1" applyBorder="1"/>
    <xf numFmtId="0" fontId="32" fillId="0" borderId="61" xfId="0" applyFont="1" applyBorder="1" applyAlignment="1">
      <alignment horizontal="left" indent="1"/>
    </xf>
    <xf numFmtId="0" fontId="115" fillId="0" borderId="61" xfId="0" applyFont="1" applyBorder="1"/>
    <xf numFmtId="0" fontId="123" fillId="31" borderId="61" xfId="0" applyFont="1" applyFill="1" applyBorder="1"/>
    <xf numFmtId="0" fontId="123" fillId="31" borderId="61" xfId="0" applyFont="1" applyFill="1" applyBorder="1" applyAlignment="1">
      <alignment horizontal="left" indent="1"/>
    </xf>
    <xf numFmtId="0" fontId="151" fillId="31" borderId="61" xfId="0" applyFont="1" applyFill="1" applyBorder="1"/>
    <xf numFmtId="232" fontId="147" fillId="32" borderId="71" xfId="0" quotePrefix="1" applyNumberFormat="1" applyFont="1" applyFill="1" applyBorder="1" applyAlignment="1">
      <alignment horizontal="centerContinuous"/>
    </xf>
    <xf numFmtId="177" fontId="147" fillId="32" borderId="57" xfId="0" applyNumberFormat="1" applyFont="1" applyFill="1" applyBorder="1" applyAlignment="1">
      <alignment horizontal="centerContinuous"/>
    </xf>
    <xf numFmtId="177" fontId="147" fillId="32" borderId="58" xfId="0" applyNumberFormat="1" applyFont="1" applyFill="1" applyBorder="1" applyAlignment="1">
      <alignment horizontal="centerContinuous"/>
    </xf>
    <xf numFmtId="232" fontId="0" fillId="0" borderId="66" xfId="0" quotePrefix="1" applyNumberFormat="1" applyBorder="1"/>
    <xf numFmtId="177" fontId="0" fillId="0" borderId="66" xfId="0" quotePrefix="1" applyNumberFormat="1" applyBorder="1"/>
    <xf numFmtId="235" fontId="152" fillId="0" borderId="66" xfId="0" applyNumberFormat="1" applyFont="1" applyBorder="1"/>
    <xf numFmtId="232" fontId="0" fillId="0" borderId="0" xfId="0" quotePrefix="1" applyNumberFormat="1" applyAlignment="1">
      <alignment horizontal="left"/>
    </xf>
    <xf numFmtId="177" fontId="0" fillId="0" borderId="0" xfId="0" applyNumberFormat="1" applyAlignment="1">
      <alignment horizontal="left"/>
    </xf>
    <xf numFmtId="177" fontId="152" fillId="0" borderId="0" xfId="0" applyNumberFormat="1" applyFont="1"/>
    <xf numFmtId="232" fontId="0" fillId="0" borderId="0" xfId="0" quotePrefix="1" applyNumberFormat="1"/>
    <xf numFmtId="177" fontId="0" fillId="0" borderId="0" xfId="0" quotePrefix="1" applyNumberFormat="1"/>
    <xf numFmtId="177" fontId="153" fillId="0" borderId="0" xfId="0" applyNumberFormat="1" applyFont="1"/>
    <xf numFmtId="232" fontId="147" fillId="33" borderId="85" xfId="0" quotePrefix="1" applyNumberFormat="1" applyFont="1" applyFill="1" applyBorder="1"/>
    <xf numFmtId="177" fontId="147" fillId="33" borderId="86" xfId="0" quotePrefix="1" applyNumberFormat="1" applyFont="1" applyFill="1" applyBorder="1"/>
    <xf numFmtId="235" fontId="154" fillId="33" borderId="87" xfId="0" applyNumberFormat="1" applyFont="1" applyFill="1" applyBorder="1"/>
    <xf numFmtId="177" fontId="147" fillId="0" borderId="0" xfId="0" quotePrefix="1" applyNumberFormat="1" applyFont="1"/>
    <xf numFmtId="177" fontId="154" fillId="0" borderId="0" xfId="0" applyNumberFormat="1" applyFont="1"/>
    <xf numFmtId="232" fontId="147" fillId="34" borderId="71" xfId="0" quotePrefix="1" applyNumberFormat="1" applyFont="1" applyFill="1" applyBorder="1" applyAlignment="1">
      <alignment horizontal="centerContinuous"/>
    </xf>
    <xf numFmtId="177" fontId="147" fillId="34" borderId="57" xfId="0" applyNumberFormat="1" applyFont="1" applyFill="1" applyBorder="1" applyAlignment="1">
      <alignment horizontal="centerContinuous"/>
    </xf>
    <xf numFmtId="177" fontId="147" fillId="34" borderId="58" xfId="0" applyNumberFormat="1" applyFont="1" applyFill="1" applyBorder="1" applyAlignment="1">
      <alignment horizontal="centerContinuous"/>
    </xf>
    <xf numFmtId="0" fontId="0" fillId="0" borderId="66" xfId="0" quotePrefix="1" applyBorder="1"/>
    <xf numFmtId="177" fontId="0" fillId="0" borderId="66" xfId="0" applyNumberFormat="1" applyBorder="1"/>
    <xf numFmtId="0" fontId="0" fillId="0" borderId="0" xfId="0" quotePrefix="1"/>
    <xf numFmtId="177" fontId="0" fillId="0" borderId="0" xfId="0" applyNumberFormat="1"/>
    <xf numFmtId="235" fontId="153" fillId="0" borderId="0" xfId="0" applyNumberFormat="1" applyFont="1"/>
    <xf numFmtId="177" fontId="155" fillId="0" borderId="0" xfId="0" applyNumberFormat="1" applyFont="1"/>
    <xf numFmtId="232" fontId="147" fillId="27" borderId="0" xfId="0" quotePrefix="1" applyNumberFormat="1" applyFont="1" applyFill="1"/>
    <xf numFmtId="177" fontId="0" fillId="27" borderId="0" xfId="0" applyNumberFormat="1" applyFill="1"/>
    <xf numFmtId="177" fontId="152" fillId="27" borderId="0" xfId="0" applyNumberFormat="1" applyFont="1" applyFill="1"/>
    <xf numFmtId="236" fontId="153" fillId="0" borderId="66" xfId="0" applyNumberFormat="1" applyFont="1" applyBorder="1"/>
    <xf numFmtId="236" fontId="153" fillId="0" borderId="0" xfId="0" applyNumberFormat="1" applyFont="1"/>
    <xf numFmtId="235" fontId="153" fillId="0" borderId="1" xfId="10" applyNumberFormat="1" applyFont="1"/>
    <xf numFmtId="236" fontId="153" fillId="0" borderId="1" xfId="10" applyNumberFormat="1" applyFont="1"/>
    <xf numFmtId="232" fontId="146" fillId="0" borderId="1" xfId="10" applyNumberFormat="1" applyAlignment="1">
      <alignment horizontal="left"/>
    </xf>
    <xf numFmtId="236" fontId="152" fillId="0" borderId="1" xfId="10" applyNumberFormat="1" applyFont="1"/>
    <xf numFmtId="177" fontId="146" fillId="0" borderId="1" xfId="10" applyNumberFormat="1" applyAlignment="1">
      <alignment horizontal="left"/>
    </xf>
    <xf numFmtId="232" fontId="38" fillId="0" borderId="1" xfId="10" quotePrefix="1" applyNumberFormat="1" applyFont="1"/>
    <xf numFmtId="177" fontId="38" fillId="0" borderId="1" xfId="10" quotePrefix="1" applyNumberFormat="1" applyFont="1"/>
    <xf numFmtId="177" fontId="36" fillId="0" borderId="1" xfId="10" quotePrefix="1" applyNumberFormat="1" applyFont="1"/>
    <xf numFmtId="177" fontId="40" fillId="0" borderId="1" xfId="10" applyNumberFormat="1" applyFont="1"/>
    <xf numFmtId="232" fontId="146" fillId="0" borderId="1" xfId="10" quotePrefix="1" applyNumberFormat="1"/>
    <xf numFmtId="177" fontId="146" fillId="0" borderId="1" xfId="10" quotePrefix="1" applyNumberFormat="1"/>
    <xf numFmtId="235" fontId="125" fillId="0" borderId="1" xfId="10" applyNumberFormat="1" applyFont="1"/>
    <xf numFmtId="177" fontId="125" fillId="0" borderId="1" xfId="10" applyNumberFormat="1" applyFont="1"/>
    <xf numFmtId="232" fontId="36" fillId="0" borderId="66" xfId="10" applyNumberFormat="1" applyFont="1" applyBorder="1"/>
    <xf numFmtId="177" fontId="36" fillId="0" borderId="66" xfId="10" applyNumberFormat="1" applyFont="1" applyBorder="1"/>
    <xf numFmtId="235" fontId="133" fillId="0" borderId="66" xfId="10" applyNumberFormat="1" applyFont="1" applyBorder="1"/>
    <xf numFmtId="232" fontId="36" fillId="0" borderId="66" xfId="10" quotePrefix="1" applyNumberFormat="1" applyFont="1" applyBorder="1"/>
    <xf numFmtId="177" fontId="36" fillId="0" borderId="66" xfId="10" quotePrefix="1" applyNumberFormat="1" applyFont="1" applyBorder="1"/>
    <xf numFmtId="232" fontId="36" fillId="33" borderId="85" xfId="10" quotePrefix="1" applyNumberFormat="1" applyFont="1" applyFill="1" applyBorder="1"/>
    <xf numFmtId="177" fontId="36" fillId="33" borderId="86" xfId="10" quotePrefix="1" applyNumberFormat="1" applyFont="1" applyFill="1" applyBorder="1"/>
    <xf numFmtId="235" fontId="133" fillId="33" borderId="87" xfId="10" applyNumberFormat="1" applyFont="1" applyFill="1" applyBorder="1"/>
    <xf numFmtId="177" fontId="133" fillId="0" borderId="1" xfId="10" applyNumberFormat="1" applyFont="1"/>
    <xf numFmtId="232" fontId="36" fillId="27" borderId="1" xfId="10" applyNumberFormat="1" applyFont="1" applyFill="1"/>
    <xf numFmtId="177" fontId="146" fillId="27" borderId="1" xfId="10" applyNumberFormat="1" applyFill="1"/>
    <xf numFmtId="177" fontId="125" fillId="27" borderId="1" xfId="10" applyNumberFormat="1" applyFont="1" applyFill="1"/>
    <xf numFmtId="0" fontId="146" fillId="0" borderId="1" xfId="10"/>
    <xf numFmtId="177" fontId="146" fillId="0" borderId="1" xfId="10" applyNumberFormat="1"/>
    <xf numFmtId="0" fontId="146" fillId="0" borderId="66" xfId="10" applyBorder="1"/>
    <xf numFmtId="177" fontId="146" fillId="0" borderId="66" xfId="10" applyNumberFormat="1" applyBorder="1"/>
    <xf numFmtId="236" fontId="153" fillId="0" borderId="66" xfId="10" applyNumberFormat="1" applyFont="1" applyBorder="1"/>
    <xf numFmtId="0" fontId="147" fillId="26" borderId="7" xfId="0" applyFont="1" applyFill="1" applyBorder="1"/>
    <xf numFmtId="10" fontId="147" fillId="26" borderId="3" xfId="0" applyNumberFormat="1" applyFont="1" applyFill="1" applyBorder="1"/>
    <xf numFmtId="229" fontId="147" fillId="26" borderId="3" xfId="0" applyNumberFormat="1" applyFont="1" applyFill="1" applyBorder="1"/>
    <xf numFmtId="0" fontId="99" fillId="0" borderId="1" xfId="0" applyFont="1" applyBorder="1" applyAlignment="1">
      <alignment horizontal="left" indent="1"/>
    </xf>
    <xf numFmtId="0" fontId="2" fillId="0" borderId="0" xfId="0" applyFont="1"/>
    <xf numFmtId="201" fontId="90" fillId="0" borderId="88" xfId="0" applyNumberFormat="1" applyFont="1" applyBorder="1"/>
    <xf numFmtId="0" fontId="123" fillId="0" borderId="59" xfId="0" applyFont="1" applyBorder="1"/>
    <xf numFmtId="0" fontId="31" fillId="0" borderId="59" xfId="0" applyFont="1" applyBorder="1"/>
    <xf numFmtId="201" fontId="28" fillId="0" borderId="59" xfId="0" applyNumberFormat="1" applyFont="1" applyBorder="1"/>
    <xf numFmtId="0" fontId="123" fillId="0" borderId="1" xfId="0" applyFont="1" applyBorder="1" applyAlignment="1">
      <alignment horizontal="left" indent="1"/>
    </xf>
    <xf numFmtId="0" fontId="148" fillId="0" borderId="1" xfId="0" applyFont="1" applyBorder="1" applyAlignment="1">
      <alignment horizontal="left" indent="1"/>
    </xf>
    <xf numFmtId="0" fontId="99" fillId="0" borderId="65" xfId="0" applyFont="1" applyBorder="1" applyAlignment="1">
      <alignment horizontal="left" indent="1"/>
    </xf>
    <xf numFmtId="0" fontId="87" fillId="0" borderId="65" xfId="0" applyFont="1" applyBorder="1"/>
    <xf numFmtId="201" fontId="95" fillId="0" borderId="65" xfId="0" applyNumberFormat="1" applyFont="1" applyBorder="1" applyAlignment="1">
      <alignment horizontal="right" vertical="center"/>
    </xf>
    <xf numFmtId="0" fontId="164" fillId="0" borderId="0" xfId="0" applyFont="1"/>
    <xf numFmtId="0" fontId="166" fillId="35" borderId="0" xfId="0" applyFont="1" applyFill="1"/>
    <xf numFmtId="0" fontId="167" fillId="35" borderId="0" xfId="0" applyFont="1" applyFill="1"/>
    <xf numFmtId="0" fontId="168" fillId="0" borderId="0" xfId="0" applyFont="1"/>
    <xf numFmtId="0" fontId="168" fillId="0" borderId="0" xfId="0" applyFont="1" applyAlignment="1">
      <alignment horizontal="centerContinuous"/>
    </xf>
    <xf numFmtId="168" fontId="169" fillId="36" borderId="0" xfId="0" applyNumberFormat="1" applyFont="1" applyFill="1"/>
    <xf numFmtId="168" fontId="168" fillId="37" borderId="57" xfId="1" applyNumberFormat="1" applyFont="1" applyFill="1" applyBorder="1" applyAlignment="1">
      <alignment horizontal="center"/>
    </xf>
    <xf numFmtId="168" fontId="170" fillId="37" borderId="57" xfId="1" applyNumberFormat="1" applyFont="1" applyFill="1" applyBorder="1" applyAlignment="1">
      <alignment horizontal="center"/>
    </xf>
    <xf numFmtId="168" fontId="168" fillId="37" borderId="43" xfId="1" applyNumberFormat="1" applyFont="1" applyFill="1" applyBorder="1"/>
    <xf numFmtId="168" fontId="164" fillId="0" borderId="72" xfId="1" applyNumberFormat="1" applyFont="1" applyBorder="1" applyAlignment="1">
      <alignment horizontal="center"/>
    </xf>
    <xf numFmtId="168" fontId="164" fillId="0" borderId="66" xfId="1" applyNumberFormat="1" applyFont="1" applyBorder="1" applyAlignment="1">
      <alignment horizontal="center"/>
    </xf>
    <xf numFmtId="168" fontId="164" fillId="0" borderId="73" xfId="1" applyNumberFormat="1" applyFont="1" applyBorder="1" applyAlignment="1">
      <alignment horizontal="center"/>
    </xf>
    <xf numFmtId="168" fontId="164" fillId="0" borderId="74" xfId="1" applyNumberFormat="1" applyFont="1" applyBorder="1" applyAlignment="1">
      <alignment horizontal="center"/>
    </xf>
    <xf numFmtId="168" fontId="164" fillId="38" borderId="0" xfId="1" applyNumberFormat="1" applyFont="1" applyFill="1" applyAlignment="1">
      <alignment horizontal="center"/>
    </xf>
    <xf numFmtId="168" fontId="164" fillId="0" borderId="43" xfId="1" applyNumberFormat="1" applyFont="1" applyBorder="1" applyAlignment="1">
      <alignment horizontal="center"/>
    </xf>
    <xf numFmtId="168" fontId="170" fillId="37" borderId="43" xfId="1" applyNumberFormat="1" applyFont="1" applyFill="1" applyBorder="1"/>
    <xf numFmtId="168" fontId="168" fillId="36" borderId="0" xfId="1" applyNumberFormat="1" applyFont="1" applyFill="1" applyAlignment="1">
      <alignment horizontal="center"/>
    </xf>
    <xf numFmtId="168" fontId="164" fillId="0" borderId="75" xfId="1" applyNumberFormat="1" applyFont="1" applyBorder="1" applyAlignment="1">
      <alignment horizontal="center"/>
    </xf>
    <xf numFmtId="168" fontId="164" fillId="0" borderId="59" xfId="1" applyNumberFormat="1" applyFont="1" applyBorder="1" applyAlignment="1">
      <alignment horizontal="center"/>
    </xf>
    <xf numFmtId="168" fontId="164" fillId="0" borderId="76" xfId="1" applyNumberFormat="1" applyFont="1" applyBorder="1" applyAlignment="1">
      <alignment horizontal="center"/>
    </xf>
    <xf numFmtId="0" fontId="168" fillId="36" borderId="0" xfId="0" applyFont="1" applyFill="1"/>
    <xf numFmtId="0" fontId="164" fillId="36" borderId="0" xfId="0" applyFont="1" applyFill="1"/>
    <xf numFmtId="0" fontId="164" fillId="33" borderId="0" xfId="0" applyFont="1" applyFill="1"/>
    <xf numFmtId="0" fontId="168" fillId="0" borderId="0" xfId="0" applyFont="1" applyAlignment="1">
      <alignment horizontal="center"/>
    </xf>
    <xf numFmtId="43" fontId="164" fillId="0" borderId="0" xfId="0" applyNumberFormat="1" applyFont="1"/>
    <xf numFmtId="9" fontId="164" fillId="0" borderId="0" xfId="0" applyNumberFormat="1" applyFont="1"/>
    <xf numFmtId="165" fontId="168" fillId="0" borderId="68" xfId="2" applyFont="1" applyBorder="1"/>
    <xf numFmtId="237" fontId="164" fillId="0" borderId="0" xfId="1" applyNumberFormat="1" applyFont="1"/>
    <xf numFmtId="0" fontId="83" fillId="0" borderId="74" xfId="0" applyFont="1" applyBorder="1"/>
    <xf numFmtId="0" fontId="0" fillId="0" borderId="74" xfId="0" applyBorder="1"/>
    <xf numFmtId="0" fontId="83" fillId="0" borderId="75" xfId="0" applyFont="1" applyBorder="1"/>
    <xf numFmtId="0" fontId="0" fillId="0" borderId="75" xfId="0" applyBorder="1"/>
    <xf numFmtId="0" fontId="83" fillId="0" borderId="0" xfId="0" applyFont="1" applyAlignment="1">
      <alignment horizontal="right"/>
    </xf>
    <xf numFmtId="2" fontId="0" fillId="0" borderId="0" xfId="0" applyNumberFormat="1"/>
    <xf numFmtId="9" fontId="0" fillId="0" borderId="0" xfId="1" applyFont="1"/>
    <xf numFmtId="165" fontId="83" fillId="0" borderId="0" xfId="2" applyFont="1"/>
    <xf numFmtId="165" fontId="0" fillId="0" borderId="0" xfId="2" applyFont="1"/>
    <xf numFmtId="0" fontId="173" fillId="0" borderId="59" xfId="0" applyFont="1" applyBorder="1"/>
    <xf numFmtId="0" fontId="173" fillId="0" borderId="75" xfId="0" applyFont="1" applyBorder="1"/>
    <xf numFmtId="0" fontId="83" fillId="0" borderId="74" xfId="0" applyFont="1" applyBorder="1" applyAlignment="1">
      <alignment horizontal="right"/>
    </xf>
    <xf numFmtId="0" fontId="83" fillId="0" borderId="1" xfId="0" applyFont="1" applyBorder="1" applyAlignment="1">
      <alignment horizontal="right"/>
    </xf>
    <xf numFmtId="193" fontId="0" fillId="0" borderId="74" xfId="0" applyNumberFormat="1" applyBorder="1"/>
    <xf numFmtId="0" fontId="174" fillId="0" borderId="51" xfId="0" applyFont="1" applyBorder="1"/>
    <xf numFmtId="0" fontId="174" fillId="0" borderId="51" xfId="0" applyFont="1" applyBorder="1" applyAlignment="1">
      <alignment horizontal="center"/>
    </xf>
    <xf numFmtId="0" fontId="174" fillId="0" borderId="0" xfId="0" applyFont="1"/>
    <xf numFmtId="238" fontId="174" fillId="0" borderId="51" xfId="0" applyNumberFormat="1" applyFont="1" applyBorder="1"/>
    <xf numFmtId="0" fontId="174" fillId="0" borderId="34" xfId="0" applyFont="1" applyBorder="1"/>
    <xf numFmtId="0" fontId="174" fillId="0" borderId="37" xfId="0" applyFont="1" applyBorder="1"/>
    <xf numFmtId="238" fontId="174" fillId="0" borderId="89" xfId="0" applyNumberFormat="1" applyFont="1" applyBorder="1"/>
    <xf numFmtId="238" fontId="174" fillId="0" borderId="53" xfId="0" applyNumberFormat="1" applyFont="1" applyBorder="1"/>
    <xf numFmtId="0" fontId="174" fillId="0" borderId="90" xfId="0" applyFont="1" applyBorder="1"/>
    <xf numFmtId="238" fontId="174" fillId="0" borderId="91" xfId="0" applyNumberFormat="1" applyFont="1" applyBorder="1"/>
    <xf numFmtId="0" fontId="174" fillId="0" borderId="53" xfId="0" applyFont="1" applyBorder="1"/>
    <xf numFmtId="0" fontId="174" fillId="0" borderId="92" xfId="0" applyFont="1" applyBorder="1"/>
    <xf numFmtId="238" fontId="174" fillId="0" borderId="93" xfId="0" applyNumberFormat="1" applyFont="1" applyBorder="1"/>
    <xf numFmtId="0" fontId="174" fillId="0" borderId="94" xfId="0" applyFont="1" applyBorder="1"/>
    <xf numFmtId="238" fontId="175" fillId="0" borderId="95" xfId="0" applyNumberFormat="1" applyFont="1" applyBorder="1"/>
    <xf numFmtId="0" fontId="174" fillId="0" borderId="36" xfId="0" applyFont="1" applyBorder="1"/>
    <xf numFmtId="10" fontId="174" fillId="0" borderId="51" xfId="0" applyNumberFormat="1" applyFont="1" applyBorder="1"/>
    <xf numFmtId="0" fontId="176" fillId="0" borderId="0" xfId="0" applyFont="1"/>
    <xf numFmtId="44" fontId="177" fillId="0" borderId="0" xfId="0" applyNumberFormat="1" applyFont="1"/>
    <xf numFmtId="0" fontId="178" fillId="0" borderId="1" xfId="20"/>
    <xf numFmtId="10" fontId="38" fillId="0" borderId="1" xfId="20" applyNumberFormat="1" applyFont="1"/>
    <xf numFmtId="2" fontId="38" fillId="0" borderId="1" xfId="20" applyNumberFormat="1" applyFont="1"/>
    <xf numFmtId="0" fontId="38" fillId="0" borderId="1" xfId="20" applyFont="1"/>
    <xf numFmtId="0" fontId="38" fillId="0" borderId="1" xfId="20" applyFont="1" applyAlignment="1">
      <alignment horizontal="left"/>
    </xf>
    <xf numFmtId="10" fontId="179" fillId="0" borderId="1" xfId="20" applyNumberFormat="1" applyFont="1" applyAlignment="1">
      <alignment horizontal="right"/>
    </xf>
    <xf numFmtId="2" fontId="179" fillId="0" borderId="1" xfId="20" applyNumberFormat="1" applyFont="1" applyAlignment="1">
      <alignment horizontal="right"/>
    </xf>
    <xf numFmtId="0" fontId="179" fillId="0" borderId="1" xfId="20" applyFont="1" applyAlignment="1">
      <alignment horizontal="right"/>
    </xf>
    <xf numFmtId="0" fontId="179" fillId="0" borderId="1" xfId="20" applyFont="1" applyAlignment="1">
      <alignment horizontal="left"/>
    </xf>
    <xf numFmtId="2" fontId="179" fillId="0" borderId="1" xfId="20" applyNumberFormat="1" applyFont="1" applyAlignment="1">
      <alignment horizontal="left"/>
    </xf>
    <xf numFmtId="0" fontId="180" fillId="0" borderId="51" xfId="20" applyFont="1" applyBorder="1" applyAlignment="1">
      <alignment horizontal="center" wrapText="1"/>
    </xf>
    <xf numFmtId="0" fontId="180" fillId="0" borderId="51" xfId="20" applyFont="1" applyBorder="1" applyAlignment="1">
      <alignment wrapText="1"/>
    </xf>
    <xf numFmtId="2" fontId="180" fillId="0" borderId="51" xfId="20" applyNumberFormat="1" applyFont="1" applyBorder="1" applyAlignment="1">
      <alignment horizontal="center" wrapText="1"/>
    </xf>
    <xf numFmtId="10" fontId="180" fillId="0" borderId="51" xfId="20" applyNumberFormat="1" applyFont="1" applyBorder="1" applyAlignment="1">
      <alignment horizontal="center" wrapText="1"/>
    </xf>
    <xf numFmtId="10" fontId="179" fillId="0" borderId="1" xfId="20" applyNumberFormat="1" applyFont="1"/>
    <xf numFmtId="0" fontId="181" fillId="0" borderId="1" xfId="20" applyFont="1"/>
    <xf numFmtId="10" fontId="181" fillId="0" borderId="1" xfId="20" applyNumberFormat="1" applyFont="1"/>
    <xf numFmtId="10" fontId="181" fillId="0" borderId="51" xfId="20" applyNumberFormat="1" applyFont="1" applyBorder="1"/>
    <xf numFmtId="10" fontId="182" fillId="0" borderId="51" xfId="20" applyNumberFormat="1" applyFont="1" applyBorder="1" applyAlignment="1">
      <alignment horizontal="center"/>
    </xf>
    <xf numFmtId="10" fontId="183" fillId="0" borderId="51" xfId="20" applyNumberFormat="1" applyFont="1" applyBorder="1" applyAlignment="1">
      <alignment horizontal="center"/>
    </xf>
    <xf numFmtId="0" fontId="182" fillId="0" borderId="51" xfId="20" applyFont="1" applyBorder="1" applyAlignment="1">
      <alignment horizontal="center"/>
    </xf>
    <xf numFmtId="0" fontId="183" fillId="0" borderId="51" xfId="20" applyFont="1" applyBorder="1"/>
    <xf numFmtId="0" fontId="182" fillId="0" borderId="51" xfId="20" applyFont="1" applyBorder="1"/>
    <xf numFmtId="10" fontId="184" fillId="0" borderId="1" xfId="20" applyNumberFormat="1" applyFont="1" applyAlignment="1">
      <alignment horizontal="center"/>
    </xf>
    <xf numFmtId="10" fontId="182" fillId="0" borderId="1" xfId="20" applyNumberFormat="1" applyFont="1" applyAlignment="1">
      <alignment horizontal="center"/>
    </xf>
    <xf numFmtId="0" fontId="179" fillId="0" borderId="51" xfId="20" applyFont="1" applyBorder="1"/>
    <xf numFmtId="10" fontId="184" fillId="0" borderId="51" xfId="20" applyNumberFormat="1" applyFont="1" applyBorder="1" applyAlignment="1">
      <alignment horizontal="center"/>
    </xf>
    <xf numFmtId="0" fontId="184" fillId="0" borderId="51" xfId="20" applyFont="1" applyBorder="1" applyAlignment="1">
      <alignment horizontal="left"/>
    </xf>
    <xf numFmtId="0" fontId="185" fillId="0" borderId="51" xfId="20" applyFont="1" applyBorder="1" applyAlignment="1">
      <alignment horizontal="center"/>
    </xf>
    <xf numFmtId="0" fontId="185" fillId="0" borderId="51" xfId="20" applyFont="1" applyBorder="1" applyAlignment="1">
      <alignment horizontal="left"/>
    </xf>
    <xf numFmtId="0" fontId="186" fillId="0" borderId="1" xfId="20" applyFont="1" applyAlignment="1">
      <alignment horizontal="center"/>
    </xf>
    <xf numFmtId="0" fontId="186" fillId="0" borderId="51" xfId="20" applyFont="1" applyBorder="1" applyAlignment="1">
      <alignment horizontal="center"/>
    </xf>
    <xf numFmtId="0" fontId="186" fillId="0" borderId="51" xfId="20" applyFont="1" applyBorder="1"/>
    <xf numFmtId="0" fontId="181" fillId="0" borderId="51" xfId="20" applyFont="1" applyBorder="1"/>
    <xf numFmtId="0" fontId="185" fillId="0" borderId="51" xfId="20" applyFont="1" applyBorder="1"/>
    <xf numFmtId="0" fontId="187" fillId="0" borderId="51" xfId="20" applyFont="1" applyBorder="1"/>
    <xf numFmtId="0" fontId="179" fillId="0" borderId="1" xfId="20" applyFont="1"/>
    <xf numFmtId="10" fontId="179" fillId="0" borderId="51" xfId="20" applyNumberFormat="1" applyFont="1" applyBorder="1" applyAlignment="1">
      <alignment horizontal="right"/>
    </xf>
    <xf numFmtId="0" fontId="184" fillId="0" borderId="51" xfId="20" applyFont="1" applyBorder="1"/>
    <xf numFmtId="0" fontId="174" fillId="0" borderId="1" xfId="20" applyFont="1"/>
    <xf numFmtId="239" fontId="174" fillId="0" borderId="96" xfId="20" applyNumberFormat="1" applyFont="1" applyBorder="1"/>
    <xf numFmtId="240" fontId="174" fillId="0" borderId="1" xfId="20" applyNumberFormat="1" applyFont="1"/>
    <xf numFmtId="240" fontId="174" fillId="0" borderId="96" xfId="20" applyNumberFormat="1" applyFont="1" applyBorder="1"/>
    <xf numFmtId="0" fontId="174" fillId="0" borderId="51" xfId="20" applyFont="1" applyBorder="1"/>
    <xf numFmtId="10" fontId="174" fillId="0" borderId="51" xfId="20" applyNumberFormat="1" applyFont="1" applyBorder="1"/>
    <xf numFmtId="0" fontId="188" fillId="0" borderId="1" xfId="20" applyFont="1"/>
    <xf numFmtId="10" fontId="188" fillId="0" borderId="51" xfId="20" applyNumberFormat="1" applyFont="1" applyBorder="1"/>
    <xf numFmtId="2" fontId="188" fillId="0" borderId="51" xfId="20" applyNumberFormat="1" applyFont="1" applyBorder="1"/>
    <xf numFmtId="241" fontId="188" fillId="0" borderId="51" xfId="20" applyNumberFormat="1" applyFont="1" applyBorder="1"/>
    <xf numFmtId="240" fontId="188" fillId="0" borderId="51" xfId="20" applyNumberFormat="1" applyFont="1" applyBorder="1"/>
    <xf numFmtId="0" fontId="188" fillId="0" borderId="51" xfId="20" applyFont="1" applyBorder="1"/>
    <xf numFmtId="10" fontId="188" fillId="0" borderId="1" xfId="20" applyNumberFormat="1" applyFont="1"/>
    <xf numFmtId="3" fontId="174" fillId="0" borderId="51" xfId="20" applyNumberFormat="1" applyFont="1" applyBorder="1"/>
    <xf numFmtId="2" fontId="174" fillId="0" borderId="51" xfId="20" applyNumberFormat="1" applyFont="1" applyBorder="1"/>
    <xf numFmtId="0" fontId="189" fillId="0" borderId="1" xfId="20" applyFont="1"/>
    <xf numFmtId="0" fontId="190" fillId="0" borderId="1" xfId="20" applyFont="1"/>
    <xf numFmtId="0" fontId="191" fillId="0" borderId="1" xfId="20" applyFont="1"/>
    <xf numFmtId="4" fontId="174" fillId="0" borderId="51" xfId="20" applyNumberFormat="1" applyFont="1" applyBorder="1"/>
    <xf numFmtId="240" fontId="174" fillId="0" borderId="51" xfId="20" applyNumberFormat="1" applyFont="1" applyBorder="1"/>
    <xf numFmtId="0" fontId="192" fillId="0" borderId="1" xfId="20" applyFont="1"/>
    <xf numFmtId="0" fontId="193" fillId="0" borderId="1" xfId="20" applyFont="1"/>
    <xf numFmtId="0" fontId="194" fillId="0" borderId="0" xfId="0" applyFont="1"/>
    <xf numFmtId="0" fontId="194" fillId="0" borderId="51" xfId="0" applyFont="1" applyBorder="1" applyAlignment="1">
      <alignment horizontal="center"/>
    </xf>
    <xf numFmtId="0" fontId="195" fillId="0" borderId="0" xfId="0" applyFont="1"/>
    <xf numFmtId="2" fontId="194" fillId="0" borderId="51" xfId="0" applyNumberFormat="1" applyFont="1" applyBorder="1" applyAlignment="1">
      <alignment horizontal="center"/>
    </xf>
    <xf numFmtId="2" fontId="194" fillId="0" borderId="0" xfId="0" applyNumberFormat="1" applyFont="1" applyAlignment="1">
      <alignment horizontal="center"/>
    </xf>
    <xf numFmtId="242" fontId="194" fillId="0" borderId="51" xfId="0" applyNumberFormat="1" applyFont="1" applyBorder="1" applyAlignment="1">
      <alignment horizontal="center"/>
    </xf>
    <xf numFmtId="0" fontId="196" fillId="0" borderId="0" xfId="0" applyFont="1"/>
    <xf numFmtId="0" fontId="8" fillId="0" borderId="2" xfId="0" applyFont="1" applyBorder="1"/>
    <xf numFmtId="0" fontId="4" fillId="0" borderId="2" xfId="0" applyFont="1" applyBorder="1" applyAlignment="1">
      <alignment horizontal="center"/>
    </xf>
    <xf numFmtId="0" fontId="40" fillId="0" borderId="27" xfId="0" applyFont="1" applyBorder="1" applyAlignment="1">
      <alignment horizontal="center"/>
    </xf>
    <xf numFmtId="0" fontId="8" fillId="0" borderId="27" xfId="0" applyFont="1" applyBorder="1"/>
    <xf numFmtId="0" fontId="40" fillId="0" borderId="30" xfId="0" applyFont="1" applyBorder="1" applyAlignment="1">
      <alignment horizontal="center"/>
    </xf>
    <xf numFmtId="0" fontId="8" fillId="0" borderId="30" xfId="0" applyFont="1" applyBorder="1"/>
    <xf numFmtId="0" fontId="83" fillId="0" borderId="0" xfId="0" applyFont="1" applyAlignment="1">
      <alignment horizontal="center"/>
    </xf>
    <xf numFmtId="0" fontId="4" fillId="0" borderId="83" xfId="0" applyFont="1" applyBorder="1" applyAlignment="1">
      <alignment horizontal="center"/>
    </xf>
    <xf numFmtId="0" fontId="4" fillId="0" borderId="84" xfId="0" applyFont="1" applyBorder="1" applyAlignment="1">
      <alignment horizontal="center"/>
    </xf>
    <xf numFmtId="0" fontId="22" fillId="0" borderId="0" xfId="0" applyFont="1" applyAlignment="1">
      <alignment horizontal="center" vertical="center"/>
    </xf>
    <xf numFmtId="0" fontId="88" fillId="0" borderId="0" xfId="0" applyFont="1" applyAlignment="1">
      <alignment horizontal="center" vertical="center" textRotation="90"/>
    </xf>
    <xf numFmtId="0" fontId="90" fillId="0" borderId="0" xfId="0" applyFont="1" applyAlignment="1">
      <alignment horizontal="center" vertical="center" textRotation="90"/>
    </xf>
    <xf numFmtId="0" fontId="40" fillId="0" borderId="10" xfId="0" applyFont="1" applyBorder="1" applyAlignment="1">
      <alignment textRotation="90"/>
    </xf>
    <xf numFmtId="0" fontId="8" fillId="0" borderId="10" xfId="0" applyFont="1" applyBorder="1"/>
    <xf numFmtId="0" fontId="4" fillId="0" borderId="9" xfId="0" applyFont="1" applyBorder="1" applyAlignment="1">
      <alignment horizontal="center" vertical="center"/>
    </xf>
    <xf numFmtId="0" fontId="8" fillId="0" borderId="9" xfId="0" applyFont="1" applyBorder="1"/>
    <xf numFmtId="0" fontId="4" fillId="0" borderId="9" xfId="0" applyFont="1" applyBorder="1" applyAlignment="1">
      <alignment horizontal="center" vertical="center" wrapText="1"/>
    </xf>
    <xf numFmtId="0" fontId="168" fillId="0" borderId="0" xfId="0" applyFont="1" applyAlignment="1">
      <alignment horizontal="right" vertical="center" textRotation="90" wrapText="1"/>
    </xf>
    <xf numFmtId="0" fontId="57" fillId="0" borderId="33" xfId="0" applyFont="1" applyBorder="1" applyAlignment="1">
      <alignment horizontal="center"/>
    </xf>
    <xf numFmtId="0" fontId="8" fillId="0" borderId="33" xfId="0" applyFont="1" applyBorder="1"/>
    <xf numFmtId="0" fontId="59" fillId="0" borderId="0" xfId="0" applyFont="1" applyAlignment="1">
      <alignment horizontal="center"/>
    </xf>
    <xf numFmtId="0" fontId="0" fillId="0" borderId="0" xfId="0"/>
    <xf numFmtId="0" fontId="55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 wrapText="1"/>
    </xf>
    <xf numFmtId="0" fontId="1" fillId="0" borderId="0" xfId="0" applyFont="1"/>
    <xf numFmtId="0" fontId="197" fillId="0" borderId="0" xfId="0" applyFont="1"/>
    <xf numFmtId="0" fontId="0" fillId="0" borderId="73" xfId="0" applyBorder="1"/>
    <xf numFmtId="0" fontId="0" fillId="0" borderId="76" xfId="0" applyBorder="1"/>
    <xf numFmtId="0" fontId="199" fillId="0" borderId="0" xfId="0" applyFont="1" applyAlignment="1">
      <alignment horizontal="left"/>
    </xf>
    <xf numFmtId="212" fontId="200" fillId="0" borderId="0" xfId="0" applyNumberFormat="1" applyFont="1" applyAlignment="1">
      <alignment vertical="center"/>
    </xf>
    <xf numFmtId="37" fontId="201" fillId="0" borderId="0" xfId="0" applyNumberFormat="1" applyFont="1" applyAlignment="1">
      <alignment vertical="center"/>
    </xf>
    <xf numFmtId="174" fontId="202" fillId="0" borderId="0" xfId="0" applyNumberFormat="1" applyFont="1" applyAlignment="1">
      <alignment horizontal="right"/>
    </xf>
    <xf numFmtId="174" fontId="175" fillId="0" borderId="57" xfId="0" applyNumberFormat="1" applyFont="1" applyBorder="1"/>
    <xf numFmtId="174" fontId="175" fillId="0" borderId="71" xfId="0" applyNumberFormat="1" applyFont="1" applyBorder="1"/>
    <xf numFmtId="0" fontId="203" fillId="0" borderId="0" xfId="0" applyFont="1"/>
    <xf numFmtId="174" fontId="202" fillId="0" borderId="0" xfId="0" applyNumberFormat="1" applyFont="1"/>
    <xf numFmtId="0" fontId="203" fillId="0" borderId="1" xfId="0" applyFont="1" applyBorder="1"/>
    <xf numFmtId="0" fontId="203" fillId="0" borderId="74" xfId="0" applyFont="1" applyBorder="1"/>
    <xf numFmtId="0" fontId="204" fillId="39" borderId="59" xfId="0" applyFont="1" applyFill="1" applyBorder="1" applyAlignment="1">
      <alignment horizontal="left"/>
    </xf>
    <xf numFmtId="0" fontId="205" fillId="39" borderId="59" xfId="0" applyFont="1" applyFill="1" applyBorder="1"/>
    <xf numFmtId="0" fontId="200" fillId="39" borderId="59" xfId="0" applyFont="1" applyFill="1" applyBorder="1" applyAlignment="1">
      <alignment horizontal="center"/>
    </xf>
    <xf numFmtId="0" fontId="206" fillId="39" borderId="59" xfId="0" applyFont="1" applyFill="1" applyBorder="1"/>
    <xf numFmtId="211" fontId="207" fillId="39" borderId="59" xfId="0" applyNumberFormat="1" applyFont="1" applyFill="1" applyBorder="1"/>
    <xf numFmtId="201" fontId="205" fillId="39" borderId="59" xfId="0" applyNumberFormat="1" applyFont="1" applyFill="1" applyBorder="1"/>
    <xf numFmtId="37" fontId="203" fillId="39" borderId="75" xfId="0" applyNumberFormat="1" applyFont="1" applyFill="1" applyBorder="1" applyAlignment="1">
      <alignment vertical="center"/>
    </xf>
    <xf numFmtId="37" fontId="203" fillId="39" borderId="59" xfId="0" applyNumberFormat="1" applyFont="1" applyFill="1" applyBorder="1" applyAlignment="1">
      <alignment vertical="center"/>
    </xf>
    <xf numFmtId="0" fontId="205" fillId="0" borderId="0" xfId="0" applyFont="1" applyAlignment="1">
      <alignment horizontal="left"/>
    </xf>
    <xf numFmtId="0" fontId="205" fillId="0" borderId="0" xfId="0" applyFont="1"/>
    <xf numFmtId="0" fontId="206" fillId="0" borderId="0" xfId="0" applyFont="1"/>
    <xf numFmtId="201" fontId="205" fillId="0" borderId="1" xfId="0" applyNumberFormat="1" applyFont="1" applyBorder="1"/>
    <xf numFmtId="201" fontId="205" fillId="0" borderId="74" xfId="0" applyNumberFormat="1" applyFont="1" applyBorder="1"/>
    <xf numFmtId="176" fontId="205" fillId="0" borderId="0" xfId="0" applyNumberFormat="1" applyFont="1"/>
    <xf numFmtId="176" fontId="205" fillId="0" borderId="74" xfId="0" applyNumberFormat="1" applyFont="1" applyBorder="1"/>
    <xf numFmtId="176" fontId="205" fillId="0" borderId="1" xfId="0" applyNumberFormat="1" applyFont="1" applyBorder="1"/>
    <xf numFmtId="176" fontId="206" fillId="0" borderId="74" xfId="0" applyNumberFormat="1" applyFont="1" applyBorder="1"/>
    <xf numFmtId="176" fontId="206" fillId="0" borderId="1" xfId="0" applyNumberFormat="1" applyFont="1" applyBorder="1"/>
    <xf numFmtId="175" fontId="207" fillId="0" borderId="1" xfId="0" applyNumberFormat="1" applyFont="1" applyBorder="1"/>
    <xf numFmtId="175" fontId="207" fillId="0" borderId="74" xfId="0" applyNumberFormat="1" applyFont="1" applyBorder="1"/>
    <xf numFmtId="175" fontId="205" fillId="0" borderId="74" xfId="0" applyNumberFormat="1" applyFont="1" applyBorder="1"/>
    <xf numFmtId="175" fontId="205" fillId="0" borderId="1" xfId="0" applyNumberFormat="1" applyFont="1" applyBorder="1"/>
    <xf numFmtId="176" fontId="205" fillId="0" borderId="14" xfId="0" applyNumberFormat="1" applyFont="1" applyBorder="1"/>
    <xf numFmtId="176" fontId="205" fillId="0" borderId="97" xfId="0" applyNumberFormat="1" applyFont="1" applyBorder="1"/>
    <xf numFmtId="0" fontId="205" fillId="0" borderId="0" xfId="0" applyFont="1" applyAlignment="1">
      <alignment horizontal="left" indent="1"/>
    </xf>
    <xf numFmtId="0" fontId="204" fillId="0" borderId="59" xfId="0" applyFont="1" applyBorder="1" applyAlignment="1">
      <alignment horizontal="left"/>
    </xf>
    <xf numFmtId="0" fontId="204" fillId="0" borderId="75" xfId="0" applyFont="1" applyBorder="1" applyAlignment="1">
      <alignment horizontal="left"/>
    </xf>
    <xf numFmtId="175" fontId="205" fillId="0" borderId="13" xfId="0" applyNumberFormat="1" applyFont="1" applyBorder="1"/>
    <xf numFmtId="175" fontId="205" fillId="0" borderId="97" xfId="0" applyNumberFormat="1" applyFont="1" applyBorder="1"/>
    <xf numFmtId="176" fontId="207" fillId="0" borderId="18" xfId="0" applyNumberFormat="1" applyFont="1" applyBorder="1"/>
    <xf numFmtId="176" fontId="207" fillId="0" borderId="19" xfId="0" applyNumberFormat="1" applyFont="1" applyBorder="1"/>
    <xf numFmtId="176" fontId="207" fillId="0" borderId="98" xfId="0" applyNumberFormat="1" applyFont="1" applyBorder="1"/>
    <xf numFmtId="0" fontId="203" fillId="0" borderId="59" xfId="0" applyFont="1" applyBorder="1"/>
    <xf numFmtId="0" fontId="175" fillId="39" borderId="59" xfId="0" applyFont="1" applyFill="1" applyBorder="1"/>
    <xf numFmtId="0" fontId="203" fillId="39" borderId="59" xfId="0" applyFont="1" applyFill="1" applyBorder="1"/>
    <xf numFmtId="0" fontId="203" fillId="39" borderId="75" xfId="0" applyFont="1" applyFill="1" applyBorder="1"/>
    <xf numFmtId="0" fontId="206" fillId="0" borderId="74" xfId="0" applyFont="1" applyBorder="1"/>
    <xf numFmtId="0" fontId="208" fillId="0" borderId="74" xfId="0" applyFont="1" applyBorder="1"/>
    <xf numFmtId="0" fontId="202" fillId="0" borderId="0" xfId="0" applyFont="1"/>
    <xf numFmtId="201" fontId="206" fillId="0" borderId="1" xfId="0" applyNumberFormat="1" applyFont="1" applyBorder="1"/>
    <xf numFmtId="0" fontId="202" fillId="0" borderId="59" xfId="0" applyFont="1" applyBorder="1"/>
    <xf numFmtId="0" fontId="206" fillId="0" borderId="59" xfId="0" applyFont="1" applyBorder="1"/>
    <xf numFmtId="0" fontId="206" fillId="0" borderId="75" xfId="0" applyFont="1" applyBorder="1"/>
    <xf numFmtId="0" fontId="204" fillId="0" borderId="0" xfId="0" applyFont="1" applyAlignment="1">
      <alignment horizontal="left"/>
    </xf>
    <xf numFmtId="0" fontId="208" fillId="0" borderId="0" xfId="0" applyFont="1"/>
    <xf numFmtId="226" fontId="206" fillId="0" borderId="1" xfId="2" applyNumberFormat="1" applyFont="1" applyBorder="1"/>
    <xf numFmtId="0" fontId="175" fillId="0" borderId="0" xfId="0" applyFont="1"/>
    <xf numFmtId="0" fontId="209" fillId="0" borderId="0" xfId="0" applyFont="1"/>
    <xf numFmtId="193" fontId="209" fillId="0" borderId="1" xfId="0" applyNumberFormat="1" applyFont="1" applyBorder="1"/>
    <xf numFmtId="0" fontId="203" fillId="0" borderId="72" xfId="0" applyFont="1" applyBorder="1"/>
    <xf numFmtId="0" fontId="203" fillId="0" borderId="66" xfId="0" applyFont="1" applyBorder="1"/>
    <xf numFmtId="0" fontId="175" fillId="0" borderId="75" xfId="0" applyFont="1" applyBorder="1"/>
    <xf numFmtId="0" fontId="203" fillId="0" borderId="74" xfId="0" applyFont="1" applyBorder="1" applyAlignment="1">
      <alignment horizontal="left" indent="1"/>
    </xf>
    <xf numFmtId="165" fontId="203" fillId="0" borderId="74" xfId="2" applyFont="1" applyBorder="1"/>
    <xf numFmtId="165" fontId="208" fillId="0" borderId="74" xfId="2" applyFont="1" applyBorder="1"/>
    <xf numFmtId="168" fontId="203" fillId="0" borderId="74" xfId="1" applyNumberFormat="1" applyFont="1" applyBorder="1"/>
    <xf numFmtId="168" fontId="208" fillId="0" borderId="74" xfId="1" applyNumberFormat="1" applyFont="1" applyBorder="1"/>
    <xf numFmtId="0" fontId="203" fillId="0" borderId="75" xfId="0" applyFont="1" applyBorder="1"/>
    <xf numFmtId="49" fontId="206" fillId="0" borderId="1" xfId="0" applyNumberFormat="1" applyFont="1" applyBorder="1" applyAlignment="1">
      <alignment horizontal="left"/>
    </xf>
    <xf numFmtId="37" fontId="201" fillId="0" borderId="1" xfId="0" applyNumberFormat="1" applyFont="1" applyBorder="1" applyAlignment="1">
      <alignment vertical="center"/>
    </xf>
    <xf numFmtId="174" fontId="202" fillId="0" borderId="1" xfId="0" applyNumberFormat="1" applyFont="1" applyBorder="1" applyAlignment="1">
      <alignment horizontal="right"/>
    </xf>
    <xf numFmtId="175" fontId="207" fillId="0" borderId="54" xfId="0" applyNumberFormat="1" applyFont="1" applyBorder="1"/>
    <xf numFmtId="175" fontId="207" fillId="0" borderId="55" xfId="0" applyNumberFormat="1" applyFont="1" applyBorder="1"/>
    <xf numFmtId="175" fontId="207" fillId="0" borderId="100" xfId="0" applyNumberFormat="1" applyFont="1" applyBorder="1"/>
    <xf numFmtId="175" fontId="205" fillId="0" borderId="100" xfId="0" applyNumberFormat="1" applyFont="1" applyBorder="1"/>
    <xf numFmtId="206" fontId="206" fillId="0" borderId="1" xfId="0" applyNumberFormat="1" applyFont="1" applyBorder="1" applyAlignment="1">
      <alignment horizontal="left"/>
    </xf>
    <xf numFmtId="174" fontId="202" fillId="0" borderId="74" xfId="0" applyNumberFormat="1" applyFont="1" applyBorder="1" applyAlignment="1">
      <alignment horizontal="right"/>
    </xf>
    <xf numFmtId="213" fontId="202" fillId="0" borderId="74" xfId="0" applyNumberFormat="1" applyFont="1" applyBorder="1" applyAlignment="1">
      <alignment horizontal="right"/>
    </xf>
    <xf numFmtId="213" fontId="202" fillId="0" borderId="1" xfId="0" applyNumberFormat="1" applyFont="1" applyBorder="1" applyAlignment="1">
      <alignment horizontal="right"/>
    </xf>
    <xf numFmtId="49" fontId="202" fillId="0" borderId="0" xfId="0" applyNumberFormat="1" applyFont="1" applyAlignment="1">
      <alignment horizontal="left"/>
    </xf>
    <xf numFmtId="37" fontId="203" fillId="0" borderId="0" xfId="0" applyNumberFormat="1" applyFont="1" applyAlignment="1">
      <alignment vertical="center"/>
    </xf>
    <xf numFmtId="0" fontId="202" fillId="0" borderId="1" xfId="0" applyFont="1" applyBorder="1" applyAlignment="1">
      <alignment horizontal="right"/>
    </xf>
    <xf numFmtId="0" fontId="202" fillId="0" borderId="74" xfId="0" applyFont="1" applyBorder="1" applyAlignment="1">
      <alignment horizontal="centerContinuous"/>
    </xf>
    <xf numFmtId="213" fontId="202" fillId="0" borderId="1" xfId="0" applyNumberFormat="1" applyFont="1" applyBorder="1" applyAlignment="1">
      <alignment horizontal="centerContinuous"/>
    </xf>
    <xf numFmtId="37" fontId="203" fillId="0" borderId="1" xfId="0" applyNumberFormat="1" applyFont="1" applyBorder="1" applyAlignment="1">
      <alignment horizontal="centerContinuous" vertical="center"/>
    </xf>
    <xf numFmtId="0" fontId="206" fillId="0" borderId="13" xfId="0" applyFont="1" applyBorder="1" applyAlignment="1">
      <alignment horizontal="left"/>
    </xf>
    <xf numFmtId="0" fontId="206" fillId="0" borderId="14" xfId="0" applyFont="1" applyBorder="1" applyAlignment="1">
      <alignment horizontal="left"/>
    </xf>
    <xf numFmtId="37" fontId="203" fillId="0" borderId="14" xfId="0" applyNumberFormat="1" applyFont="1" applyBorder="1" applyAlignment="1">
      <alignment vertical="center"/>
    </xf>
    <xf numFmtId="174" fontId="202" fillId="0" borderId="1" xfId="0" applyNumberFormat="1" applyFont="1" applyBorder="1" applyAlignment="1">
      <alignment horizontal="left"/>
    </xf>
    <xf numFmtId="214" fontId="202" fillId="0" borderId="74" xfId="0" applyNumberFormat="1" applyFont="1" applyBorder="1" applyAlignment="1">
      <alignment horizontal="right"/>
    </xf>
    <xf numFmtId="214" fontId="202" fillId="0" borderId="1" xfId="0" applyNumberFormat="1" applyFont="1" applyBorder="1" applyAlignment="1">
      <alignment horizontal="right"/>
    </xf>
    <xf numFmtId="0" fontId="205" fillId="0" borderId="18" xfId="0" applyFont="1" applyBorder="1" applyAlignment="1">
      <alignment horizontal="left"/>
    </xf>
    <xf numFmtId="0" fontId="205" fillId="0" borderId="19" xfId="0" applyFont="1" applyBorder="1" applyAlignment="1">
      <alignment horizontal="left"/>
    </xf>
    <xf numFmtId="37" fontId="205" fillId="0" borderId="19" xfId="0" applyNumberFormat="1" applyFont="1" applyBorder="1" applyAlignment="1">
      <alignment vertical="center"/>
    </xf>
    <xf numFmtId="210" fontId="205" fillId="0" borderId="100" xfId="0" applyNumberFormat="1" applyFont="1" applyBorder="1" applyAlignment="1">
      <alignment horizontal="right"/>
    </xf>
    <xf numFmtId="210" fontId="205" fillId="0" borderId="55" xfId="0" applyNumberFormat="1" applyFont="1" applyBorder="1" applyAlignment="1">
      <alignment horizontal="right"/>
    </xf>
    <xf numFmtId="210" fontId="205" fillId="0" borderId="56" xfId="0" applyNumberFormat="1" applyFont="1" applyBorder="1" applyAlignment="1">
      <alignment horizontal="right"/>
    </xf>
    <xf numFmtId="0" fontId="206" fillId="0" borderId="1" xfId="0" applyFont="1" applyBorder="1" applyAlignment="1">
      <alignment horizontal="left"/>
    </xf>
    <xf numFmtId="200" fontId="211" fillId="0" borderId="1" xfId="1" applyNumberFormat="1" applyFont="1" applyBorder="1" applyAlignment="1">
      <alignment horizontal="right"/>
    </xf>
    <xf numFmtId="210" fontId="205" fillId="0" borderId="74" xfId="0" applyNumberFormat="1" applyFont="1" applyBorder="1" applyAlignment="1">
      <alignment horizontal="right"/>
    </xf>
    <xf numFmtId="210" fontId="205" fillId="0" borderId="1" xfId="0" applyNumberFormat="1" applyFont="1" applyBorder="1" applyAlignment="1">
      <alignment horizontal="right"/>
    </xf>
    <xf numFmtId="212" fontId="200" fillId="0" borderId="19" xfId="0" applyNumberFormat="1" applyFont="1" applyBorder="1" applyAlignment="1">
      <alignment vertical="center"/>
    </xf>
    <xf numFmtId="37" fontId="201" fillId="0" borderId="19" xfId="0" applyNumberFormat="1" applyFont="1" applyBorder="1" applyAlignment="1">
      <alignment vertical="center"/>
    </xf>
    <xf numFmtId="174" fontId="202" fillId="0" borderId="19" xfId="0" applyNumberFormat="1" applyFont="1" applyBorder="1" applyAlignment="1">
      <alignment horizontal="right"/>
    </xf>
    <xf numFmtId="174" fontId="202" fillId="0" borderId="98" xfId="0" applyNumberFormat="1" applyFont="1" applyBorder="1" applyAlignment="1">
      <alignment horizontal="right"/>
    </xf>
    <xf numFmtId="213" fontId="202" fillId="0" borderId="98" xfId="0" applyNumberFormat="1" applyFont="1" applyBorder="1" applyAlignment="1">
      <alignment horizontal="right"/>
    </xf>
    <xf numFmtId="213" fontId="202" fillId="0" borderId="19" xfId="0" applyNumberFormat="1" applyFont="1" applyBorder="1" applyAlignment="1">
      <alignment horizontal="right"/>
    </xf>
    <xf numFmtId="212" fontId="200" fillId="0" borderId="1" xfId="0" applyNumberFormat="1" applyFont="1" applyBorder="1" applyAlignment="1">
      <alignment vertical="center"/>
    </xf>
    <xf numFmtId="214" fontId="202" fillId="0" borderId="98" xfId="0" applyNumberFormat="1" applyFont="1" applyBorder="1" applyAlignment="1">
      <alignment horizontal="right"/>
    </xf>
    <xf numFmtId="214" fontId="202" fillId="0" borderId="19" xfId="0" applyNumberFormat="1" applyFont="1" applyBorder="1" applyAlignment="1">
      <alignment horizontal="right"/>
    </xf>
    <xf numFmtId="210" fontId="205" fillId="0" borderId="98" xfId="0" applyNumberFormat="1" applyFont="1" applyBorder="1" applyAlignment="1">
      <alignment horizontal="right"/>
    </xf>
    <xf numFmtId="210" fontId="205" fillId="0" borderId="19" xfId="0" applyNumberFormat="1" applyFont="1" applyBorder="1" applyAlignment="1">
      <alignment horizontal="right"/>
    </xf>
    <xf numFmtId="210" fontId="205" fillId="0" borderId="20" xfId="0" applyNumberFormat="1" applyFont="1" applyBorder="1" applyAlignment="1">
      <alignment horizontal="right"/>
    </xf>
    <xf numFmtId="37" fontId="203" fillId="0" borderId="1" xfId="0" applyNumberFormat="1" applyFont="1" applyBorder="1" applyAlignment="1">
      <alignment vertical="center"/>
    </xf>
    <xf numFmtId="200" fontId="207" fillId="0" borderId="1" xfId="1" applyNumberFormat="1" applyFont="1" applyBorder="1" applyAlignment="1">
      <alignment horizontal="right"/>
    </xf>
    <xf numFmtId="0" fontId="202" fillId="0" borderId="1" xfId="0" applyFont="1" applyBorder="1" applyAlignment="1">
      <alignment horizontal="left"/>
    </xf>
    <xf numFmtId="215" fontId="202" fillId="0" borderId="74" xfId="0" applyNumberFormat="1" applyFont="1" applyBorder="1" applyAlignment="1">
      <alignment horizontal="right"/>
    </xf>
    <xf numFmtId="215" fontId="202" fillId="0" borderId="1" xfId="0" applyNumberFormat="1" applyFont="1" applyBorder="1" applyAlignment="1">
      <alignment horizontal="right"/>
    </xf>
    <xf numFmtId="213" fontId="202" fillId="0" borderId="13" xfId="0" applyNumberFormat="1" applyFont="1" applyBorder="1" applyAlignment="1">
      <alignment horizontal="left"/>
    </xf>
    <xf numFmtId="202" fontId="205" fillId="0" borderId="14" xfId="0" applyNumberFormat="1" applyFont="1" applyBorder="1" applyAlignment="1">
      <alignment horizontal="left"/>
    </xf>
    <xf numFmtId="176" fontId="205" fillId="0" borderId="97" xfId="0" applyNumberFormat="1" applyFont="1" applyBorder="1" applyAlignment="1">
      <alignment horizontal="right"/>
    </xf>
    <xf numFmtId="176" fontId="205" fillId="0" borderId="14" xfId="0" applyNumberFormat="1" applyFont="1" applyBorder="1" applyAlignment="1">
      <alignment horizontal="right"/>
    </xf>
    <xf numFmtId="176" fontId="205" fillId="0" borderId="15" xfId="0" applyNumberFormat="1" applyFont="1" applyBorder="1" applyAlignment="1">
      <alignment horizontal="right"/>
    </xf>
    <xf numFmtId="213" fontId="202" fillId="0" borderId="16" xfId="0" applyNumberFormat="1" applyFont="1" applyBorder="1" applyAlignment="1">
      <alignment horizontal="left"/>
    </xf>
    <xf numFmtId="202" fontId="205" fillId="0" borderId="1" xfId="0" applyNumberFormat="1" applyFont="1" applyBorder="1" applyAlignment="1">
      <alignment horizontal="left"/>
    </xf>
    <xf numFmtId="176" fontId="205" fillId="0" borderId="74" xfId="0" applyNumberFormat="1" applyFont="1" applyBorder="1" applyAlignment="1">
      <alignment horizontal="right"/>
    </xf>
    <xf numFmtId="176" fontId="205" fillId="0" borderId="1" xfId="0" applyNumberFormat="1" applyFont="1" applyBorder="1" applyAlignment="1">
      <alignment horizontal="right"/>
    </xf>
    <xf numFmtId="176" fontId="205" fillId="0" borderId="17" xfId="0" applyNumberFormat="1" applyFont="1" applyBorder="1" applyAlignment="1">
      <alignment horizontal="right"/>
    </xf>
    <xf numFmtId="213" fontId="202" fillId="0" borderId="18" xfId="0" applyNumberFormat="1" applyFont="1" applyBorder="1" applyAlignment="1">
      <alignment horizontal="left"/>
    </xf>
    <xf numFmtId="202" fontId="205" fillId="0" borderId="19" xfId="0" applyNumberFormat="1" applyFont="1" applyBorder="1" applyAlignment="1">
      <alignment horizontal="left"/>
    </xf>
    <xf numFmtId="176" fontId="205" fillId="0" borderId="98" xfId="0" applyNumberFormat="1" applyFont="1" applyBorder="1" applyAlignment="1">
      <alignment horizontal="right"/>
    </xf>
    <xf numFmtId="176" fontId="205" fillId="0" borderId="19" xfId="0" applyNumberFormat="1" applyFont="1" applyBorder="1" applyAlignment="1">
      <alignment horizontal="right"/>
    </xf>
    <xf numFmtId="176" fontId="205" fillId="0" borderId="20" xfId="0" applyNumberFormat="1" applyFont="1" applyBorder="1" applyAlignment="1">
      <alignment horizontal="right"/>
    </xf>
    <xf numFmtId="0" fontId="202" fillId="0" borderId="74" xfId="0" applyFont="1" applyBorder="1" applyAlignment="1">
      <alignment horizontal="left"/>
    </xf>
    <xf numFmtId="201" fontId="205" fillId="0" borderId="14" xfId="0" applyNumberFormat="1" applyFont="1" applyBorder="1" applyAlignment="1">
      <alignment horizontal="left"/>
    </xf>
    <xf numFmtId="175" fontId="205" fillId="0" borderId="97" xfId="0" applyNumberFormat="1" applyFont="1" applyBorder="1" applyAlignment="1">
      <alignment horizontal="right"/>
    </xf>
    <xf numFmtId="175" fontId="205" fillId="0" borderId="14" xfId="0" applyNumberFormat="1" applyFont="1" applyBorder="1" applyAlignment="1">
      <alignment horizontal="right"/>
    </xf>
    <xf numFmtId="175" fontId="205" fillId="0" borderId="15" xfId="0" applyNumberFormat="1" applyFont="1" applyBorder="1" applyAlignment="1">
      <alignment horizontal="right"/>
    </xf>
    <xf numFmtId="201" fontId="205" fillId="0" borderId="1" xfId="0" applyNumberFormat="1" applyFont="1" applyBorder="1" applyAlignment="1">
      <alignment horizontal="left"/>
    </xf>
    <xf numFmtId="175" fontId="205" fillId="0" borderId="74" xfId="0" applyNumberFormat="1" applyFont="1" applyBorder="1" applyAlignment="1">
      <alignment horizontal="right"/>
    </xf>
    <xf numFmtId="175" fontId="205" fillId="0" borderId="1" xfId="0" applyNumberFormat="1" applyFont="1" applyBorder="1" applyAlignment="1">
      <alignment horizontal="right"/>
    </xf>
    <xf numFmtId="175" fontId="205" fillId="0" borderId="17" xfId="0" applyNumberFormat="1" applyFont="1" applyBorder="1" applyAlignment="1">
      <alignment horizontal="right"/>
    </xf>
    <xf numFmtId="201" fontId="205" fillId="0" borderId="19" xfId="0" applyNumberFormat="1" applyFont="1" applyBorder="1" applyAlignment="1">
      <alignment horizontal="left"/>
    </xf>
    <xf numFmtId="175" fontId="205" fillId="0" borderId="98" xfId="0" applyNumberFormat="1" applyFont="1" applyBorder="1" applyAlignment="1">
      <alignment horizontal="right"/>
    </xf>
    <xf numFmtId="175" fontId="205" fillId="0" borderId="19" xfId="0" applyNumberFormat="1" applyFont="1" applyBorder="1" applyAlignment="1">
      <alignment horizontal="right"/>
    </xf>
    <xf numFmtId="175" fontId="205" fillId="0" borderId="20" xfId="0" applyNumberFormat="1" applyFont="1" applyBorder="1" applyAlignment="1">
      <alignment horizontal="right"/>
    </xf>
    <xf numFmtId="0" fontId="206" fillId="0" borderId="0" xfId="0" applyFont="1" applyAlignment="1">
      <alignment horizontal="left" indent="1"/>
    </xf>
    <xf numFmtId="201" fontId="205" fillId="0" borderId="0" xfId="0" applyNumberFormat="1" applyFont="1"/>
    <xf numFmtId="175" fontId="205" fillId="0" borderId="99" xfId="0" applyNumberFormat="1" applyFont="1" applyBorder="1" applyAlignment="1">
      <alignment vertical="center"/>
    </xf>
    <xf numFmtId="175" fontId="205" fillId="0" borderId="61" xfId="0" applyNumberFormat="1" applyFont="1" applyBorder="1" applyAlignment="1">
      <alignment vertical="center"/>
    </xf>
    <xf numFmtId="0" fontId="202" fillId="39" borderId="59" xfId="0" applyFont="1" applyFill="1" applyBorder="1" applyAlignment="1">
      <alignment horizontal="left" indent="1"/>
    </xf>
    <xf numFmtId="0" fontId="205" fillId="0" borderId="13" xfId="0" applyFont="1" applyBorder="1" applyAlignment="1">
      <alignment horizontal="left"/>
    </xf>
    <xf numFmtId="0" fontId="205" fillId="0" borderId="14" xfId="0" applyFont="1" applyBorder="1" applyAlignment="1">
      <alignment horizontal="left"/>
    </xf>
    <xf numFmtId="37" fontId="205" fillId="0" borderId="14" xfId="0" applyNumberFormat="1" applyFont="1" applyBorder="1" applyAlignment="1">
      <alignment vertical="center"/>
    </xf>
    <xf numFmtId="0" fontId="206" fillId="0" borderId="18" xfId="0" applyFont="1" applyBorder="1" applyAlignment="1">
      <alignment horizontal="left"/>
    </xf>
    <xf numFmtId="0" fontId="206" fillId="0" borderId="19" xfId="0" applyFont="1" applyBorder="1" applyAlignment="1">
      <alignment horizontal="left"/>
    </xf>
    <xf numFmtId="37" fontId="203" fillId="0" borderId="74" xfId="0" applyNumberFormat="1" applyFont="1" applyBorder="1" applyAlignment="1">
      <alignment vertical="center"/>
    </xf>
    <xf numFmtId="0" fontId="205" fillId="0" borderId="1" xfId="0" applyFont="1" applyBorder="1" applyAlignment="1">
      <alignment horizontal="left"/>
    </xf>
    <xf numFmtId="37" fontId="205" fillId="0" borderId="1" xfId="0" applyNumberFormat="1" applyFont="1" applyBorder="1" applyAlignment="1">
      <alignment vertical="center"/>
    </xf>
    <xf numFmtId="176" fontId="207" fillId="0" borderId="1" xfId="0" applyNumberFormat="1" applyFont="1" applyBorder="1" applyAlignment="1">
      <alignment horizontal="right"/>
    </xf>
    <xf numFmtId="216" fontId="205" fillId="0" borderId="74" xfId="0" applyNumberFormat="1" applyFont="1" applyBorder="1" applyAlignment="1">
      <alignment horizontal="left"/>
    </xf>
    <xf numFmtId="216" fontId="205" fillId="0" borderId="1" xfId="0" applyNumberFormat="1" applyFont="1" applyBorder="1" applyAlignment="1">
      <alignment horizontal="left"/>
    </xf>
    <xf numFmtId="175" fontId="205" fillId="0" borderId="0" xfId="0" applyNumberFormat="1" applyFont="1"/>
    <xf numFmtId="175" fontId="205" fillId="0" borderId="98" xfId="0" applyNumberFormat="1" applyFont="1" applyBorder="1"/>
    <xf numFmtId="175" fontId="205" fillId="0" borderId="19" xfId="0" applyNumberFormat="1" applyFont="1" applyBorder="1"/>
    <xf numFmtId="221" fontId="203" fillId="0" borderId="0" xfId="0" applyNumberFormat="1" applyFont="1"/>
    <xf numFmtId="222" fontId="203" fillId="0" borderId="74" xfId="0" applyNumberFormat="1" applyFont="1" applyBorder="1"/>
    <xf numFmtId="222" fontId="203" fillId="0" borderId="0" xfId="0" applyNumberFormat="1" applyFont="1"/>
    <xf numFmtId="221" fontId="203" fillId="0" borderId="0" xfId="0" applyNumberFormat="1" applyFont="1" applyAlignment="1">
      <alignment horizontal="left"/>
    </xf>
    <xf numFmtId="222" fontId="212" fillId="0" borderId="74" xfId="0" applyNumberFormat="1" applyFont="1" applyBorder="1"/>
    <xf numFmtId="222" fontId="212" fillId="0" borderId="0" xfId="0" applyNumberFormat="1" applyFont="1"/>
    <xf numFmtId="221" fontId="203" fillId="0" borderId="23" xfId="0" applyNumberFormat="1" applyFont="1" applyFill="1" applyBorder="1" applyAlignment="1">
      <alignment horizontal="left"/>
    </xf>
    <xf numFmtId="222" fontId="203" fillId="0" borderId="101" xfId="0" applyNumberFormat="1" applyFont="1" applyFill="1" applyBorder="1"/>
    <xf numFmtId="222" fontId="203" fillId="0" borderId="23" xfId="0" applyNumberFormat="1" applyFont="1" applyFill="1" applyBorder="1"/>
    <xf numFmtId="221" fontId="212" fillId="0" borderId="0" xfId="0" applyNumberFormat="1" applyFont="1" applyAlignment="1">
      <alignment horizontal="left"/>
    </xf>
    <xf numFmtId="9" fontId="212" fillId="0" borderId="0" xfId="0" applyNumberFormat="1" applyFont="1"/>
    <xf numFmtId="175" fontId="202" fillId="0" borderId="74" xfId="0" applyNumberFormat="1" applyFont="1" applyBorder="1" applyAlignment="1">
      <alignment horizontal="right"/>
    </xf>
    <xf numFmtId="175" fontId="202" fillId="0" borderId="1" xfId="0" applyNumberFormat="1" applyFont="1" applyBorder="1" applyAlignment="1">
      <alignment horizontal="right"/>
    </xf>
    <xf numFmtId="0" fontId="202" fillId="40" borderId="59" xfId="0" applyFont="1" applyFill="1" applyBorder="1" applyAlignment="1">
      <alignment horizontal="left" indent="1"/>
    </xf>
    <xf numFmtId="0" fontId="203" fillId="40" borderId="59" xfId="0" applyFont="1" applyFill="1" applyBorder="1"/>
    <xf numFmtId="0" fontId="203" fillId="40" borderId="75" xfId="0" applyFont="1" applyFill="1" applyBorder="1"/>
    <xf numFmtId="175" fontId="205" fillId="0" borderId="14" xfId="0" applyNumberFormat="1" applyFont="1" applyBorder="1"/>
    <xf numFmtId="175" fontId="205" fillId="0" borderId="15" xfId="0" applyNumberFormat="1" applyFont="1" applyBorder="1"/>
    <xf numFmtId="217" fontId="205" fillId="0" borderId="98" xfId="0" applyNumberFormat="1" applyFont="1" applyBorder="1"/>
    <xf numFmtId="217" fontId="205" fillId="0" borderId="19" xfId="0" applyNumberFormat="1" applyFont="1" applyBorder="1"/>
    <xf numFmtId="217" fontId="205" fillId="0" borderId="20" xfId="0" applyNumberFormat="1" applyFont="1" applyBorder="1"/>
    <xf numFmtId="37" fontId="213" fillId="0" borderId="14" xfId="0" applyNumberFormat="1" applyFont="1" applyBorder="1" applyAlignment="1">
      <alignment vertical="center"/>
    </xf>
    <xf numFmtId="168" fontId="211" fillId="0" borderId="1" xfId="1" applyNumberFormat="1" applyFont="1" applyBorder="1"/>
    <xf numFmtId="0" fontId="202" fillId="0" borderId="0" xfId="0" applyFont="1" applyAlignment="1">
      <alignment horizontal="left"/>
    </xf>
    <xf numFmtId="49" fontId="206" fillId="0" borderId="0" xfId="0" applyNumberFormat="1" applyFont="1" applyAlignment="1">
      <alignment horizontal="left" indent="1"/>
    </xf>
    <xf numFmtId="0" fontId="202" fillId="0" borderId="0" xfId="0" applyFont="1" applyAlignment="1">
      <alignment horizontal="left" indent="1"/>
    </xf>
    <xf numFmtId="221" fontId="175" fillId="0" borderId="23" xfId="0" applyNumberFormat="1" applyFont="1" applyBorder="1" applyAlignment="1">
      <alignment horizontal="left"/>
    </xf>
    <xf numFmtId="222" fontId="175" fillId="0" borderId="101" xfId="0" applyNumberFormat="1" applyFont="1" applyBorder="1"/>
    <xf numFmtId="222" fontId="175" fillId="0" borderId="23" xfId="0" applyNumberFormat="1" applyFont="1" applyBorder="1"/>
    <xf numFmtId="9" fontId="212" fillId="0" borderId="74" xfId="0" applyNumberFormat="1" applyFont="1" applyBorder="1"/>
    <xf numFmtId="221" fontId="203" fillId="41" borderId="52" xfId="0" applyNumberFormat="1" applyFont="1" applyFill="1" applyBorder="1" applyAlignment="1">
      <alignment horizontal="left"/>
    </xf>
    <xf numFmtId="0" fontId="202" fillId="40" borderId="0" xfId="0" applyFont="1" applyFill="1" applyAlignment="1">
      <alignment horizontal="left"/>
    </xf>
    <xf numFmtId="37" fontId="201" fillId="40" borderId="0" xfId="0" applyNumberFormat="1" applyFont="1" applyFill="1" applyAlignment="1">
      <alignment vertical="center"/>
    </xf>
    <xf numFmtId="174" fontId="202" fillId="40" borderId="74" xfId="0" applyNumberFormat="1" applyFont="1" applyFill="1" applyBorder="1" applyAlignment="1">
      <alignment horizontal="right"/>
    </xf>
    <xf numFmtId="9" fontId="203" fillId="41" borderId="102" xfId="0" applyNumberFormat="1" applyFont="1" applyFill="1" applyBorder="1"/>
    <xf numFmtId="0" fontId="206" fillId="40" borderId="0" xfId="0" applyFont="1" applyFill="1" applyAlignment="1">
      <alignment horizontal="left" indent="1"/>
    </xf>
    <xf numFmtId="222" fontId="203" fillId="41" borderId="4" xfId="0" applyNumberFormat="1" applyFont="1" applyFill="1" applyBorder="1"/>
    <xf numFmtId="222" fontId="203" fillId="5" borderId="4" xfId="0" applyNumberFormat="1" applyFont="1" applyFill="1" applyBorder="1"/>
    <xf numFmtId="165" fontId="202" fillId="0" borderId="1" xfId="2" applyFont="1" applyBorder="1" applyAlignment="1">
      <alignment horizontal="right"/>
    </xf>
    <xf numFmtId="212" fontId="215" fillId="0" borderId="0" xfId="0" applyNumberFormat="1" applyFont="1" applyAlignment="1">
      <alignment vertical="center"/>
    </xf>
    <xf numFmtId="9" fontId="216" fillId="0" borderId="0" xfId="1" applyFont="1" applyAlignment="1">
      <alignment vertical="center"/>
    </xf>
    <xf numFmtId="174" fontId="203" fillId="0" borderId="0" xfId="0" applyNumberFormat="1" applyFont="1"/>
    <xf numFmtId="0" fontId="200" fillId="0" borderId="1" xfId="0" applyFont="1" applyBorder="1" applyAlignment="1">
      <alignment horizontal="center"/>
    </xf>
    <xf numFmtId="0" fontId="206" fillId="0" borderId="1" xfId="0" applyFont="1" applyBorder="1"/>
    <xf numFmtId="200" fontId="206" fillId="0" borderId="14" xfId="1" applyNumberFormat="1" applyFont="1" applyFill="1" applyBorder="1" applyAlignment="1">
      <alignment horizontal="right"/>
    </xf>
    <xf numFmtId="175" fontId="206" fillId="0" borderId="19" xfId="0" applyNumberFormat="1" applyFont="1" applyBorder="1" applyAlignment="1">
      <alignment horizontal="right"/>
    </xf>
    <xf numFmtId="0" fontId="200" fillId="0" borderId="1" xfId="0" applyFont="1" applyBorder="1" applyAlignment="1">
      <alignment horizontal="right" vertical="center"/>
    </xf>
    <xf numFmtId="200" fontId="206" fillId="0" borderId="14" xfId="1" applyNumberFormat="1" applyFont="1" applyBorder="1" applyAlignment="1">
      <alignment horizontal="right"/>
    </xf>
    <xf numFmtId="210" fontId="206" fillId="0" borderId="19" xfId="0" applyNumberFormat="1" applyFont="1" applyBorder="1" applyAlignment="1">
      <alignment horizontal="right"/>
    </xf>
    <xf numFmtId="210" fontId="206" fillId="0" borderId="14" xfId="0" applyNumberFormat="1" applyFont="1" applyBorder="1" applyAlignment="1">
      <alignment horizontal="right"/>
    </xf>
    <xf numFmtId="176" fontId="206" fillId="0" borderId="19" xfId="1" applyNumberFormat="1" applyFont="1" applyFill="1" applyBorder="1"/>
    <xf numFmtId="221" fontId="203" fillId="0" borderId="1" xfId="0" applyNumberFormat="1" applyFont="1" applyBorder="1"/>
    <xf numFmtId="221" fontId="203" fillId="0" borderId="1" xfId="0" applyNumberFormat="1" applyFont="1" applyBorder="1" applyAlignment="1">
      <alignment horizontal="left"/>
    </xf>
    <xf numFmtId="9" fontId="212" fillId="0" borderId="1" xfId="0" applyNumberFormat="1" applyFont="1" applyBorder="1"/>
    <xf numFmtId="168" fontId="205" fillId="0" borderId="14" xfId="1" applyNumberFormat="1" applyFont="1" applyFill="1" applyBorder="1" applyAlignment="1"/>
    <xf numFmtId="174" fontId="202" fillId="40" borderId="1" xfId="0" applyNumberFormat="1" applyFont="1" applyFill="1" applyBorder="1" applyAlignment="1">
      <alignment horizontal="right"/>
    </xf>
    <xf numFmtId="0" fontId="206" fillId="0" borderId="72" xfId="0" applyFont="1" applyBorder="1"/>
    <xf numFmtId="174" fontId="203" fillId="0" borderId="74" xfId="0" applyNumberFormat="1" applyFont="1" applyBorder="1"/>
    <xf numFmtId="165" fontId="202" fillId="0" borderId="74" xfId="2" applyFont="1" applyBorder="1" applyAlignment="1">
      <alignment horizontal="right"/>
    </xf>
    <xf numFmtId="201" fontId="205" fillId="0" borderId="74" xfId="0" applyNumberFormat="1" applyFont="1" applyFill="1" applyBorder="1"/>
    <xf numFmtId="176" fontId="205" fillId="0" borderId="74" xfId="0" applyNumberFormat="1" applyFont="1" applyFill="1" applyBorder="1"/>
    <xf numFmtId="175" fontId="207" fillId="0" borderId="74" xfId="0" applyNumberFormat="1" applyFont="1" applyFill="1" applyBorder="1"/>
    <xf numFmtId="176" fontId="205" fillId="0" borderId="97" xfId="0" applyNumberFormat="1" applyFont="1" applyFill="1" applyBorder="1"/>
    <xf numFmtId="0" fontId="203" fillId="0" borderId="74" xfId="0" applyFont="1" applyFill="1" applyBorder="1"/>
    <xf numFmtId="0" fontId="204" fillId="0" borderId="75" xfId="0" applyFont="1" applyFill="1" applyBorder="1" applyAlignment="1">
      <alignment horizontal="left"/>
    </xf>
    <xf numFmtId="175" fontId="205" fillId="0" borderId="97" xfId="0" applyNumberFormat="1" applyFont="1" applyFill="1" applyBorder="1"/>
    <xf numFmtId="176" fontId="207" fillId="0" borderId="98" xfId="0" applyNumberFormat="1" applyFont="1" applyFill="1" applyBorder="1"/>
    <xf numFmtId="0" fontId="203" fillId="0" borderId="0" xfId="0" applyFont="1" applyFill="1"/>
    <xf numFmtId="0" fontId="203" fillId="0" borderId="59" xfId="0" applyFont="1" applyFill="1" applyBorder="1"/>
    <xf numFmtId="0" fontId="203" fillId="0" borderId="1" xfId="0" applyFont="1" applyFill="1" applyBorder="1"/>
    <xf numFmtId="0" fontId="203" fillId="0" borderId="75" xfId="0" applyFont="1" applyFill="1" applyBorder="1"/>
    <xf numFmtId="174" fontId="175" fillId="0" borderId="71" xfId="0" applyNumberFormat="1" applyFont="1" applyFill="1" applyBorder="1"/>
    <xf numFmtId="0" fontId="206" fillId="0" borderId="74" xfId="0" applyFont="1" applyFill="1" applyBorder="1"/>
    <xf numFmtId="0" fontId="208" fillId="0" borderId="74" xfId="0" applyFont="1" applyFill="1" applyBorder="1"/>
    <xf numFmtId="0" fontId="206" fillId="0" borderId="78" xfId="0" applyFont="1" applyFill="1" applyBorder="1"/>
    <xf numFmtId="0" fontId="206" fillId="0" borderId="79" xfId="0" applyFont="1" applyFill="1" applyBorder="1"/>
    <xf numFmtId="0" fontId="208" fillId="0" borderId="78" xfId="0" applyFont="1" applyFill="1" applyBorder="1"/>
    <xf numFmtId="0" fontId="209" fillId="0" borderId="78" xfId="0" applyFont="1" applyFill="1" applyBorder="1"/>
    <xf numFmtId="0" fontId="203" fillId="0" borderId="78" xfId="0" applyFont="1" applyFill="1" applyBorder="1"/>
    <xf numFmtId="0" fontId="203" fillId="0" borderId="79" xfId="0" applyFont="1" applyFill="1" applyBorder="1"/>
    <xf numFmtId="0" fontId="203" fillId="0" borderId="72" xfId="0" applyFont="1" applyFill="1" applyBorder="1"/>
    <xf numFmtId="165" fontId="203" fillId="0" borderId="74" xfId="2" applyFont="1" applyFill="1" applyBorder="1"/>
    <xf numFmtId="168" fontId="203" fillId="0" borderId="74" xfId="1" applyNumberFormat="1" applyFont="1" applyFill="1" applyBorder="1"/>
    <xf numFmtId="174" fontId="203" fillId="0" borderId="0" xfId="0" applyNumberFormat="1" applyFont="1" applyFill="1"/>
    <xf numFmtId="175" fontId="207" fillId="0" borderId="100" xfId="0" applyNumberFormat="1" applyFont="1" applyFill="1" applyBorder="1"/>
    <xf numFmtId="174" fontId="202" fillId="0" borderId="74" xfId="0" applyNumberFormat="1" applyFont="1" applyFill="1" applyBorder="1" applyAlignment="1">
      <alignment horizontal="right"/>
    </xf>
    <xf numFmtId="201" fontId="207" fillId="0" borderId="74" xfId="0" applyNumberFormat="1" applyFont="1" applyFill="1" applyBorder="1"/>
    <xf numFmtId="174" fontId="202" fillId="0" borderId="98" xfId="0" applyNumberFormat="1" applyFont="1" applyFill="1" applyBorder="1" applyAlignment="1">
      <alignment horizontal="right"/>
    </xf>
    <xf numFmtId="213" fontId="206" fillId="0" borderId="97" xfId="0" applyNumberFormat="1" applyFont="1" applyFill="1" applyBorder="1" applyAlignment="1">
      <alignment horizontal="left"/>
    </xf>
    <xf numFmtId="213" fontId="206" fillId="0" borderId="74" xfId="0" applyNumberFormat="1" applyFont="1" applyFill="1" applyBorder="1" applyAlignment="1">
      <alignment horizontal="left"/>
    </xf>
    <xf numFmtId="213" fontId="206" fillId="0" borderId="98" xfId="0" applyNumberFormat="1" applyFont="1" applyFill="1" applyBorder="1" applyAlignment="1">
      <alignment horizontal="left"/>
    </xf>
    <xf numFmtId="0" fontId="202" fillId="0" borderId="74" xfId="0" applyFont="1" applyFill="1" applyBorder="1" applyAlignment="1">
      <alignment horizontal="left"/>
    </xf>
    <xf numFmtId="201" fontId="205" fillId="0" borderId="97" xfId="0" applyNumberFormat="1" applyFont="1" applyFill="1" applyBorder="1" applyAlignment="1">
      <alignment horizontal="left"/>
    </xf>
    <xf numFmtId="201" fontId="205" fillId="0" borderId="74" xfId="0" applyNumberFormat="1" applyFont="1" applyFill="1" applyBorder="1" applyAlignment="1">
      <alignment horizontal="left"/>
    </xf>
    <xf numFmtId="201" fontId="205" fillId="0" borderId="98" xfId="0" applyNumberFormat="1" applyFont="1" applyFill="1" applyBorder="1" applyAlignment="1">
      <alignment horizontal="left"/>
    </xf>
    <xf numFmtId="165" fontId="202" fillId="0" borderId="1" xfId="2" applyFont="1" applyFill="1" applyBorder="1" applyAlignment="1">
      <alignment horizontal="right"/>
    </xf>
    <xf numFmtId="175" fontId="205" fillId="0" borderId="0" xfId="0" applyNumberFormat="1" applyFont="1" applyFill="1"/>
    <xf numFmtId="175" fontId="205" fillId="0" borderId="19" xfId="0" applyNumberFormat="1" applyFont="1" applyFill="1" applyBorder="1"/>
    <xf numFmtId="175" fontId="205" fillId="0" borderId="1" xfId="0" applyNumberFormat="1" applyFont="1" applyFill="1" applyBorder="1"/>
    <xf numFmtId="222" fontId="203" fillId="0" borderId="0" xfId="0" applyNumberFormat="1" applyFont="1" applyFill="1"/>
    <xf numFmtId="222" fontId="212" fillId="0" borderId="0" xfId="0" applyNumberFormat="1" applyFont="1" applyFill="1"/>
    <xf numFmtId="175" fontId="202" fillId="0" borderId="1" xfId="0" applyNumberFormat="1" applyFont="1" applyFill="1" applyBorder="1" applyAlignment="1">
      <alignment horizontal="right"/>
    </xf>
    <xf numFmtId="175" fontId="205" fillId="0" borderId="74" xfId="0" applyNumberFormat="1" applyFont="1" applyFill="1" applyBorder="1"/>
    <xf numFmtId="175" fontId="202" fillId="0" borderId="74" xfId="0" applyNumberFormat="1" applyFont="1" applyFill="1" applyBorder="1" applyAlignment="1">
      <alignment horizontal="right"/>
    </xf>
    <xf numFmtId="175" fontId="202" fillId="0" borderId="98" xfId="0" applyNumberFormat="1" applyFont="1" applyFill="1" applyBorder="1" applyAlignment="1">
      <alignment horizontal="right"/>
    </xf>
    <xf numFmtId="222" fontId="175" fillId="0" borderId="23" xfId="0" applyNumberFormat="1" applyFont="1" applyFill="1" applyBorder="1"/>
    <xf numFmtId="0" fontId="202" fillId="0" borderId="1" xfId="0" applyFont="1" applyFill="1" applyBorder="1" applyAlignment="1">
      <alignment horizontal="left"/>
    </xf>
    <xf numFmtId="0" fontId="201" fillId="4" borderId="1" xfId="0" applyFont="1" applyFill="1" applyBorder="1"/>
    <xf numFmtId="37" fontId="217" fillId="0" borderId="0" xfId="0" applyNumberFormat="1" applyFont="1" applyAlignment="1">
      <alignment vertical="top"/>
    </xf>
    <xf numFmtId="0" fontId="175" fillId="0" borderId="2" xfId="0" applyFont="1" applyBorder="1" applyAlignment="1">
      <alignment horizontal="center" vertical="top"/>
    </xf>
    <xf numFmtId="0" fontId="203" fillId="0" borderId="3" xfId="0" applyFont="1" applyBorder="1"/>
    <xf numFmtId="0" fontId="175" fillId="0" borderId="1" xfId="0" applyFont="1" applyFill="1" applyBorder="1"/>
    <xf numFmtId="0" fontId="175" fillId="0" borderId="1" xfId="0" applyFont="1" applyBorder="1" applyAlignment="1">
      <alignment horizontal="center"/>
    </xf>
    <xf numFmtId="0" fontId="206" fillId="0" borderId="2" xfId="0" applyFont="1" applyBorder="1"/>
    <xf numFmtId="0" fontId="175" fillId="0" borderId="2" xfId="0" applyFont="1" applyBorder="1" applyAlignment="1">
      <alignment horizontal="center"/>
    </xf>
    <xf numFmtId="166" fontId="203" fillId="0" borderId="0" xfId="0" applyNumberFormat="1" applyFont="1"/>
    <xf numFmtId="167" fontId="208" fillId="0" borderId="0" xfId="0" applyNumberFormat="1" applyFont="1"/>
    <xf numFmtId="164" fontId="203" fillId="0" borderId="0" xfId="0" applyNumberFormat="1" applyFont="1"/>
    <xf numFmtId="0" fontId="175" fillId="0" borderId="0" xfId="0" applyFont="1" applyAlignment="1">
      <alignment horizontal="center"/>
    </xf>
    <xf numFmtId="0" fontId="175" fillId="0" borderId="2" xfId="0" applyFont="1" applyBorder="1" applyAlignment="1">
      <alignment horizontal="center"/>
    </xf>
    <xf numFmtId="164" fontId="175" fillId="0" borderId="0" xfId="0" applyNumberFormat="1" applyFont="1" applyAlignment="1">
      <alignment horizontal="right"/>
    </xf>
    <xf numFmtId="164" fontId="203" fillId="0" borderId="0" xfId="0" applyNumberFormat="1" applyFont="1" applyAlignment="1">
      <alignment horizontal="right"/>
    </xf>
    <xf numFmtId="166" fontId="203" fillId="0" borderId="0" xfId="0" applyNumberFormat="1" applyFont="1" applyAlignment="1">
      <alignment horizontal="right"/>
    </xf>
    <xf numFmtId="164" fontId="203" fillId="0" borderId="3" xfId="0" applyNumberFormat="1" applyFont="1" applyBorder="1" applyAlignment="1">
      <alignment horizontal="right"/>
    </xf>
    <xf numFmtId="0" fontId="175" fillId="0" borderId="4" xfId="0" applyFont="1" applyBorder="1"/>
    <xf numFmtId="164" fontId="175" fillId="0" borderId="4" xfId="0" applyNumberFormat="1" applyFont="1" applyBorder="1" applyAlignment="1">
      <alignment horizontal="right"/>
    </xf>
    <xf numFmtId="0" fontId="12" fillId="42" borderId="1" xfId="0" applyFont="1" applyFill="1" applyBorder="1"/>
    <xf numFmtId="0" fontId="38" fillId="0" borderId="0" xfId="0" applyFont="1" applyAlignment="1">
      <alignment horizontal="left"/>
    </xf>
    <xf numFmtId="0" fontId="38" fillId="43" borderId="1" xfId="0" applyFont="1" applyFill="1" applyBorder="1" applyAlignment="1">
      <alignment horizontal="left"/>
    </xf>
    <xf numFmtId="0" fontId="164" fillId="0" borderId="103" xfId="0" applyFont="1" applyBorder="1"/>
    <xf numFmtId="0" fontId="164" fillId="0" borderId="104" xfId="0" applyFont="1" applyBorder="1"/>
    <xf numFmtId="0" fontId="168" fillId="36" borderId="0" xfId="0" applyFont="1" applyFill="1" applyAlignment="1">
      <alignment horizontal="right"/>
    </xf>
    <xf numFmtId="0" fontId="164" fillId="0" borderId="66" xfId="0" applyFont="1" applyBorder="1"/>
    <xf numFmtId="168" fontId="168" fillId="0" borderId="66" xfId="1" applyNumberFormat="1" applyFont="1" applyBorder="1" applyAlignment="1">
      <alignment horizontal="right"/>
    </xf>
    <xf numFmtId="0" fontId="218" fillId="0" borderId="0" xfId="0" applyFont="1"/>
    <xf numFmtId="168" fontId="164" fillId="33" borderId="68" xfId="1" applyNumberFormat="1" applyFont="1" applyFill="1" applyBorder="1" applyAlignment="1">
      <alignment horizontal="right"/>
    </xf>
    <xf numFmtId="168" fontId="164" fillId="0" borderId="0" xfId="1" applyNumberFormat="1" applyFont="1" applyAlignment="1">
      <alignment horizontal="right"/>
    </xf>
    <xf numFmtId="0" fontId="164" fillId="0" borderId="0" xfId="0" applyFont="1" applyAlignment="1">
      <alignment horizontal="right"/>
    </xf>
    <xf numFmtId="226" fontId="168" fillId="0" borderId="66" xfId="2" applyNumberFormat="1" applyFont="1" applyBorder="1" applyAlignment="1">
      <alignment horizontal="right"/>
    </xf>
    <xf numFmtId="226" fontId="164" fillId="33" borderId="68" xfId="2" applyNumberFormat="1" applyFont="1" applyFill="1" applyBorder="1" applyAlignment="1">
      <alignment horizontal="right"/>
    </xf>
    <xf numFmtId="226" fontId="164" fillId="0" borderId="0" xfId="2" applyNumberFormat="1" applyFont="1" applyAlignment="1">
      <alignment horizontal="right"/>
    </xf>
    <xf numFmtId="37" fontId="4" fillId="0" borderId="1" xfId="0" applyNumberFormat="1" applyFont="1" applyBorder="1" applyAlignment="1">
      <alignment horizontal="center" vertical="top"/>
    </xf>
    <xf numFmtId="168" fontId="14" fillId="0" borderId="1" xfId="0" applyNumberFormat="1" applyFont="1" applyBorder="1"/>
    <xf numFmtId="171" fontId="10" fillId="0" borderId="1" xfId="0" applyNumberFormat="1" applyFont="1" applyBorder="1"/>
    <xf numFmtId="245" fontId="219" fillId="0" borderId="0" xfId="2" applyNumberFormat="1" applyFont="1" applyAlignment="1">
      <alignment horizontal="right"/>
    </xf>
    <xf numFmtId="0" fontId="168" fillId="36" borderId="59" xfId="0" applyFont="1" applyFill="1" applyBorder="1" applyAlignment="1">
      <alignment horizontal="centerContinuous"/>
    </xf>
    <xf numFmtId="0" fontId="168" fillId="0" borderId="57" xfId="0" applyFont="1" applyBorder="1"/>
    <xf numFmtId="0" fontId="170" fillId="0" borderId="0" xfId="0" applyFont="1"/>
    <xf numFmtId="0" fontId="220" fillId="44" borderId="0" xfId="0" applyFont="1" applyFill="1"/>
    <xf numFmtId="0" fontId="167" fillId="44" borderId="0" xfId="0" applyFont="1" applyFill="1"/>
    <xf numFmtId="245" fontId="219" fillId="0" borderId="0" xfId="2" applyNumberFormat="1" applyFont="1"/>
    <xf numFmtId="166" fontId="219" fillId="0" borderId="0" xfId="2" applyNumberFormat="1" applyFont="1"/>
    <xf numFmtId="245" fontId="219" fillId="0" borderId="0" xfId="0" applyNumberFormat="1" applyFont="1"/>
    <xf numFmtId="0" fontId="218" fillId="0" borderId="0" xfId="0" quotePrefix="1" applyFont="1" applyAlignment="1">
      <alignment horizontal="left" indent="2"/>
    </xf>
    <xf numFmtId="165" fontId="221" fillId="0" borderId="0" xfId="2" applyFont="1"/>
    <xf numFmtId="165" fontId="221" fillId="45" borderId="0" xfId="2" applyFont="1" applyFill="1" applyAlignment="1">
      <alignment horizontal="right"/>
    </xf>
    <xf numFmtId="245" fontId="219" fillId="0" borderId="0" xfId="0" applyNumberFormat="1" applyFont="1" applyAlignment="1">
      <alignment horizontal="right"/>
    </xf>
    <xf numFmtId="168" fontId="221" fillId="0" borderId="0" xfId="1" applyNumberFormat="1" applyFont="1"/>
    <xf numFmtId="168" fontId="221" fillId="45" borderId="0" xfId="1" applyNumberFormat="1" applyFont="1" applyFill="1" applyAlignment="1">
      <alignment horizontal="right"/>
    </xf>
    <xf numFmtId="0" fontId="219" fillId="0" borderId="0" xfId="0" applyFont="1" applyAlignment="1">
      <alignment horizontal="right"/>
    </xf>
    <xf numFmtId="226" fontId="221" fillId="45" borderId="0" xfId="2" applyNumberFormat="1" applyFont="1" applyFill="1" applyAlignment="1">
      <alignment horizontal="right"/>
    </xf>
    <xf numFmtId="0" fontId="168" fillId="0" borderId="66" xfId="0" applyFont="1" applyBorder="1"/>
    <xf numFmtId="166" fontId="170" fillId="0" borderId="66" xfId="0" applyNumberFormat="1" applyFont="1" applyBorder="1"/>
    <xf numFmtId="245" fontId="170" fillId="0" borderId="66" xfId="2" applyNumberFormat="1" applyFont="1" applyBorder="1"/>
    <xf numFmtId="245" fontId="170" fillId="0" borderId="66" xfId="2" applyNumberFormat="1" applyFont="1" applyBorder="1" applyAlignment="1">
      <alignment horizontal="right"/>
    </xf>
    <xf numFmtId="0" fontId="164" fillId="0" borderId="59" xfId="0" applyFont="1" applyBorder="1"/>
    <xf numFmtId="0" fontId="218" fillId="0" borderId="59" xfId="0" applyFont="1" applyBorder="1"/>
    <xf numFmtId="168" fontId="219" fillId="0" borderId="59" xfId="1" applyNumberFormat="1" applyFont="1" applyBorder="1"/>
    <xf numFmtId="168" fontId="221" fillId="0" borderId="59" xfId="1" applyNumberFormat="1" applyFont="1" applyBorder="1"/>
    <xf numFmtId="168" fontId="221" fillId="0" borderId="59" xfId="1" applyNumberFormat="1" applyFont="1" applyBorder="1" applyAlignment="1">
      <alignment horizontal="right"/>
    </xf>
    <xf numFmtId="245" fontId="219" fillId="0" borderId="1" xfId="3" applyNumberFormat="1" applyFont="1"/>
    <xf numFmtId="168" fontId="221" fillId="0" borderId="0" xfId="1" applyNumberFormat="1" applyFont="1" applyAlignment="1">
      <alignment horizontal="right"/>
    </xf>
    <xf numFmtId="245" fontId="219" fillId="0" borderId="66" xfId="2" applyNumberFormat="1" applyFont="1" applyBorder="1" applyAlignment="1">
      <alignment horizontal="right"/>
    </xf>
    <xf numFmtId="0" fontId="164" fillId="0" borderId="0" xfId="0" quotePrefix="1" applyFont="1"/>
    <xf numFmtId="245" fontId="164" fillId="0" borderId="0" xfId="0" applyNumberFormat="1" applyFont="1"/>
    <xf numFmtId="245" fontId="168" fillId="0" borderId="57" xfId="0" applyNumberFormat="1" applyFont="1" applyBorder="1"/>
    <xf numFmtId="245" fontId="170" fillId="0" borderId="57" xfId="0" applyNumberFormat="1" applyFont="1" applyBorder="1" applyAlignment="1">
      <alignment horizontal="right"/>
    </xf>
    <xf numFmtId="166" fontId="219" fillId="0" borderId="0" xfId="0" applyNumberFormat="1" applyFont="1" applyAlignment="1">
      <alignment horizontal="right"/>
    </xf>
    <xf numFmtId="166" fontId="219" fillId="0" borderId="0" xfId="0" applyNumberFormat="1" applyFont="1"/>
    <xf numFmtId="245" fontId="170" fillId="0" borderId="66" xfId="0" applyNumberFormat="1" applyFont="1" applyBorder="1" applyAlignment="1">
      <alignment horizontal="right"/>
    </xf>
    <xf numFmtId="168" fontId="221" fillId="38" borderId="0" xfId="1" applyNumberFormat="1" applyFont="1" applyFill="1"/>
    <xf numFmtId="226" fontId="164" fillId="0" borderId="0" xfId="2" applyNumberFormat="1" applyFont="1"/>
    <xf numFmtId="165" fontId="164" fillId="0" borderId="0" xfId="2" applyFont="1"/>
    <xf numFmtId="0" fontId="166" fillId="35" borderId="59" xfId="0" applyFont="1" applyFill="1" applyBorder="1"/>
    <xf numFmtId="0" fontId="164" fillId="38" borderId="0" xfId="0" applyFont="1" applyFill="1"/>
    <xf numFmtId="0" fontId="164" fillId="45" borderId="105" xfId="0" applyFont="1" applyFill="1" applyBorder="1"/>
    <xf numFmtId="0" fontId="164" fillId="45" borderId="106" xfId="0" applyFont="1" applyFill="1" applyBorder="1"/>
    <xf numFmtId="0" fontId="164" fillId="45" borderId="107" xfId="0" applyFont="1" applyFill="1" applyBorder="1" applyAlignment="1">
      <alignment horizontal="right"/>
    </xf>
    <xf numFmtId="0" fontId="222" fillId="38" borderId="0" xfId="0" applyFont="1" applyFill="1" applyAlignment="1">
      <alignment horizontal="centerContinuous"/>
    </xf>
    <xf numFmtId="0" fontId="223" fillId="38" borderId="66" xfId="0" applyFont="1" applyFill="1" applyBorder="1" applyAlignment="1">
      <alignment horizontal="centerContinuous"/>
    </xf>
    <xf numFmtId="0" fontId="222" fillId="38" borderId="66" xfId="0" applyFont="1" applyFill="1" applyBorder="1" applyAlignment="1">
      <alignment horizontal="centerContinuous"/>
    </xf>
    <xf numFmtId="0" fontId="168" fillId="38" borderId="0" xfId="0" applyFont="1" applyFill="1" applyAlignment="1">
      <alignment horizontal="center"/>
    </xf>
    <xf numFmtId="0" fontId="224" fillId="38" borderId="0" xfId="0" applyFont="1" applyFill="1" applyAlignment="1">
      <alignment horizontal="right"/>
    </xf>
    <xf numFmtId="0" fontId="164" fillId="45" borderId="108" xfId="0" applyFont="1" applyFill="1" applyBorder="1"/>
    <xf numFmtId="0" fontId="164" fillId="38" borderId="0" xfId="0" quotePrefix="1" applyFont="1" applyFill="1" applyAlignment="1">
      <alignment horizontal="left" indent="1"/>
    </xf>
    <xf numFmtId="0" fontId="168" fillId="45" borderId="0" xfId="0" applyFont="1" applyFill="1" applyAlignment="1">
      <alignment horizontal="right"/>
    </xf>
    <xf numFmtId="0" fontId="168" fillId="38" borderId="0" xfId="0" applyFont="1" applyFill="1" applyAlignment="1">
      <alignment horizontal="right"/>
    </xf>
    <xf numFmtId="226" fontId="164" fillId="45" borderId="0" xfId="2" applyNumberFormat="1" applyFont="1" applyFill="1"/>
    <xf numFmtId="226" fontId="164" fillId="38" borderId="0" xfId="2" applyNumberFormat="1" applyFont="1" applyFill="1"/>
    <xf numFmtId="0" fontId="164" fillId="45" borderId="109" xfId="0" applyFont="1" applyFill="1" applyBorder="1"/>
    <xf numFmtId="17" fontId="164" fillId="45" borderId="110" xfId="0" quotePrefix="1" applyNumberFormat="1" applyFont="1" applyFill="1" applyBorder="1" applyAlignment="1">
      <alignment horizontal="right"/>
    </xf>
    <xf numFmtId="0" fontId="168" fillId="38" borderId="0" xfId="0" applyFont="1" applyFill="1" applyAlignment="1">
      <alignment horizontal="left" indent="3"/>
    </xf>
    <xf numFmtId="226" fontId="164" fillId="38" borderId="66" xfId="2" applyNumberFormat="1" applyFont="1" applyFill="1" applyBorder="1"/>
    <xf numFmtId="0" fontId="164" fillId="45" borderId="111" xfId="0" applyFont="1" applyFill="1" applyBorder="1" applyAlignment="1">
      <alignment horizontal="right"/>
    </xf>
    <xf numFmtId="226" fontId="168" fillId="38" borderId="66" xfId="2" applyNumberFormat="1" applyFont="1" applyFill="1" applyBorder="1"/>
    <xf numFmtId="17" fontId="164" fillId="45" borderId="107" xfId="0" quotePrefix="1" applyNumberFormat="1" applyFont="1" applyFill="1" applyBorder="1" applyAlignment="1">
      <alignment horizontal="right"/>
    </xf>
    <xf numFmtId="226" fontId="168" fillId="38" borderId="57" xfId="2" applyNumberFormat="1" applyFont="1" applyFill="1" applyBorder="1"/>
    <xf numFmtId="226" fontId="164" fillId="38" borderId="65" xfId="2" applyNumberFormat="1" applyFont="1" applyFill="1" applyBorder="1"/>
    <xf numFmtId="165" fontId="164" fillId="45" borderId="108" xfId="0" applyNumberFormat="1" applyFont="1" applyFill="1" applyBorder="1"/>
    <xf numFmtId="0" fontId="218" fillId="38" borderId="0" xfId="0" applyFont="1" applyFill="1" applyAlignment="1">
      <alignment horizontal="left" indent="3"/>
    </xf>
    <xf numFmtId="168" fontId="164" fillId="45" borderId="0" xfId="1" applyNumberFormat="1" applyFont="1" applyFill="1"/>
    <xf numFmtId="0" fontId="164" fillId="38" borderId="0" xfId="0" quotePrefix="1" applyFont="1" applyFill="1" applyAlignment="1">
      <alignment horizontal="left"/>
    </xf>
    <xf numFmtId="10" fontId="164" fillId="45" borderId="111" xfId="1" applyNumberFormat="1" applyFont="1" applyFill="1" applyBorder="1"/>
    <xf numFmtId="0" fontId="164" fillId="38" borderId="0" xfId="0" applyFont="1" applyFill="1" applyAlignment="1">
      <alignment horizontal="left"/>
    </xf>
    <xf numFmtId="0" fontId="164" fillId="45" borderId="0" xfId="0" applyFont="1" applyFill="1"/>
    <xf numFmtId="226" fontId="164" fillId="45" borderId="108" xfId="2" applyNumberFormat="1" applyFont="1" applyFill="1" applyBorder="1"/>
    <xf numFmtId="0" fontId="164" fillId="38" borderId="0" xfId="0" applyFont="1" applyFill="1" applyAlignment="1">
      <alignment horizontal="right"/>
    </xf>
    <xf numFmtId="226" fontId="164" fillId="38" borderId="0" xfId="2" applyNumberFormat="1" applyFont="1" applyFill="1" applyAlignment="1">
      <alignment horizontal="centerContinuous"/>
    </xf>
    <xf numFmtId="226" fontId="164" fillId="38" borderId="57" xfId="2" applyNumberFormat="1" applyFont="1" applyFill="1" applyBorder="1"/>
    <xf numFmtId="226" fontId="164" fillId="45" borderId="0" xfId="2" quotePrefix="1" applyNumberFormat="1" applyFont="1" applyFill="1" applyAlignment="1">
      <alignment horizontal="left" indent="1"/>
    </xf>
    <xf numFmtId="226" fontId="168" fillId="45" borderId="0" xfId="2" applyNumberFormat="1" applyFont="1" applyFill="1" applyAlignment="1">
      <alignment horizontal="right"/>
    </xf>
    <xf numFmtId="226" fontId="168" fillId="38" borderId="0" xfId="2" applyNumberFormat="1" applyFont="1" applyFill="1" applyAlignment="1">
      <alignment horizontal="right"/>
    </xf>
    <xf numFmtId="0" fontId="168" fillId="38" borderId="0" xfId="0" applyFont="1" applyFill="1" applyAlignment="1">
      <alignment horizontal="left" indent="2"/>
    </xf>
    <xf numFmtId="0" fontId="218" fillId="38" borderId="0" xfId="0" applyFont="1" applyFill="1" applyAlignment="1">
      <alignment horizontal="left" indent="2"/>
    </xf>
    <xf numFmtId="168" fontId="218" fillId="38" borderId="0" xfId="1" applyNumberFormat="1" applyFont="1" applyFill="1"/>
    <xf numFmtId="0" fontId="168" fillId="38" borderId="0" xfId="0" applyFont="1" applyFill="1" applyAlignment="1">
      <alignment horizontal="center" wrapText="1"/>
    </xf>
    <xf numFmtId="0" fontId="168" fillId="38" borderId="0" xfId="2" applyNumberFormat="1" applyFont="1" applyFill="1" applyAlignment="1">
      <alignment horizontal="center" vertical="center"/>
    </xf>
    <xf numFmtId="165" fontId="164" fillId="38" borderId="0" xfId="2" applyFont="1" applyFill="1"/>
    <xf numFmtId="0" fontId="218" fillId="38" borderId="0" xfId="0" applyFont="1" applyFill="1"/>
    <xf numFmtId="0" fontId="164" fillId="38" borderId="0" xfId="0" applyFont="1" applyFill="1" applyAlignment="1">
      <alignment horizontal="left" indent="2"/>
    </xf>
    <xf numFmtId="226" fontId="164" fillId="38" borderId="0" xfId="0" applyNumberFormat="1" applyFont="1" applyFill="1"/>
    <xf numFmtId="246" fontId="164" fillId="38" borderId="0" xfId="0" applyNumberFormat="1" applyFont="1" applyFill="1"/>
    <xf numFmtId="0" fontId="164" fillId="38" borderId="0" xfId="0" applyFont="1" applyFill="1" applyAlignment="1">
      <alignment horizontal="left" indent="1"/>
    </xf>
    <xf numFmtId="246" fontId="164" fillId="38" borderId="66" xfId="0" applyNumberFormat="1" applyFont="1" applyFill="1" applyBorder="1"/>
    <xf numFmtId="165" fontId="164" fillId="38" borderId="0" xfId="2" applyFont="1" applyFill="1" applyAlignment="1">
      <alignment horizontal="right"/>
    </xf>
    <xf numFmtId="165" fontId="164" fillId="38" borderId="0" xfId="2" applyFont="1" applyFill="1" applyAlignment="1">
      <alignment horizontal="centerContinuous"/>
    </xf>
    <xf numFmtId="226" fontId="168" fillId="38" borderId="0" xfId="2" applyNumberFormat="1" applyFont="1" applyFill="1"/>
    <xf numFmtId="43" fontId="164" fillId="38" borderId="65" xfId="0" applyNumberFormat="1" applyFont="1" applyFill="1" applyBorder="1" applyAlignment="1">
      <alignment horizontal="right"/>
    </xf>
    <xf numFmtId="0" fontId="168" fillId="38" borderId="0" xfId="0" applyFont="1" applyFill="1"/>
    <xf numFmtId="165" fontId="164" fillId="45" borderId="108" xfId="2" applyFont="1" applyFill="1" applyBorder="1"/>
    <xf numFmtId="0" fontId="164" fillId="38" borderId="0" xfId="2" applyNumberFormat="1" applyFont="1" applyFill="1" applyAlignment="1">
      <alignment horizontal="right"/>
    </xf>
    <xf numFmtId="0" fontId="164" fillId="38" borderId="66" xfId="0" applyFont="1" applyFill="1" applyBorder="1" applyAlignment="1">
      <alignment horizontal="left" vertical="top" wrapText="1"/>
    </xf>
    <xf numFmtId="0" fontId="164" fillId="38" borderId="0" xfId="0" applyFont="1" applyFill="1" applyAlignment="1">
      <alignment horizontal="left" vertical="top" wrapText="1"/>
    </xf>
    <xf numFmtId="165" fontId="164" fillId="45" borderId="0" xfId="2" applyFont="1" applyFill="1" applyAlignment="1">
      <alignment horizontal="centerContinuous"/>
    </xf>
    <xf numFmtId="0" fontId="218" fillId="45" borderId="0" xfId="0" applyFont="1" applyFill="1" applyAlignment="1">
      <alignment horizontal="left" indent="2"/>
    </xf>
    <xf numFmtId="168" fontId="218" fillId="45" borderId="0" xfId="1" applyNumberFormat="1" applyFont="1" applyFill="1"/>
    <xf numFmtId="0" fontId="168" fillId="38" borderId="59" xfId="0" applyFont="1" applyFill="1" applyBorder="1"/>
    <xf numFmtId="0" fontId="164" fillId="38" borderId="59" xfId="0" applyFont="1" applyFill="1" applyBorder="1"/>
    <xf numFmtId="166" fontId="164" fillId="38" borderId="0" xfId="2" applyNumberFormat="1" applyFont="1" applyFill="1"/>
    <xf numFmtId="0" fontId="164" fillId="38" borderId="66" xfId="0" applyFont="1" applyFill="1" applyBorder="1"/>
    <xf numFmtId="226" fontId="164" fillId="38" borderId="66" xfId="0" applyNumberFormat="1" applyFont="1" applyFill="1" applyBorder="1"/>
    <xf numFmtId="0" fontId="164" fillId="38" borderId="57" xfId="0" applyFont="1" applyFill="1" applyBorder="1"/>
    <xf numFmtId="226" fontId="164" fillId="38" borderId="57" xfId="0" applyNumberFormat="1" applyFont="1" applyFill="1" applyBorder="1"/>
    <xf numFmtId="0" fontId="168" fillId="0" borderId="0" xfId="0" applyFont="1" applyAlignment="1">
      <alignment horizontal="right"/>
    </xf>
    <xf numFmtId="0" fontId="164" fillId="0" borderId="0" xfId="0" applyFont="1" applyAlignment="1">
      <alignment wrapText="1"/>
    </xf>
    <xf numFmtId="166" fontId="164" fillId="0" borderId="0" xfId="2" applyNumberFormat="1" applyFont="1"/>
    <xf numFmtId="0" fontId="164" fillId="46" borderId="0" xfId="0" applyFont="1" applyFill="1" applyAlignment="1">
      <alignment wrapText="1"/>
    </xf>
    <xf numFmtId="166" fontId="164" fillId="46" borderId="0" xfId="2" applyNumberFormat="1" applyFont="1" applyFill="1"/>
    <xf numFmtId="0" fontId="164" fillId="0" borderId="57" xfId="0" applyFont="1" applyBorder="1"/>
    <xf numFmtId="166" fontId="168" fillId="0" borderId="57" xfId="2" applyNumberFormat="1" applyFont="1" applyBorder="1"/>
    <xf numFmtId="0" fontId="164" fillId="0" borderId="57" xfId="0" applyFont="1" applyBorder="1" applyAlignment="1">
      <alignment wrapText="1"/>
    </xf>
    <xf numFmtId="166" fontId="168" fillId="0" borderId="0" xfId="2" applyNumberFormat="1" applyFont="1"/>
    <xf numFmtId="0" fontId="164" fillId="0" borderId="66" xfId="0" applyFont="1" applyBorder="1" applyAlignment="1">
      <alignment wrapText="1"/>
    </xf>
    <xf numFmtId="166" fontId="164" fillId="0" borderId="66" xfId="2" applyNumberFormat="1" applyFont="1" applyBorder="1"/>
    <xf numFmtId="0" fontId="164" fillId="0" borderId="59" xfId="0" applyFont="1" applyBorder="1" applyAlignment="1">
      <alignment wrapText="1"/>
    </xf>
    <xf numFmtId="166" fontId="164" fillId="0" borderId="59" xfId="2" applyNumberFormat="1" applyFont="1" applyBorder="1"/>
    <xf numFmtId="166" fontId="164" fillId="0" borderId="57" xfId="2" applyNumberFormat="1" applyFont="1" applyBorder="1"/>
    <xf numFmtId="0" fontId="168" fillId="0" borderId="59" xfId="0" applyFont="1" applyBorder="1"/>
  </cellXfs>
  <cellStyles count="21">
    <cellStyle name="Bad 2" xfId="13" xr:uid="{00000000-0005-0000-0000-000000000000}"/>
    <cellStyle name="Calculation 2" xfId="16" xr:uid="{00000000-0005-0000-0000-000001000000}"/>
    <cellStyle name="Check Cell 2" xfId="18" xr:uid="{00000000-0005-0000-0000-000002000000}"/>
    <cellStyle name="Comma" xfId="2" builtinId="3"/>
    <cellStyle name="Comma 2" xfId="3" xr:uid="{00000000-0005-0000-0000-000004000000}"/>
    <cellStyle name="Currency 2" xfId="8" xr:uid="{00000000-0005-0000-0000-000005000000}"/>
    <cellStyle name="Explanatory Text 2" xfId="19" xr:uid="{00000000-0005-0000-0000-000006000000}"/>
    <cellStyle name="Good 2" xfId="12" xr:uid="{00000000-0005-0000-0000-000007000000}"/>
    <cellStyle name="Hyperlink 2" xfId="4" xr:uid="{00000000-0005-0000-0000-000008000000}"/>
    <cellStyle name="Input 2" xfId="15" xr:uid="{00000000-0005-0000-0000-000009000000}"/>
    <cellStyle name="Linked Cell 2" xfId="17" xr:uid="{00000000-0005-0000-0000-00000A000000}"/>
    <cellStyle name="Neutral 2" xfId="14" xr:uid="{00000000-0005-0000-0000-00000B000000}"/>
    <cellStyle name="Normal" xfId="0" builtinId="0"/>
    <cellStyle name="Normal 2" xfId="7" xr:uid="{00000000-0005-0000-0000-00000D000000}"/>
    <cellStyle name="Normal 2 2 2" xfId="5" xr:uid="{00000000-0005-0000-0000-00000E000000}"/>
    <cellStyle name="Normal 3" xfId="9" xr:uid="{00000000-0005-0000-0000-00000F000000}"/>
    <cellStyle name="Normal 4" xfId="10" xr:uid="{00000000-0005-0000-0000-000010000000}"/>
    <cellStyle name="Normal 5" xfId="20" xr:uid="{A8D5D739-4568-4275-82F6-D38AA4997B52}"/>
    <cellStyle name="Normal_Master Junior Database v2" xfId="6" xr:uid="{00000000-0005-0000-0000-000011000000}"/>
    <cellStyle name="Note 2" xfId="11" xr:uid="{00000000-0005-0000-0000-000012000000}"/>
    <cellStyle name="Percent" xfId="1" builtinId="5"/>
  </cellStyles>
  <dxfs count="40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none">
          <bgColor indexed="65"/>
        </patternFill>
      </fill>
    </dxf>
    <dxf>
      <fill>
        <patternFill patternType="solid">
          <fgColor rgb="FFBBFFFF"/>
          <bgColor rgb="FFBBFFFF"/>
        </patternFill>
      </fill>
    </dxf>
    <dxf>
      <fill>
        <patternFill patternType="solid">
          <fgColor rgb="FF000000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none">
          <bgColor indexed="65"/>
        </patternFill>
      </fill>
    </dxf>
    <dxf>
      <font>
        <color rgb="FFFFFFFF"/>
      </font>
      <fill>
        <patternFill patternType="none"/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none">
          <bgColor indexed="65"/>
        </patternFill>
      </fill>
    </dxf>
    <dxf>
      <font>
        <color rgb="FFFFFFFF"/>
      </font>
      <fill>
        <patternFill patternType="none"/>
      </fill>
    </dxf>
    <dxf>
      <font>
        <color rgb="FFFFFFFF"/>
      </font>
      <fill>
        <patternFill patternType="none"/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none">
          <bgColor indexed="65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none"/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none"/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none"/>
      </fill>
    </dxf>
    <dxf>
      <font>
        <color rgb="FF006100"/>
      </font>
      <fill>
        <patternFill patternType="none"/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none">
          <bgColor indexed="65"/>
        </patternFill>
      </fill>
    </dxf>
    <dxf>
      <font>
        <b/>
        <i val="0"/>
        <color theme="0"/>
      </font>
      <fill>
        <patternFill>
          <fgColor auto="1"/>
          <bgColor rgb="FFFA621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customXml" Target="../customXml/item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500" b="1" i="0">
                <a:solidFill>
                  <a:srgbClr val="757575"/>
                </a:solidFill>
                <a:latin typeface="Arial Narrow"/>
              </a:defRPr>
            </a:pPr>
            <a:r>
              <a:rPr lang="en-CA" sz="1500" b="1" i="0">
                <a:solidFill>
                  <a:srgbClr val="757575"/>
                </a:solidFill>
                <a:latin typeface="Arial Narrow"/>
              </a:rPr>
              <a:t>Stock Chart
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mpd="sng"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'Share Price'!$B$1118:$B$1370</c:f>
              <c:numCache>
                <c:formatCode>[$-409]mmm\-dd\-yyyy</c:formatCode>
                <c:ptCount val="253"/>
                <c:pt idx="0">
                  <c:v>43909</c:v>
                </c:pt>
                <c:pt idx="1">
                  <c:v>43910</c:v>
                </c:pt>
                <c:pt idx="2">
                  <c:v>43913</c:v>
                </c:pt>
                <c:pt idx="3">
                  <c:v>43914</c:v>
                </c:pt>
                <c:pt idx="4">
                  <c:v>43915</c:v>
                </c:pt>
                <c:pt idx="5">
                  <c:v>43916</c:v>
                </c:pt>
                <c:pt idx="6">
                  <c:v>43917</c:v>
                </c:pt>
                <c:pt idx="7">
                  <c:v>43920</c:v>
                </c:pt>
                <c:pt idx="8">
                  <c:v>43921</c:v>
                </c:pt>
                <c:pt idx="9">
                  <c:v>43922</c:v>
                </c:pt>
                <c:pt idx="10">
                  <c:v>43923</c:v>
                </c:pt>
                <c:pt idx="11">
                  <c:v>43924</c:v>
                </c:pt>
                <c:pt idx="12">
                  <c:v>43927</c:v>
                </c:pt>
                <c:pt idx="13">
                  <c:v>43928</c:v>
                </c:pt>
                <c:pt idx="14">
                  <c:v>43929</c:v>
                </c:pt>
                <c:pt idx="15">
                  <c:v>43930</c:v>
                </c:pt>
                <c:pt idx="16">
                  <c:v>43934</c:v>
                </c:pt>
                <c:pt idx="17">
                  <c:v>43935</c:v>
                </c:pt>
                <c:pt idx="18">
                  <c:v>43936</c:v>
                </c:pt>
                <c:pt idx="19">
                  <c:v>43937</c:v>
                </c:pt>
                <c:pt idx="20">
                  <c:v>43938</c:v>
                </c:pt>
                <c:pt idx="21">
                  <c:v>43941</c:v>
                </c:pt>
                <c:pt idx="22">
                  <c:v>43942</c:v>
                </c:pt>
                <c:pt idx="23">
                  <c:v>43943</c:v>
                </c:pt>
                <c:pt idx="24">
                  <c:v>43944</c:v>
                </c:pt>
                <c:pt idx="25">
                  <c:v>43945</c:v>
                </c:pt>
                <c:pt idx="26">
                  <c:v>43948</c:v>
                </c:pt>
                <c:pt idx="27">
                  <c:v>43949</c:v>
                </c:pt>
                <c:pt idx="28">
                  <c:v>43950</c:v>
                </c:pt>
                <c:pt idx="29">
                  <c:v>43951</c:v>
                </c:pt>
                <c:pt idx="30">
                  <c:v>43952</c:v>
                </c:pt>
                <c:pt idx="31">
                  <c:v>43955</c:v>
                </c:pt>
                <c:pt idx="32">
                  <c:v>43956</c:v>
                </c:pt>
                <c:pt idx="33">
                  <c:v>43957</c:v>
                </c:pt>
                <c:pt idx="34">
                  <c:v>43958</c:v>
                </c:pt>
                <c:pt idx="35">
                  <c:v>43959</c:v>
                </c:pt>
                <c:pt idx="36">
                  <c:v>43962</c:v>
                </c:pt>
                <c:pt idx="37">
                  <c:v>43963</c:v>
                </c:pt>
                <c:pt idx="38">
                  <c:v>43964</c:v>
                </c:pt>
                <c:pt idx="39">
                  <c:v>43965</c:v>
                </c:pt>
                <c:pt idx="40">
                  <c:v>43966</c:v>
                </c:pt>
                <c:pt idx="41">
                  <c:v>43969</c:v>
                </c:pt>
                <c:pt idx="42">
                  <c:v>43970</c:v>
                </c:pt>
                <c:pt idx="43">
                  <c:v>43971</c:v>
                </c:pt>
                <c:pt idx="44">
                  <c:v>43972</c:v>
                </c:pt>
                <c:pt idx="45">
                  <c:v>43973</c:v>
                </c:pt>
                <c:pt idx="46">
                  <c:v>43977</c:v>
                </c:pt>
                <c:pt idx="47">
                  <c:v>43978</c:v>
                </c:pt>
                <c:pt idx="48">
                  <c:v>43979</c:v>
                </c:pt>
                <c:pt idx="49">
                  <c:v>43980</c:v>
                </c:pt>
                <c:pt idx="50">
                  <c:v>43983</c:v>
                </c:pt>
                <c:pt idx="51">
                  <c:v>43984</c:v>
                </c:pt>
                <c:pt idx="52">
                  <c:v>43985</c:v>
                </c:pt>
                <c:pt idx="53">
                  <c:v>43986</c:v>
                </c:pt>
                <c:pt idx="54">
                  <c:v>43987</c:v>
                </c:pt>
                <c:pt idx="55">
                  <c:v>43990</c:v>
                </c:pt>
                <c:pt idx="56">
                  <c:v>43991</c:v>
                </c:pt>
                <c:pt idx="57">
                  <c:v>43992</c:v>
                </c:pt>
                <c:pt idx="58">
                  <c:v>43993</c:v>
                </c:pt>
                <c:pt idx="59">
                  <c:v>43994</c:v>
                </c:pt>
                <c:pt idx="60">
                  <c:v>43997</c:v>
                </c:pt>
                <c:pt idx="61">
                  <c:v>43998</c:v>
                </c:pt>
                <c:pt idx="62">
                  <c:v>43999</c:v>
                </c:pt>
                <c:pt idx="63">
                  <c:v>44000</c:v>
                </c:pt>
                <c:pt idx="64">
                  <c:v>44001</c:v>
                </c:pt>
                <c:pt idx="65">
                  <c:v>44004</c:v>
                </c:pt>
                <c:pt idx="66">
                  <c:v>44005</c:v>
                </c:pt>
                <c:pt idx="67">
                  <c:v>44006</c:v>
                </c:pt>
                <c:pt idx="68">
                  <c:v>44007</c:v>
                </c:pt>
                <c:pt idx="69">
                  <c:v>44008</c:v>
                </c:pt>
                <c:pt idx="70">
                  <c:v>44011</c:v>
                </c:pt>
                <c:pt idx="71">
                  <c:v>44012</c:v>
                </c:pt>
                <c:pt idx="72">
                  <c:v>44013</c:v>
                </c:pt>
                <c:pt idx="73">
                  <c:v>44014</c:v>
                </c:pt>
                <c:pt idx="74">
                  <c:v>44018</c:v>
                </c:pt>
                <c:pt idx="75">
                  <c:v>44019</c:v>
                </c:pt>
                <c:pt idx="76">
                  <c:v>44020</c:v>
                </c:pt>
                <c:pt idx="77">
                  <c:v>44021</c:v>
                </c:pt>
                <c:pt idx="78">
                  <c:v>44022</c:v>
                </c:pt>
                <c:pt idx="79">
                  <c:v>44025</c:v>
                </c:pt>
                <c:pt idx="80">
                  <c:v>44026</c:v>
                </c:pt>
                <c:pt idx="81">
                  <c:v>44027</c:v>
                </c:pt>
                <c:pt idx="82">
                  <c:v>44028</c:v>
                </c:pt>
                <c:pt idx="83">
                  <c:v>44029</c:v>
                </c:pt>
                <c:pt idx="84">
                  <c:v>44032</c:v>
                </c:pt>
                <c:pt idx="85">
                  <c:v>44033</c:v>
                </c:pt>
                <c:pt idx="86">
                  <c:v>44034</c:v>
                </c:pt>
                <c:pt idx="87">
                  <c:v>44035</c:v>
                </c:pt>
                <c:pt idx="88">
                  <c:v>44036</c:v>
                </c:pt>
                <c:pt idx="89">
                  <c:v>44039</c:v>
                </c:pt>
                <c:pt idx="90">
                  <c:v>44040</c:v>
                </c:pt>
                <c:pt idx="91">
                  <c:v>44041</c:v>
                </c:pt>
                <c:pt idx="92">
                  <c:v>44042</c:v>
                </c:pt>
                <c:pt idx="93">
                  <c:v>44043</c:v>
                </c:pt>
                <c:pt idx="94">
                  <c:v>44046</c:v>
                </c:pt>
                <c:pt idx="95">
                  <c:v>44047</c:v>
                </c:pt>
                <c:pt idx="96">
                  <c:v>44048</c:v>
                </c:pt>
                <c:pt idx="97">
                  <c:v>44049</c:v>
                </c:pt>
                <c:pt idx="98">
                  <c:v>44050</c:v>
                </c:pt>
                <c:pt idx="99">
                  <c:v>44053</c:v>
                </c:pt>
                <c:pt idx="100">
                  <c:v>44054</c:v>
                </c:pt>
                <c:pt idx="101">
                  <c:v>44055</c:v>
                </c:pt>
                <c:pt idx="102">
                  <c:v>44056</c:v>
                </c:pt>
                <c:pt idx="103">
                  <c:v>44057</c:v>
                </c:pt>
                <c:pt idx="104">
                  <c:v>44060</c:v>
                </c:pt>
                <c:pt idx="105">
                  <c:v>44061</c:v>
                </c:pt>
                <c:pt idx="106">
                  <c:v>44062</c:v>
                </c:pt>
                <c:pt idx="107">
                  <c:v>44063</c:v>
                </c:pt>
                <c:pt idx="108">
                  <c:v>44064</c:v>
                </c:pt>
                <c:pt idx="109">
                  <c:v>44067</c:v>
                </c:pt>
                <c:pt idx="110">
                  <c:v>44068</c:v>
                </c:pt>
                <c:pt idx="111">
                  <c:v>44069</c:v>
                </c:pt>
                <c:pt idx="112">
                  <c:v>44070</c:v>
                </c:pt>
                <c:pt idx="113">
                  <c:v>44071</c:v>
                </c:pt>
                <c:pt idx="114">
                  <c:v>44074</c:v>
                </c:pt>
                <c:pt idx="115">
                  <c:v>44075</c:v>
                </c:pt>
                <c:pt idx="116">
                  <c:v>44076</c:v>
                </c:pt>
                <c:pt idx="117">
                  <c:v>44077</c:v>
                </c:pt>
                <c:pt idx="118">
                  <c:v>44078</c:v>
                </c:pt>
                <c:pt idx="119">
                  <c:v>44082</c:v>
                </c:pt>
                <c:pt idx="120">
                  <c:v>44083</c:v>
                </c:pt>
                <c:pt idx="121">
                  <c:v>44084</c:v>
                </c:pt>
                <c:pt idx="122">
                  <c:v>44085</c:v>
                </c:pt>
                <c:pt idx="123">
                  <c:v>44088</c:v>
                </c:pt>
                <c:pt idx="124">
                  <c:v>44089</c:v>
                </c:pt>
                <c:pt idx="125">
                  <c:v>44090</c:v>
                </c:pt>
                <c:pt idx="126">
                  <c:v>44091</c:v>
                </c:pt>
                <c:pt idx="127">
                  <c:v>44092</c:v>
                </c:pt>
                <c:pt idx="128">
                  <c:v>44095</c:v>
                </c:pt>
                <c:pt idx="129">
                  <c:v>44096</c:v>
                </c:pt>
                <c:pt idx="130">
                  <c:v>44097</c:v>
                </c:pt>
                <c:pt idx="131">
                  <c:v>44098</c:v>
                </c:pt>
                <c:pt idx="132">
                  <c:v>44099</c:v>
                </c:pt>
                <c:pt idx="133">
                  <c:v>44102</c:v>
                </c:pt>
                <c:pt idx="134">
                  <c:v>44103</c:v>
                </c:pt>
                <c:pt idx="135">
                  <c:v>44104</c:v>
                </c:pt>
                <c:pt idx="136">
                  <c:v>44105</c:v>
                </c:pt>
                <c:pt idx="137">
                  <c:v>44106</c:v>
                </c:pt>
                <c:pt idx="138">
                  <c:v>44109</c:v>
                </c:pt>
                <c:pt idx="139">
                  <c:v>44110</c:v>
                </c:pt>
                <c:pt idx="140">
                  <c:v>44111</c:v>
                </c:pt>
                <c:pt idx="141">
                  <c:v>44112</c:v>
                </c:pt>
                <c:pt idx="142">
                  <c:v>44113</c:v>
                </c:pt>
                <c:pt idx="143">
                  <c:v>44116</c:v>
                </c:pt>
                <c:pt idx="144">
                  <c:v>44117</c:v>
                </c:pt>
                <c:pt idx="145">
                  <c:v>44118</c:v>
                </c:pt>
                <c:pt idx="146">
                  <c:v>44119</c:v>
                </c:pt>
                <c:pt idx="147">
                  <c:v>44120</c:v>
                </c:pt>
                <c:pt idx="148">
                  <c:v>44123</c:v>
                </c:pt>
                <c:pt idx="149">
                  <c:v>44124</c:v>
                </c:pt>
                <c:pt idx="150">
                  <c:v>44125</c:v>
                </c:pt>
                <c:pt idx="151">
                  <c:v>44126</c:v>
                </c:pt>
                <c:pt idx="152">
                  <c:v>44127</c:v>
                </c:pt>
                <c:pt idx="153">
                  <c:v>44130</c:v>
                </c:pt>
                <c:pt idx="154">
                  <c:v>44131</c:v>
                </c:pt>
                <c:pt idx="155">
                  <c:v>44132</c:v>
                </c:pt>
                <c:pt idx="156">
                  <c:v>44133</c:v>
                </c:pt>
                <c:pt idx="157">
                  <c:v>44134</c:v>
                </c:pt>
                <c:pt idx="158">
                  <c:v>44137</c:v>
                </c:pt>
                <c:pt idx="159">
                  <c:v>44138</c:v>
                </c:pt>
                <c:pt idx="160">
                  <c:v>44139</c:v>
                </c:pt>
                <c:pt idx="161">
                  <c:v>44140</c:v>
                </c:pt>
                <c:pt idx="162">
                  <c:v>44141</c:v>
                </c:pt>
                <c:pt idx="163">
                  <c:v>44144</c:v>
                </c:pt>
                <c:pt idx="164">
                  <c:v>44145</c:v>
                </c:pt>
                <c:pt idx="165">
                  <c:v>44146</c:v>
                </c:pt>
                <c:pt idx="166">
                  <c:v>44147</c:v>
                </c:pt>
                <c:pt idx="167">
                  <c:v>44148</c:v>
                </c:pt>
                <c:pt idx="168">
                  <c:v>44151</c:v>
                </c:pt>
                <c:pt idx="169">
                  <c:v>44152</c:v>
                </c:pt>
                <c:pt idx="170">
                  <c:v>44153</c:v>
                </c:pt>
                <c:pt idx="171">
                  <c:v>44154</c:v>
                </c:pt>
                <c:pt idx="172">
                  <c:v>44155</c:v>
                </c:pt>
                <c:pt idx="173">
                  <c:v>44158</c:v>
                </c:pt>
                <c:pt idx="174">
                  <c:v>44159</c:v>
                </c:pt>
                <c:pt idx="175">
                  <c:v>44160</c:v>
                </c:pt>
                <c:pt idx="176">
                  <c:v>44162</c:v>
                </c:pt>
                <c:pt idx="177">
                  <c:v>44165</c:v>
                </c:pt>
                <c:pt idx="178">
                  <c:v>44166</c:v>
                </c:pt>
                <c:pt idx="179">
                  <c:v>44167</c:v>
                </c:pt>
                <c:pt idx="180">
                  <c:v>44168</c:v>
                </c:pt>
                <c:pt idx="181">
                  <c:v>44169</c:v>
                </c:pt>
                <c:pt idx="182">
                  <c:v>44172</c:v>
                </c:pt>
                <c:pt idx="183">
                  <c:v>44173</c:v>
                </c:pt>
                <c:pt idx="184">
                  <c:v>44174</c:v>
                </c:pt>
                <c:pt idx="185">
                  <c:v>44175</c:v>
                </c:pt>
                <c:pt idx="186">
                  <c:v>44176</c:v>
                </c:pt>
                <c:pt idx="187">
                  <c:v>44179</c:v>
                </c:pt>
                <c:pt idx="188">
                  <c:v>44180</c:v>
                </c:pt>
                <c:pt idx="189">
                  <c:v>44181</c:v>
                </c:pt>
                <c:pt idx="190">
                  <c:v>44182</c:v>
                </c:pt>
                <c:pt idx="191">
                  <c:v>44183</c:v>
                </c:pt>
                <c:pt idx="192">
                  <c:v>44186</c:v>
                </c:pt>
                <c:pt idx="193">
                  <c:v>44187</c:v>
                </c:pt>
                <c:pt idx="194">
                  <c:v>44188</c:v>
                </c:pt>
                <c:pt idx="195">
                  <c:v>44189</c:v>
                </c:pt>
                <c:pt idx="196">
                  <c:v>44193</c:v>
                </c:pt>
                <c:pt idx="197">
                  <c:v>44194</c:v>
                </c:pt>
                <c:pt idx="198">
                  <c:v>44195</c:v>
                </c:pt>
                <c:pt idx="199">
                  <c:v>44196</c:v>
                </c:pt>
                <c:pt idx="200">
                  <c:v>44200</c:v>
                </c:pt>
                <c:pt idx="201">
                  <c:v>44201</c:v>
                </c:pt>
                <c:pt idx="202">
                  <c:v>44202</c:v>
                </c:pt>
                <c:pt idx="203">
                  <c:v>44203</c:v>
                </c:pt>
                <c:pt idx="204">
                  <c:v>44204</c:v>
                </c:pt>
                <c:pt idx="205">
                  <c:v>44207</c:v>
                </c:pt>
                <c:pt idx="206">
                  <c:v>44208</c:v>
                </c:pt>
                <c:pt idx="207">
                  <c:v>44209</c:v>
                </c:pt>
                <c:pt idx="208">
                  <c:v>44210</c:v>
                </c:pt>
                <c:pt idx="209">
                  <c:v>44211</c:v>
                </c:pt>
                <c:pt idx="210">
                  <c:v>44215</c:v>
                </c:pt>
                <c:pt idx="211">
                  <c:v>44216</c:v>
                </c:pt>
                <c:pt idx="212">
                  <c:v>44217</c:v>
                </c:pt>
                <c:pt idx="213">
                  <c:v>44218</c:v>
                </c:pt>
                <c:pt idx="214">
                  <c:v>44221</c:v>
                </c:pt>
                <c:pt idx="215">
                  <c:v>44222</c:v>
                </c:pt>
                <c:pt idx="216">
                  <c:v>44223</c:v>
                </c:pt>
                <c:pt idx="217">
                  <c:v>44224</c:v>
                </c:pt>
                <c:pt idx="218">
                  <c:v>44225</c:v>
                </c:pt>
                <c:pt idx="219">
                  <c:v>44228</c:v>
                </c:pt>
                <c:pt idx="220">
                  <c:v>44229</c:v>
                </c:pt>
                <c:pt idx="221">
                  <c:v>44230</c:v>
                </c:pt>
                <c:pt idx="222">
                  <c:v>44231</c:v>
                </c:pt>
                <c:pt idx="223">
                  <c:v>44232</c:v>
                </c:pt>
                <c:pt idx="224">
                  <c:v>44235</c:v>
                </c:pt>
                <c:pt idx="225">
                  <c:v>44236</c:v>
                </c:pt>
                <c:pt idx="226">
                  <c:v>44237</c:v>
                </c:pt>
                <c:pt idx="227">
                  <c:v>44238</c:v>
                </c:pt>
                <c:pt idx="228">
                  <c:v>44239</c:v>
                </c:pt>
                <c:pt idx="229">
                  <c:v>44243</c:v>
                </c:pt>
                <c:pt idx="230">
                  <c:v>44244</c:v>
                </c:pt>
                <c:pt idx="231">
                  <c:v>44245</c:v>
                </c:pt>
                <c:pt idx="232">
                  <c:v>44246</c:v>
                </c:pt>
                <c:pt idx="233">
                  <c:v>44249</c:v>
                </c:pt>
                <c:pt idx="234">
                  <c:v>44250</c:v>
                </c:pt>
                <c:pt idx="235">
                  <c:v>44251</c:v>
                </c:pt>
                <c:pt idx="236">
                  <c:v>44252</c:v>
                </c:pt>
                <c:pt idx="237">
                  <c:v>44253</c:v>
                </c:pt>
                <c:pt idx="238">
                  <c:v>44256</c:v>
                </c:pt>
                <c:pt idx="239">
                  <c:v>44257</c:v>
                </c:pt>
                <c:pt idx="240">
                  <c:v>44258</c:v>
                </c:pt>
                <c:pt idx="241">
                  <c:v>44259</c:v>
                </c:pt>
                <c:pt idx="242">
                  <c:v>44260</c:v>
                </c:pt>
                <c:pt idx="243">
                  <c:v>44263</c:v>
                </c:pt>
                <c:pt idx="244">
                  <c:v>44264</c:v>
                </c:pt>
                <c:pt idx="245">
                  <c:v>44265</c:v>
                </c:pt>
                <c:pt idx="246">
                  <c:v>44266</c:v>
                </c:pt>
                <c:pt idx="247">
                  <c:v>44267</c:v>
                </c:pt>
                <c:pt idx="248">
                  <c:v>44270</c:v>
                </c:pt>
                <c:pt idx="249">
                  <c:v>44271</c:v>
                </c:pt>
                <c:pt idx="250">
                  <c:v>44272</c:v>
                </c:pt>
                <c:pt idx="251">
                  <c:v>44273</c:v>
                </c:pt>
                <c:pt idx="252">
                  <c:v>44274</c:v>
                </c:pt>
              </c:numCache>
            </c:numRef>
          </c:cat>
          <c:val>
            <c:numRef>
              <c:f>'Share Price'!$C$1118:$C$1370</c:f>
              <c:numCache>
                <c:formatCode>_("$"* #,##0_);_("$"* \(#,##0\);_("$"* "-"??_);_(@_)</c:formatCode>
                <c:ptCount val="253"/>
                <c:pt idx="0">
                  <c:v>1880.93</c:v>
                </c:pt>
                <c:pt idx="1">
                  <c:v>1846.09</c:v>
                </c:pt>
                <c:pt idx="2">
                  <c:v>1902.83</c:v>
                </c:pt>
                <c:pt idx="3">
                  <c:v>1940.1</c:v>
                </c:pt>
                <c:pt idx="4">
                  <c:v>1885.84</c:v>
                </c:pt>
                <c:pt idx="5">
                  <c:v>1955.49</c:v>
                </c:pt>
                <c:pt idx="6">
                  <c:v>1900.1</c:v>
                </c:pt>
                <c:pt idx="7">
                  <c:v>1963.95</c:v>
                </c:pt>
                <c:pt idx="8">
                  <c:v>1949.72</c:v>
                </c:pt>
                <c:pt idx="9">
                  <c:v>1907.7</c:v>
                </c:pt>
                <c:pt idx="10">
                  <c:v>1918.83</c:v>
                </c:pt>
                <c:pt idx="11">
                  <c:v>1906.59</c:v>
                </c:pt>
                <c:pt idx="12">
                  <c:v>1997.59</c:v>
                </c:pt>
                <c:pt idx="13">
                  <c:v>2011.6</c:v>
                </c:pt>
                <c:pt idx="14">
                  <c:v>2043</c:v>
                </c:pt>
                <c:pt idx="15">
                  <c:v>2042.76</c:v>
                </c:pt>
                <c:pt idx="16">
                  <c:v>2168.87</c:v>
                </c:pt>
                <c:pt idx="17">
                  <c:v>2283.3200000000002</c:v>
                </c:pt>
                <c:pt idx="18">
                  <c:v>2307.6799999999998</c:v>
                </c:pt>
                <c:pt idx="19">
                  <c:v>2408.19</c:v>
                </c:pt>
                <c:pt idx="20">
                  <c:v>2375</c:v>
                </c:pt>
                <c:pt idx="21">
                  <c:v>2393.61</c:v>
                </c:pt>
                <c:pt idx="22">
                  <c:v>2328.12</c:v>
                </c:pt>
                <c:pt idx="23">
                  <c:v>2363.4899999999998</c:v>
                </c:pt>
                <c:pt idx="24">
                  <c:v>2399.4499999999998</c:v>
                </c:pt>
                <c:pt idx="25">
                  <c:v>2410.2199999999998</c:v>
                </c:pt>
                <c:pt idx="26">
                  <c:v>2376</c:v>
                </c:pt>
                <c:pt idx="27">
                  <c:v>2314.08</c:v>
                </c:pt>
                <c:pt idx="28">
                  <c:v>2372.71</c:v>
                </c:pt>
                <c:pt idx="29">
                  <c:v>2474</c:v>
                </c:pt>
                <c:pt idx="30">
                  <c:v>2286.04</c:v>
                </c:pt>
                <c:pt idx="31">
                  <c:v>2315.9899999999998</c:v>
                </c:pt>
                <c:pt idx="32">
                  <c:v>2317.8000000000002</c:v>
                </c:pt>
                <c:pt idx="33">
                  <c:v>2351.2600000000002</c:v>
                </c:pt>
                <c:pt idx="34">
                  <c:v>2367.61</c:v>
                </c:pt>
                <c:pt idx="35">
                  <c:v>2379.61</c:v>
                </c:pt>
                <c:pt idx="36">
                  <c:v>2409</c:v>
                </c:pt>
                <c:pt idx="37">
                  <c:v>2356.9499999999998</c:v>
                </c:pt>
                <c:pt idx="38">
                  <c:v>2367.92</c:v>
                </c:pt>
                <c:pt idx="39">
                  <c:v>2388.85</c:v>
                </c:pt>
                <c:pt idx="40">
                  <c:v>2409.7800000000002</c:v>
                </c:pt>
                <c:pt idx="41">
                  <c:v>2426.2600000000002</c:v>
                </c:pt>
                <c:pt idx="42">
                  <c:v>2449.33</c:v>
                </c:pt>
                <c:pt idx="43">
                  <c:v>2497.94</c:v>
                </c:pt>
                <c:pt idx="44">
                  <c:v>2446.7399999999998</c:v>
                </c:pt>
                <c:pt idx="45">
                  <c:v>2436.88</c:v>
                </c:pt>
                <c:pt idx="46">
                  <c:v>2421.86</c:v>
                </c:pt>
                <c:pt idx="47">
                  <c:v>2410.39</c:v>
                </c:pt>
                <c:pt idx="48">
                  <c:v>2401.1</c:v>
                </c:pt>
                <c:pt idx="49">
                  <c:v>2442.37</c:v>
                </c:pt>
                <c:pt idx="50">
                  <c:v>2471.04</c:v>
                </c:pt>
                <c:pt idx="51">
                  <c:v>2472.41</c:v>
                </c:pt>
                <c:pt idx="52">
                  <c:v>2478.4</c:v>
                </c:pt>
                <c:pt idx="53">
                  <c:v>2460.6</c:v>
                </c:pt>
                <c:pt idx="54">
                  <c:v>2483</c:v>
                </c:pt>
                <c:pt idx="55">
                  <c:v>2524.06</c:v>
                </c:pt>
                <c:pt idx="56">
                  <c:v>2600.86</c:v>
                </c:pt>
                <c:pt idx="57">
                  <c:v>2647.45</c:v>
                </c:pt>
                <c:pt idx="58">
                  <c:v>2557.96</c:v>
                </c:pt>
                <c:pt idx="59">
                  <c:v>2545.02</c:v>
                </c:pt>
                <c:pt idx="60">
                  <c:v>2572.6799999999998</c:v>
                </c:pt>
                <c:pt idx="61">
                  <c:v>2615.27</c:v>
                </c:pt>
                <c:pt idx="62">
                  <c:v>2640.98</c:v>
                </c:pt>
                <c:pt idx="63">
                  <c:v>2653.98</c:v>
                </c:pt>
                <c:pt idx="64">
                  <c:v>2675.01</c:v>
                </c:pt>
                <c:pt idx="65">
                  <c:v>2713.82</c:v>
                </c:pt>
                <c:pt idx="66">
                  <c:v>2764.41</c:v>
                </c:pt>
                <c:pt idx="67">
                  <c:v>2734.4</c:v>
                </c:pt>
                <c:pt idx="68">
                  <c:v>2754.58</c:v>
                </c:pt>
                <c:pt idx="69">
                  <c:v>2692.87</c:v>
                </c:pt>
                <c:pt idx="70">
                  <c:v>2680.38</c:v>
                </c:pt>
                <c:pt idx="71">
                  <c:v>2758.82</c:v>
                </c:pt>
                <c:pt idx="72">
                  <c:v>2878.7</c:v>
                </c:pt>
                <c:pt idx="73">
                  <c:v>2890.3</c:v>
                </c:pt>
                <c:pt idx="74">
                  <c:v>3057.04</c:v>
                </c:pt>
                <c:pt idx="75">
                  <c:v>3000.12</c:v>
                </c:pt>
                <c:pt idx="76">
                  <c:v>3081.11</c:v>
                </c:pt>
                <c:pt idx="77">
                  <c:v>3182.63</c:v>
                </c:pt>
                <c:pt idx="78">
                  <c:v>3200</c:v>
                </c:pt>
                <c:pt idx="79">
                  <c:v>3104</c:v>
                </c:pt>
                <c:pt idx="80">
                  <c:v>3084</c:v>
                </c:pt>
                <c:pt idx="81">
                  <c:v>3008.87</c:v>
                </c:pt>
                <c:pt idx="82">
                  <c:v>2999.9</c:v>
                </c:pt>
                <c:pt idx="83">
                  <c:v>2961.97</c:v>
                </c:pt>
                <c:pt idx="84">
                  <c:v>3196.84</c:v>
                </c:pt>
                <c:pt idx="85">
                  <c:v>3138.29</c:v>
                </c:pt>
                <c:pt idx="86">
                  <c:v>3099.91</c:v>
                </c:pt>
                <c:pt idx="87">
                  <c:v>2986.55</c:v>
                </c:pt>
                <c:pt idx="88">
                  <c:v>3008.91</c:v>
                </c:pt>
                <c:pt idx="89">
                  <c:v>3055.21</c:v>
                </c:pt>
                <c:pt idx="90">
                  <c:v>3000.33</c:v>
                </c:pt>
                <c:pt idx="91">
                  <c:v>3033.53</c:v>
                </c:pt>
                <c:pt idx="92">
                  <c:v>3051.88</c:v>
                </c:pt>
                <c:pt idx="93">
                  <c:v>3164.68</c:v>
                </c:pt>
                <c:pt idx="94">
                  <c:v>3111.89</c:v>
                </c:pt>
                <c:pt idx="95">
                  <c:v>3138.83</c:v>
                </c:pt>
                <c:pt idx="96">
                  <c:v>3205.03</c:v>
                </c:pt>
                <c:pt idx="97">
                  <c:v>3225</c:v>
                </c:pt>
                <c:pt idx="98">
                  <c:v>3167.46</c:v>
                </c:pt>
                <c:pt idx="99">
                  <c:v>3148.16</c:v>
                </c:pt>
                <c:pt idx="100">
                  <c:v>3080.67</c:v>
                </c:pt>
                <c:pt idx="101">
                  <c:v>3162.24</c:v>
                </c:pt>
                <c:pt idx="102">
                  <c:v>3161.02</c:v>
                </c:pt>
                <c:pt idx="103">
                  <c:v>3148.02</c:v>
                </c:pt>
                <c:pt idx="104">
                  <c:v>3182.41</c:v>
                </c:pt>
                <c:pt idx="105">
                  <c:v>3312.49</c:v>
                </c:pt>
                <c:pt idx="106">
                  <c:v>3260.48</c:v>
                </c:pt>
                <c:pt idx="107">
                  <c:v>3297.37</c:v>
                </c:pt>
                <c:pt idx="108">
                  <c:v>3284.72</c:v>
                </c:pt>
                <c:pt idx="109">
                  <c:v>3307.46</c:v>
                </c:pt>
                <c:pt idx="110">
                  <c:v>3346.49</c:v>
                </c:pt>
                <c:pt idx="111">
                  <c:v>3441.85</c:v>
                </c:pt>
                <c:pt idx="112">
                  <c:v>3400</c:v>
                </c:pt>
                <c:pt idx="113">
                  <c:v>3401.8</c:v>
                </c:pt>
                <c:pt idx="114">
                  <c:v>3450.96</c:v>
                </c:pt>
                <c:pt idx="115">
                  <c:v>3499.12</c:v>
                </c:pt>
                <c:pt idx="116">
                  <c:v>3531.45</c:v>
                </c:pt>
                <c:pt idx="117">
                  <c:v>3368</c:v>
                </c:pt>
                <c:pt idx="118">
                  <c:v>3294.62</c:v>
                </c:pt>
                <c:pt idx="119">
                  <c:v>3149.84</c:v>
                </c:pt>
                <c:pt idx="120">
                  <c:v>3268.61</c:v>
                </c:pt>
                <c:pt idx="121">
                  <c:v>3175.11</c:v>
                </c:pt>
                <c:pt idx="122">
                  <c:v>3116.22</c:v>
                </c:pt>
                <c:pt idx="123">
                  <c:v>3102.97</c:v>
                </c:pt>
                <c:pt idx="124">
                  <c:v>3156.13</c:v>
                </c:pt>
                <c:pt idx="125">
                  <c:v>3078.1</c:v>
                </c:pt>
                <c:pt idx="126">
                  <c:v>3008.73</c:v>
                </c:pt>
                <c:pt idx="127">
                  <c:v>2954.91</c:v>
                </c:pt>
                <c:pt idx="128">
                  <c:v>2960.47</c:v>
                </c:pt>
                <c:pt idx="129">
                  <c:v>3128.99</c:v>
                </c:pt>
                <c:pt idx="130">
                  <c:v>2999.86</c:v>
                </c:pt>
                <c:pt idx="131">
                  <c:v>3019.79</c:v>
                </c:pt>
                <c:pt idx="132">
                  <c:v>3095.13</c:v>
                </c:pt>
                <c:pt idx="133">
                  <c:v>3174.05</c:v>
                </c:pt>
                <c:pt idx="134">
                  <c:v>3144.88</c:v>
                </c:pt>
                <c:pt idx="135">
                  <c:v>3148.73</c:v>
                </c:pt>
                <c:pt idx="136">
                  <c:v>3221.26</c:v>
                </c:pt>
                <c:pt idx="137">
                  <c:v>3125</c:v>
                </c:pt>
                <c:pt idx="138">
                  <c:v>3199.2</c:v>
                </c:pt>
                <c:pt idx="139">
                  <c:v>3099.96</c:v>
                </c:pt>
                <c:pt idx="140">
                  <c:v>3195.69</c:v>
                </c:pt>
                <c:pt idx="141">
                  <c:v>3190.55</c:v>
                </c:pt>
                <c:pt idx="142">
                  <c:v>3286.65</c:v>
                </c:pt>
                <c:pt idx="143">
                  <c:v>3442.93</c:v>
                </c:pt>
                <c:pt idx="144">
                  <c:v>3443.63</c:v>
                </c:pt>
                <c:pt idx="145">
                  <c:v>3363.71</c:v>
                </c:pt>
                <c:pt idx="146">
                  <c:v>3338.65</c:v>
                </c:pt>
                <c:pt idx="147">
                  <c:v>3272.71</c:v>
                </c:pt>
                <c:pt idx="148">
                  <c:v>3207.21</c:v>
                </c:pt>
                <c:pt idx="149">
                  <c:v>3217.01</c:v>
                </c:pt>
                <c:pt idx="150">
                  <c:v>3184.94</c:v>
                </c:pt>
                <c:pt idx="151">
                  <c:v>3176.4</c:v>
                </c:pt>
                <c:pt idx="152">
                  <c:v>3204.4</c:v>
                </c:pt>
                <c:pt idx="153">
                  <c:v>3207.04</c:v>
                </c:pt>
                <c:pt idx="154">
                  <c:v>3286.33</c:v>
                </c:pt>
                <c:pt idx="155">
                  <c:v>3162.78</c:v>
                </c:pt>
                <c:pt idx="156">
                  <c:v>3211.01</c:v>
                </c:pt>
                <c:pt idx="157">
                  <c:v>3036.15</c:v>
                </c:pt>
                <c:pt idx="158">
                  <c:v>3004.48</c:v>
                </c:pt>
                <c:pt idx="159">
                  <c:v>3048.41</c:v>
                </c:pt>
                <c:pt idx="160">
                  <c:v>3241.16</c:v>
                </c:pt>
                <c:pt idx="161">
                  <c:v>3322</c:v>
                </c:pt>
                <c:pt idx="162">
                  <c:v>3311.37</c:v>
                </c:pt>
                <c:pt idx="163">
                  <c:v>3143.74</c:v>
                </c:pt>
                <c:pt idx="164">
                  <c:v>3035.02</c:v>
                </c:pt>
                <c:pt idx="165">
                  <c:v>3137.39</c:v>
                </c:pt>
                <c:pt idx="166">
                  <c:v>3110.28</c:v>
                </c:pt>
                <c:pt idx="167">
                  <c:v>3128.81</c:v>
                </c:pt>
                <c:pt idx="168">
                  <c:v>3131.06</c:v>
                </c:pt>
                <c:pt idx="169">
                  <c:v>3135.66</c:v>
                </c:pt>
                <c:pt idx="170">
                  <c:v>3105.46</c:v>
                </c:pt>
                <c:pt idx="171">
                  <c:v>3117.02</c:v>
                </c:pt>
                <c:pt idx="172">
                  <c:v>3099.4</c:v>
                </c:pt>
                <c:pt idx="173">
                  <c:v>3098.39</c:v>
                </c:pt>
                <c:pt idx="174">
                  <c:v>3118.06</c:v>
                </c:pt>
                <c:pt idx="175">
                  <c:v>3185.07</c:v>
                </c:pt>
                <c:pt idx="176">
                  <c:v>3195.34</c:v>
                </c:pt>
                <c:pt idx="177">
                  <c:v>3168.04</c:v>
                </c:pt>
                <c:pt idx="178">
                  <c:v>3220.08</c:v>
                </c:pt>
                <c:pt idx="179">
                  <c:v>3203.53</c:v>
                </c:pt>
                <c:pt idx="180">
                  <c:v>3186.73</c:v>
                </c:pt>
                <c:pt idx="181">
                  <c:v>3162.58</c:v>
                </c:pt>
                <c:pt idx="182">
                  <c:v>3158</c:v>
                </c:pt>
                <c:pt idx="183">
                  <c:v>3177.29</c:v>
                </c:pt>
                <c:pt idx="184">
                  <c:v>3104.2</c:v>
                </c:pt>
                <c:pt idx="185">
                  <c:v>3101.49</c:v>
                </c:pt>
                <c:pt idx="186">
                  <c:v>3116.42</c:v>
                </c:pt>
                <c:pt idx="187">
                  <c:v>3156.97</c:v>
                </c:pt>
                <c:pt idx="188">
                  <c:v>3165.12</c:v>
                </c:pt>
                <c:pt idx="189">
                  <c:v>3240.96</c:v>
                </c:pt>
                <c:pt idx="190">
                  <c:v>3236.08</c:v>
                </c:pt>
                <c:pt idx="191">
                  <c:v>3201.65</c:v>
                </c:pt>
                <c:pt idx="192">
                  <c:v>3206.18</c:v>
                </c:pt>
                <c:pt idx="193">
                  <c:v>3206.52</c:v>
                </c:pt>
                <c:pt idx="194">
                  <c:v>3185.27</c:v>
                </c:pt>
                <c:pt idx="195">
                  <c:v>3172.69</c:v>
                </c:pt>
                <c:pt idx="196">
                  <c:v>3283.96</c:v>
                </c:pt>
                <c:pt idx="197">
                  <c:v>3322</c:v>
                </c:pt>
                <c:pt idx="198">
                  <c:v>3285.85</c:v>
                </c:pt>
                <c:pt idx="199">
                  <c:v>3256.93</c:v>
                </c:pt>
                <c:pt idx="200">
                  <c:v>3186.63</c:v>
                </c:pt>
                <c:pt idx="201">
                  <c:v>3218.51</c:v>
                </c:pt>
                <c:pt idx="202">
                  <c:v>3138.38</c:v>
                </c:pt>
                <c:pt idx="203">
                  <c:v>3162.16</c:v>
                </c:pt>
                <c:pt idx="204">
                  <c:v>3182.7</c:v>
                </c:pt>
                <c:pt idx="205">
                  <c:v>3114.21</c:v>
                </c:pt>
                <c:pt idx="206">
                  <c:v>3120.83</c:v>
                </c:pt>
                <c:pt idx="207">
                  <c:v>3165.89</c:v>
                </c:pt>
                <c:pt idx="208">
                  <c:v>3127.47</c:v>
                </c:pt>
                <c:pt idx="209">
                  <c:v>3104.25</c:v>
                </c:pt>
                <c:pt idx="210">
                  <c:v>3120.76</c:v>
                </c:pt>
                <c:pt idx="211">
                  <c:v>3263.38</c:v>
                </c:pt>
                <c:pt idx="212">
                  <c:v>3306.99</c:v>
                </c:pt>
                <c:pt idx="213">
                  <c:v>3292.23</c:v>
                </c:pt>
                <c:pt idx="214">
                  <c:v>3294</c:v>
                </c:pt>
                <c:pt idx="215">
                  <c:v>3326.13</c:v>
                </c:pt>
                <c:pt idx="216">
                  <c:v>3232.58</c:v>
                </c:pt>
                <c:pt idx="217">
                  <c:v>3237.62</c:v>
                </c:pt>
                <c:pt idx="218">
                  <c:v>3206.2</c:v>
                </c:pt>
                <c:pt idx="219">
                  <c:v>3342.88</c:v>
                </c:pt>
                <c:pt idx="220">
                  <c:v>3380</c:v>
                </c:pt>
                <c:pt idx="221">
                  <c:v>3312.53</c:v>
                </c:pt>
                <c:pt idx="222">
                  <c:v>3331</c:v>
                </c:pt>
                <c:pt idx="223">
                  <c:v>3352.15</c:v>
                </c:pt>
                <c:pt idx="224">
                  <c:v>3322.94</c:v>
                </c:pt>
                <c:pt idx="225">
                  <c:v>3305</c:v>
                </c:pt>
                <c:pt idx="226">
                  <c:v>3286.58</c:v>
                </c:pt>
                <c:pt idx="227">
                  <c:v>3262.13</c:v>
                </c:pt>
                <c:pt idx="228">
                  <c:v>3277.71</c:v>
                </c:pt>
                <c:pt idx="229">
                  <c:v>3268.95</c:v>
                </c:pt>
                <c:pt idx="230">
                  <c:v>3308.64</c:v>
                </c:pt>
                <c:pt idx="231">
                  <c:v>3328.23</c:v>
                </c:pt>
                <c:pt idx="232">
                  <c:v>3249.9</c:v>
                </c:pt>
                <c:pt idx="233">
                  <c:v>3180.74</c:v>
                </c:pt>
                <c:pt idx="234">
                  <c:v>3194.5</c:v>
                </c:pt>
                <c:pt idx="235">
                  <c:v>3159.53</c:v>
                </c:pt>
                <c:pt idx="236">
                  <c:v>3057.16</c:v>
                </c:pt>
                <c:pt idx="237">
                  <c:v>3092.93</c:v>
                </c:pt>
                <c:pt idx="238">
                  <c:v>3146.14</c:v>
                </c:pt>
                <c:pt idx="239">
                  <c:v>3094.53</c:v>
                </c:pt>
                <c:pt idx="240">
                  <c:v>3005</c:v>
                </c:pt>
                <c:pt idx="241">
                  <c:v>2977.57</c:v>
                </c:pt>
                <c:pt idx="242">
                  <c:v>3000.46</c:v>
                </c:pt>
                <c:pt idx="243">
                  <c:v>2951.95</c:v>
                </c:pt>
                <c:pt idx="244">
                  <c:v>3062.85</c:v>
                </c:pt>
                <c:pt idx="245">
                  <c:v>3057.64</c:v>
                </c:pt>
                <c:pt idx="246">
                  <c:v>3113.59</c:v>
                </c:pt>
                <c:pt idx="247">
                  <c:v>3089.49</c:v>
                </c:pt>
                <c:pt idx="248">
                  <c:v>3081.68</c:v>
                </c:pt>
                <c:pt idx="249">
                  <c:v>3091.86</c:v>
                </c:pt>
                <c:pt idx="250">
                  <c:v>3135.73</c:v>
                </c:pt>
                <c:pt idx="251">
                  <c:v>3027.99</c:v>
                </c:pt>
                <c:pt idx="252">
                  <c:v>3074.96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81-46B9-8272-CA006EF270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2735183"/>
        <c:axId val="768131211"/>
      </c:lineChart>
      <c:dateAx>
        <c:axId val="212273518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CA"/>
              </a:p>
            </c:rich>
          </c:tx>
          <c:overlay val="0"/>
        </c:title>
        <c:numFmt formatCode="[$-409]mmm\-dd\-yyyy" sourceLinked="1"/>
        <c:majorTickMark val="out"/>
        <c:minorTickMark val="none"/>
        <c:tickLblPos val="nextTo"/>
        <c:txPr>
          <a:bodyPr/>
          <a:lstStyle/>
          <a:p>
            <a:pPr lvl="0">
              <a:defRPr sz="1100" b="0" i="0">
                <a:solidFill>
                  <a:srgbClr val="000000"/>
                </a:solidFill>
                <a:latin typeface="Arial Narrow"/>
              </a:defRPr>
            </a:pPr>
            <a:endParaRPr lang="en-US"/>
          </a:p>
        </c:txPr>
        <c:crossAx val="768131211"/>
        <c:crosses val="autoZero"/>
        <c:auto val="1"/>
        <c:lblOffset val="100"/>
        <c:baseTimeUnit val="days"/>
      </c:dateAx>
      <c:valAx>
        <c:axId val="76813121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CA"/>
              </a:p>
            </c:rich>
          </c:tx>
          <c:overlay val="0"/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1100" b="0" i="0">
                <a:solidFill>
                  <a:srgbClr val="000000"/>
                </a:solidFill>
                <a:latin typeface="Arial Narrow"/>
              </a:defRPr>
            </a:pPr>
            <a:endParaRPr lang="en-US"/>
          </a:p>
        </c:txPr>
        <c:crossAx val="2122735183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1076325</xdr:colOff>
      <xdr:row>2</xdr:row>
      <xdr:rowOff>0</xdr:rowOff>
    </xdr:from>
    <xdr:ext cx="828675" cy="2667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1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666750</xdr:colOff>
      <xdr:row>4</xdr:row>
      <xdr:rowOff>19050</xdr:rowOff>
    </xdr:from>
    <xdr:ext cx="10258425" cy="4876800"/>
    <xdr:graphicFrame macro="">
      <xdr:nvGraphicFramePr>
        <xdr:cNvPr id="5" name="Chart 5">
          <a:extLst>
            <a:ext uri="{FF2B5EF4-FFF2-40B4-BE49-F238E27FC236}">
              <a16:creationId xmlns:a16="http://schemas.microsoft.com/office/drawing/2014/main" id="{00000000-0008-0000-19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CF/DCF%20training%20-%20Company%20Data%20book%20RP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 Snipping&gt;&gt;&gt;"/>
      <sheetName val="Chart and Tables 1"/>
      <sheetName val="Chart and Tables 2"/>
      <sheetName val="Chart and Tables 3"/>
      <sheetName val="Computations&gt;&gt;&gt;"/>
      <sheetName val="Assumptions"/>
      <sheetName val="DCF Valuation"/>
      <sheetName val="Comparable Acquisition"/>
      <sheetName val="GLO Precedent"/>
      <sheetName val="TEL Precedent"/>
      <sheetName val="Comparable Companies"/>
      <sheetName val="Benchmarking 1"/>
      <sheetName val="Benchmarking 2"/>
      <sheetName val="TEL Input"/>
      <sheetName val="GLO Input"/>
      <sheetName val="Beta, Debt MV &amp; ERP"/>
      <sheetName val="WACC Computation"/>
      <sheetName val="Sales Forecast"/>
      <sheetName val="Sources&gt;&gt;&gt;"/>
      <sheetName val="Gov't, Academics, &amp; Banks &gt;&gt;&gt;"/>
      <sheetName val="US ERP"/>
      <sheetName val="BTr Data"/>
      <sheetName val="BSP Data"/>
      <sheetName val="Market Prices &gt;&gt;&gt;"/>
      <sheetName val="Fed Reserve Bond Yields"/>
      <sheetName val="PH US Bonds"/>
      <sheetName val="PSEi"/>
      <sheetName val="S&amp;P 500 index"/>
      <sheetName val="GLO Prices"/>
      <sheetName val="TEL Prices"/>
      <sheetName val="Financial Statements &gt;&gt;&gt;"/>
      <sheetName val="TEL FS &gt;&gt;&gt;"/>
      <sheetName val="TEL - IS"/>
      <sheetName val="TEL - BS"/>
      <sheetName val="TEL - CFS"/>
      <sheetName val="GLO FS &gt;&gt;&gt;"/>
      <sheetName val="GLO - BS"/>
      <sheetName val="GLO - IS"/>
      <sheetName val="GLO - CFS"/>
      <sheetName val="_SS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7">
          <cell r="E7">
            <v>0.01</v>
          </cell>
          <cell r="F7">
            <v>0.01</v>
          </cell>
          <cell r="G7">
            <v>0.01</v>
          </cell>
          <cell r="H7">
            <v>0.01</v>
          </cell>
          <cell r="I7">
            <v>0.01</v>
          </cell>
        </row>
        <row r="13">
          <cell r="E13">
            <v>9.472280641457155E-2</v>
          </cell>
          <cell r="F13">
            <v>9.6536213220880809E-2</v>
          </cell>
          <cell r="G13">
            <v>9.8349620027190054E-2</v>
          </cell>
          <cell r="H13">
            <v>0.10016302683349931</v>
          </cell>
          <cell r="I13">
            <v>0.10197643363980856</v>
          </cell>
        </row>
        <row r="19">
          <cell r="E19">
            <v>0.43578122247135614</v>
          </cell>
          <cell r="F19">
            <v>0.44389174320766395</v>
          </cell>
          <cell r="G19">
            <v>0.4520022639439718</v>
          </cell>
          <cell r="H19">
            <v>0.46011278468027966</v>
          </cell>
          <cell r="I19">
            <v>0.46822330541658752</v>
          </cell>
        </row>
        <row r="26">
          <cell r="E26">
            <v>0.2</v>
          </cell>
          <cell r="F26">
            <v>0.17</v>
          </cell>
          <cell r="G26">
            <v>0.16</v>
          </cell>
          <cell r="H26">
            <v>0.15</v>
          </cell>
          <cell r="I26">
            <v>0.14000000000000001</v>
          </cell>
        </row>
        <row r="32">
          <cell r="E32">
            <v>0.3</v>
          </cell>
          <cell r="F32">
            <v>0.3</v>
          </cell>
          <cell r="G32">
            <v>0.3</v>
          </cell>
          <cell r="H32">
            <v>0.3</v>
          </cell>
          <cell r="I32">
            <v>0.3</v>
          </cell>
        </row>
        <row r="40">
          <cell r="E40">
            <v>77.052918224678919</v>
          </cell>
          <cell r="F40">
            <v>77.052918224678919</v>
          </cell>
          <cell r="G40">
            <v>77.052918224678919</v>
          </cell>
          <cell r="H40">
            <v>77.052918224678919</v>
          </cell>
          <cell r="I40">
            <v>77.052918224678919</v>
          </cell>
        </row>
        <row r="46">
          <cell r="E46">
            <v>8.976307792353964</v>
          </cell>
          <cell r="F46">
            <v>8.976307792353964</v>
          </cell>
          <cell r="G46">
            <v>8.976307792353964</v>
          </cell>
          <cell r="H46">
            <v>8.976307792353964</v>
          </cell>
          <cell r="I46">
            <v>8.976307792353964</v>
          </cell>
        </row>
        <row r="52">
          <cell r="E52">
            <v>6.0234108275077226E-2</v>
          </cell>
          <cell r="F52">
            <v>6.0234108275077226E-2</v>
          </cell>
          <cell r="G52">
            <v>6.0234108275077226E-2</v>
          </cell>
          <cell r="H52">
            <v>6.0234108275077226E-2</v>
          </cell>
          <cell r="I52">
            <v>6.0234108275077226E-2</v>
          </cell>
        </row>
        <row r="58">
          <cell r="E58">
            <v>5.9008541450420816E-2</v>
          </cell>
          <cell r="F58">
            <v>5.9008541450420816E-2</v>
          </cell>
          <cell r="G58">
            <v>5.9008541450420816E-2</v>
          </cell>
          <cell r="H58">
            <v>5.9008541450420816E-2</v>
          </cell>
          <cell r="I58">
            <v>5.9008541450420816E-2</v>
          </cell>
        </row>
        <row r="65">
          <cell r="E65">
            <v>137.95395995647988</v>
          </cell>
          <cell r="F65">
            <v>137.95395995647988</v>
          </cell>
          <cell r="G65">
            <v>137.95395995647988</v>
          </cell>
          <cell r="H65">
            <v>137.95395995647988</v>
          </cell>
          <cell r="I65">
            <v>137.95395995647988</v>
          </cell>
        </row>
        <row r="71">
          <cell r="E71">
            <v>0.56738741668021464</v>
          </cell>
          <cell r="F71">
            <v>0.57238741668021464</v>
          </cell>
          <cell r="G71">
            <v>0.57738741668021465</v>
          </cell>
          <cell r="H71">
            <v>0.58238741668021465</v>
          </cell>
          <cell r="I71">
            <v>0.58738741668021466</v>
          </cell>
        </row>
        <row r="77">
          <cell r="E77">
            <v>1.2186886434976176E-2</v>
          </cell>
          <cell r="F77">
            <v>1.2186886434976176E-2</v>
          </cell>
          <cell r="G77">
            <v>1.2186886434976176E-2</v>
          </cell>
          <cell r="H77">
            <v>1.2186886434976176E-2</v>
          </cell>
          <cell r="I77">
            <v>1.2186886434976176E-2</v>
          </cell>
        </row>
        <row r="84">
          <cell r="E84">
            <v>0.59916181863299234</v>
          </cell>
          <cell r="F84">
            <v>-0.10510992129092744</v>
          </cell>
          <cell r="G84">
            <v>-5.2817312860781951E-2</v>
          </cell>
          <cell r="H84">
            <v>0.24408327033784971</v>
          </cell>
          <cell r="I84">
            <v>-5.2817312860781951E-2</v>
          </cell>
        </row>
      </sheetData>
      <sheetData sheetId="6">
        <row r="5">
          <cell r="D5">
            <v>3</v>
          </cell>
        </row>
        <row r="13">
          <cell r="H13">
            <v>77.052918224678919</v>
          </cell>
        </row>
        <row r="15">
          <cell r="H15">
            <v>8.976307792353964</v>
          </cell>
        </row>
        <row r="17">
          <cell r="H17">
            <v>6.0234108275077226E-2</v>
          </cell>
        </row>
        <row r="19">
          <cell r="H19">
            <v>5.9008541450420816E-2</v>
          </cell>
        </row>
        <row r="22">
          <cell r="H22">
            <v>137.95395995647988</v>
          </cell>
        </row>
        <row r="24">
          <cell r="H24">
            <v>0.56738741668021464</v>
          </cell>
        </row>
        <row r="26">
          <cell r="H26">
            <v>1.2186886434976176E-2</v>
          </cell>
        </row>
        <row r="31">
          <cell r="F31">
            <v>0.24408327033784971</v>
          </cell>
          <cell r="G31">
            <v>-5.2817312860781951E-2</v>
          </cell>
          <cell r="H31">
            <v>-0.10510992129092744</v>
          </cell>
        </row>
        <row r="36">
          <cell r="E36">
            <v>2014</v>
          </cell>
          <cell r="F36">
            <v>2015</v>
          </cell>
          <cell r="G36">
            <v>2016</v>
          </cell>
          <cell r="H36">
            <v>2017</v>
          </cell>
        </row>
        <row r="41">
          <cell r="E41">
            <v>7.9093862498902448E-2</v>
          </cell>
          <cell r="F41">
            <v>0.10200288714984541</v>
          </cell>
          <cell r="G41">
            <v>0.11069090292989314</v>
          </cell>
          <cell r="H41">
            <v>8.5245676125207906E-2</v>
          </cell>
        </row>
        <row r="45">
          <cell r="E45">
            <v>0.4044838586940615</v>
          </cell>
          <cell r="F45">
            <v>0.41079934308574367</v>
          </cell>
          <cell r="G45">
            <v>0.40660284880976871</v>
          </cell>
          <cell r="H45">
            <v>0.43138701649512901</v>
          </cell>
        </row>
        <row r="49">
          <cell r="H49">
            <v>0.27775845741465005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>
        <row r="21">
          <cell r="D21">
            <v>4.7814503140185732E-2</v>
          </cell>
        </row>
      </sheetData>
      <sheetData sheetId="17">
        <row r="8">
          <cell r="F8">
            <v>1.5272040263414111E-2</v>
          </cell>
          <cell r="G8">
            <v>2.0375320040463274E-2</v>
          </cell>
          <cell r="H8">
            <v>1.8603391940143377E-2</v>
          </cell>
          <cell r="I8">
            <v>1.9061324704466642E-2</v>
          </cell>
          <cell r="J8">
            <v>1.8232918888701155E-2</v>
          </cell>
        </row>
      </sheetData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>
        <row r="19">
          <cell r="C19">
            <v>-382000000</v>
          </cell>
          <cell r="D19">
            <v>-3036000000</v>
          </cell>
        </row>
      </sheetData>
      <sheetData sheetId="33">
        <row r="6">
          <cell r="C6">
            <v>191984000000</v>
          </cell>
          <cell r="D6">
            <v>195782000000</v>
          </cell>
          <cell r="E6">
            <v>203188000000</v>
          </cell>
          <cell r="G6">
            <v>186907000000</v>
          </cell>
        </row>
      </sheetData>
      <sheetData sheetId="34">
        <row r="64">
          <cell r="G64">
            <v>-36269000000</v>
          </cell>
        </row>
      </sheetData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 Narrow"/>
        <a:ea typeface="Arial Narrow"/>
        <a:cs typeface="Arial Narrow"/>
      </a:majorFont>
      <a:minorFont>
        <a:latin typeface="Arial Narrow"/>
        <a:ea typeface="Arial Narrow"/>
        <a:cs typeface="Arial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hyperlink" Target="https://pages.stern.nyu.edu/~adamodar/New_Home_Page/datacurrent.html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0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</sheetPr>
  <dimension ref="B1:K997"/>
  <sheetViews>
    <sheetView showGridLines="0" zoomScale="70" zoomScaleNormal="70" workbookViewId="0">
      <selection activeCell="B18" sqref="B18"/>
    </sheetView>
  </sheetViews>
  <sheetFormatPr defaultColWidth="12.5703125" defaultRowHeight="15" customHeight="1"/>
  <cols>
    <col min="1" max="1" width="3.42578125" customWidth="1"/>
    <col min="2" max="2" width="57.42578125" bestFit="1" customWidth="1"/>
    <col min="3" max="4" width="8.5703125" customWidth="1"/>
    <col min="5" max="5" width="16.7109375" customWidth="1"/>
    <col min="6" max="6" width="17.28515625" customWidth="1"/>
    <col min="7" max="7" width="18.5703125" customWidth="1"/>
    <col min="8" max="8" width="8.5703125" customWidth="1"/>
    <col min="9" max="11" width="12.42578125" customWidth="1"/>
    <col min="12" max="13" width="8.5703125" customWidth="1"/>
    <col min="14" max="14" width="20.140625" customWidth="1"/>
    <col min="15" max="15" width="10.28515625" customWidth="1"/>
  </cols>
  <sheetData>
    <row r="1" spans="2:11" ht="13.5" customHeight="1"/>
    <row r="2" spans="2:11" ht="16.5">
      <c r="B2" s="1490" t="s">
        <v>943</v>
      </c>
      <c r="C2" s="1490"/>
      <c r="D2" s="1490"/>
      <c r="E2" s="1490"/>
      <c r="F2" s="1490"/>
      <c r="G2" s="1490"/>
    </row>
    <row r="3" spans="2:11" ht="16.5">
      <c r="B3" s="1490"/>
      <c r="C3" s="1490"/>
      <c r="D3" s="1490"/>
      <c r="E3" s="1490"/>
      <c r="F3" s="1490"/>
      <c r="G3" s="1490"/>
    </row>
    <row r="4" spans="2:11" ht="16.5">
      <c r="B4" s="1486" t="s">
        <v>944</v>
      </c>
      <c r="C4" s="1486"/>
      <c r="D4" s="1486"/>
      <c r="E4" s="1486"/>
      <c r="F4" s="1486"/>
      <c r="G4" s="1486"/>
    </row>
    <row r="5" spans="2:11" ht="16.5">
      <c r="B5" s="1491"/>
      <c r="C5" s="1422"/>
      <c r="D5" s="1422"/>
      <c r="E5" s="1422"/>
      <c r="F5" s="1422"/>
      <c r="G5" s="1422"/>
    </row>
    <row r="6" spans="2:11" ht="16.5">
      <c r="B6" s="1270" t="s">
        <v>1294</v>
      </c>
      <c r="C6" s="1220"/>
      <c r="D6" s="1220"/>
      <c r="E6" s="1220"/>
      <c r="F6" s="1220"/>
      <c r="G6" s="1220"/>
    </row>
    <row r="7" spans="2:11" ht="16.5">
      <c r="B7" s="1487"/>
      <c r="C7" s="1487"/>
      <c r="D7" s="1487"/>
      <c r="E7" s="1488" t="s">
        <v>0</v>
      </c>
      <c r="F7" s="1492"/>
      <c r="G7" s="1492"/>
      <c r="H7" s="3"/>
      <c r="I7" s="3"/>
      <c r="J7" s="3"/>
      <c r="K7" s="3"/>
    </row>
    <row r="8" spans="2:11" ht="16.5">
      <c r="B8" s="1220"/>
      <c r="C8" s="1220"/>
      <c r="D8" s="1220"/>
      <c r="E8" s="1493" t="s">
        <v>1</v>
      </c>
      <c r="F8" s="1493" t="s">
        <v>2</v>
      </c>
      <c r="G8" s="1493" t="s">
        <v>3</v>
      </c>
    </row>
    <row r="9" spans="2:11" ht="16.5">
      <c r="B9" s="1220"/>
      <c r="C9" s="1220"/>
      <c r="D9" s="1220"/>
      <c r="E9" s="1494"/>
      <c r="F9" s="1494"/>
      <c r="G9" s="1494"/>
    </row>
    <row r="10" spans="2:11" ht="16.5">
      <c r="B10" s="1220" t="s">
        <v>4</v>
      </c>
      <c r="C10" s="1220"/>
      <c r="D10" s="1220"/>
      <c r="E10" s="1495">
        <v>1808219.8150968277</v>
      </c>
      <c r="F10" s="1495">
        <v>2422028.2134753112</v>
      </c>
      <c r="G10" s="1495">
        <v>3252601.2581343129</v>
      </c>
    </row>
    <row r="11" spans="2:11" ht="16.5">
      <c r="B11" s="1220" t="s">
        <v>5</v>
      </c>
      <c r="C11" s="1220"/>
      <c r="D11" s="1220"/>
      <c r="E11" s="1495">
        <v>1331709.4313500989</v>
      </c>
      <c r="F11" s="1495">
        <v>2324448.7164710425</v>
      </c>
      <c r="G11" s="1495">
        <v>3931323.9104595021</v>
      </c>
      <c r="I11" s="8"/>
      <c r="J11" s="8"/>
      <c r="K11" s="8"/>
    </row>
    <row r="12" spans="2:11" ht="16.5">
      <c r="B12" s="1220" t="s">
        <v>6</v>
      </c>
      <c r="C12" s="1220"/>
      <c r="D12" s="1220"/>
      <c r="E12" s="1495">
        <v>331012.96098409541</v>
      </c>
      <c r="F12" s="1495">
        <v>723099.16323488019</v>
      </c>
      <c r="G12" s="1495">
        <v>1157428.3140334128</v>
      </c>
      <c r="I12" s="8"/>
      <c r="J12" s="8"/>
      <c r="K12" s="8"/>
    </row>
    <row r="13" spans="2:11" ht="16.5">
      <c r="B13" s="1220" t="s">
        <v>7</v>
      </c>
      <c r="C13" s="1220"/>
      <c r="D13" s="1220"/>
      <c r="E13" s="1496">
        <f>Dashboard!E40</f>
        <v>2002357.0000000002</v>
      </c>
      <c r="F13" s="1496">
        <f>Dashboard!F40</f>
        <v>2244800.5714285718</v>
      </c>
      <c r="G13" s="1496">
        <f>Dashboard!G40</f>
        <v>2753747.0000000005</v>
      </c>
    </row>
    <row r="14" spans="2:11" ht="16.5">
      <c r="B14" s="1220" t="s">
        <v>8</v>
      </c>
      <c r="C14" s="1220"/>
      <c r="D14" s="1220"/>
      <c r="E14" s="1496">
        <f t="shared" ref="E14:G14" si="0">E34</f>
        <v>1015750.838</v>
      </c>
      <c r="F14" s="1496">
        <f t="shared" si="0"/>
        <v>1583373.0467193669</v>
      </c>
      <c r="G14" s="1496">
        <f t="shared" si="0"/>
        <v>1889104.3900000001</v>
      </c>
    </row>
    <row r="15" spans="2:11" ht="16.5">
      <c r="B15" s="1220"/>
      <c r="C15" s="1220"/>
      <c r="D15" s="1220"/>
      <c r="E15" s="1220"/>
      <c r="F15" s="1220"/>
      <c r="G15" s="1220"/>
    </row>
    <row r="16" spans="2:11" ht="16.5">
      <c r="B16" s="1220"/>
      <c r="C16" s="1220"/>
      <c r="D16" s="1220"/>
      <c r="E16" s="1220"/>
      <c r="F16" s="1220"/>
      <c r="G16" s="1220"/>
    </row>
    <row r="17" spans="2:7" ht="16.5">
      <c r="B17" s="1220"/>
      <c r="C17" s="1220"/>
      <c r="D17" s="1220"/>
      <c r="E17" s="1220"/>
      <c r="F17" s="1220"/>
      <c r="G17" s="1220"/>
    </row>
    <row r="18" spans="2:7" ht="16.5">
      <c r="B18" s="1220"/>
      <c r="C18" s="1220"/>
      <c r="D18" s="1220"/>
      <c r="E18" s="1220"/>
      <c r="F18" s="1220"/>
      <c r="G18" s="1220"/>
    </row>
    <row r="19" spans="2:7" ht="16.5">
      <c r="B19" s="1220"/>
      <c r="C19" s="1220"/>
      <c r="D19" s="1220"/>
      <c r="E19" s="1220"/>
      <c r="F19" s="1220"/>
      <c r="G19" s="1220"/>
    </row>
    <row r="20" spans="2:7" ht="16.5">
      <c r="C20" s="1220"/>
      <c r="D20" s="1220"/>
      <c r="E20" s="1220"/>
      <c r="F20" s="1220"/>
      <c r="G20" s="1220"/>
    </row>
    <row r="21" spans="2:7" ht="16.5">
      <c r="B21" s="1220"/>
      <c r="C21" s="1220"/>
      <c r="D21" s="1220"/>
      <c r="E21" s="1220"/>
      <c r="F21" s="1220"/>
      <c r="G21" s="1220"/>
    </row>
    <row r="22" spans="2:7" ht="16.5">
      <c r="B22" s="1220"/>
      <c r="C22" s="1220"/>
      <c r="D22" s="1220"/>
      <c r="E22" s="1220"/>
      <c r="F22" s="1220"/>
      <c r="G22" s="1220"/>
    </row>
    <row r="23" spans="2:7" ht="16.5">
      <c r="B23" s="1220"/>
      <c r="C23" s="1220"/>
      <c r="D23" s="1220"/>
      <c r="E23" s="1220"/>
      <c r="F23" s="1220"/>
      <c r="G23" s="1220"/>
    </row>
    <row r="24" spans="2:7" ht="16.5">
      <c r="B24" s="1486" t="s">
        <v>9</v>
      </c>
      <c r="C24" s="1486"/>
      <c r="D24" s="1486"/>
      <c r="E24" s="1486"/>
      <c r="F24" s="1486"/>
      <c r="G24" s="1486"/>
    </row>
    <row r="25" spans="2:7" ht="16.5">
      <c r="B25" s="1497"/>
      <c r="C25" s="1220"/>
      <c r="D25" s="1220"/>
      <c r="E25" s="1498" t="s">
        <v>10</v>
      </c>
      <c r="F25" s="1492"/>
      <c r="G25" s="1492"/>
    </row>
    <row r="26" spans="2:7" ht="16.5">
      <c r="B26" s="1220"/>
      <c r="C26" s="1220"/>
      <c r="D26" s="1220"/>
      <c r="E26" s="1493" t="s">
        <v>1</v>
      </c>
      <c r="F26" s="1493" t="s">
        <v>2</v>
      </c>
      <c r="G26" s="1493" t="s">
        <v>3</v>
      </c>
    </row>
    <row r="27" spans="2:7" ht="16.5">
      <c r="B27" s="1270" t="s">
        <v>11</v>
      </c>
      <c r="C27" s="1220"/>
      <c r="D27" s="1220"/>
      <c r="E27" s="1499">
        <f>+'Share Price'!D3</f>
        <v>1846.09</v>
      </c>
      <c r="F27" s="1499">
        <f>+'Share Price'!D4</f>
        <v>2941.4628458498009</v>
      </c>
      <c r="G27" s="1499">
        <f>+'Share Price'!D2</f>
        <v>3531.45</v>
      </c>
    </row>
    <row r="28" spans="2:7" ht="16.5">
      <c r="B28" s="1270" t="s">
        <v>12</v>
      </c>
      <c r="C28" s="1220"/>
      <c r="D28" s="1220"/>
      <c r="E28" s="1499">
        <f>+'Research Consensus'!E16</f>
        <v>3750</v>
      </c>
      <c r="F28" s="1499">
        <f>+'Research Consensus'!E13</f>
        <v>4217.8571428571431</v>
      </c>
      <c r="G28" s="1499">
        <f>+'Research Consensus'!E17</f>
        <v>5200</v>
      </c>
    </row>
    <row r="29" spans="2:7" ht="16.5">
      <c r="B29" s="1270"/>
      <c r="C29" s="1220"/>
      <c r="D29" s="1220"/>
      <c r="E29" s="1499"/>
      <c r="F29" s="1499"/>
      <c r="G29" s="1499"/>
    </row>
    <row r="30" spans="2:7" ht="16.5">
      <c r="B30" s="1220" t="s">
        <v>13</v>
      </c>
      <c r="C30" s="1220"/>
      <c r="D30" s="1220"/>
      <c r="E30" s="1500">
        <f t="shared" ref="E30:G30" si="1">E27</f>
        <v>1846.09</v>
      </c>
      <c r="F30" s="1500">
        <f t="shared" si="1"/>
        <v>2941.4628458498009</v>
      </c>
      <c r="G30" s="1500">
        <f t="shared" si="1"/>
        <v>3531.45</v>
      </c>
    </row>
    <row r="31" spans="2:7" ht="16.5">
      <c r="B31" s="1220" t="s">
        <v>14</v>
      </c>
      <c r="C31" s="1220"/>
      <c r="D31" s="1220"/>
      <c r="E31" s="1501">
        <f>Comps!$E$8</f>
        <v>518.20000000000005</v>
      </c>
      <c r="F31" s="1501">
        <f t="shared" ref="F31:G31" si="2">E31</f>
        <v>518.20000000000005</v>
      </c>
      <c r="G31" s="1501">
        <f t="shared" si="2"/>
        <v>518.20000000000005</v>
      </c>
    </row>
    <row r="32" spans="2:7" ht="16.5">
      <c r="B32" s="1489" t="s">
        <v>15</v>
      </c>
      <c r="C32" s="1220"/>
      <c r="D32" s="1220"/>
      <c r="E32" s="1502">
        <f t="shared" ref="E32:G32" si="3">E30*E31</f>
        <v>956643.83799999999</v>
      </c>
      <c r="F32" s="1502">
        <f t="shared" si="3"/>
        <v>1524266.0467193669</v>
      </c>
      <c r="G32" s="1502">
        <f t="shared" si="3"/>
        <v>1829997.3900000001</v>
      </c>
    </row>
    <row r="33" spans="2:7" ht="16.5">
      <c r="B33" s="1220" t="s">
        <v>16</v>
      </c>
      <c r="C33" s="1220"/>
      <c r="D33" s="1220"/>
      <c r="E33" s="1500">
        <f>Comps!$I$8</f>
        <v>59107</v>
      </c>
      <c r="F33" s="1500">
        <f>Comps!$I$8</f>
        <v>59107</v>
      </c>
      <c r="G33" s="1500">
        <f>Comps!$I$8</f>
        <v>59107</v>
      </c>
    </row>
    <row r="34" spans="2:7" ht="16.5">
      <c r="B34" s="1503" t="s">
        <v>17</v>
      </c>
      <c r="C34" s="1220"/>
      <c r="D34" s="1220"/>
      <c r="E34" s="1504">
        <f t="shared" ref="E34:G34" si="4">+E32+E33</f>
        <v>1015750.838</v>
      </c>
      <c r="F34" s="1504">
        <f t="shared" si="4"/>
        <v>1583373.0467193669</v>
      </c>
      <c r="G34" s="1504">
        <f t="shared" si="4"/>
        <v>1889104.3900000001</v>
      </c>
    </row>
    <row r="35" spans="2:7" ht="16.5">
      <c r="B35" s="1220"/>
      <c r="C35" s="1220"/>
      <c r="D35" s="1220"/>
      <c r="E35" s="1500"/>
      <c r="F35" s="1500"/>
      <c r="G35" s="1500"/>
    </row>
    <row r="36" spans="2:7" ht="16.5">
      <c r="B36" s="1220" t="s">
        <v>18</v>
      </c>
      <c r="C36" s="1220"/>
      <c r="D36" s="1220"/>
      <c r="E36" s="1500">
        <f t="shared" ref="E36:G36" si="5">E28</f>
        <v>3750</v>
      </c>
      <c r="F36" s="1500">
        <f t="shared" si="5"/>
        <v>4217.8571428571431</v>
      </c>
      <c r="G36" s="1500">
        <f t="shared" si="5"/>
        <v>5200</v>
      </c>
    </row>
    <row r="37" spans="2:7" ht="16.5">
      <c r="B37" s="1220" t="s">
        <v>14</v>
      </c>
      <c r="C37" s="1220"/>
      <c r="D37" s="1220"/>
      <c r="E37" s="1501">
        <f t="shared" ref="E37:G37" si="6">E31</f>
        <v>518.20000000000005</v>
      </c>
      <c r="F37" s="1501">
        <f t="shared" si="6"/>
        <v>518.20000000000005</v>
      </c>
      <c r="G37" s="1501">
        <f t="shared" si="6"/>
        <v>518.20000000000005</v>
      </c>
    </row>
    <row r="38" spans="2:7" ht="16.5">
      <c r="B38" s="1489" t="s">
        <v>15</v>
      </c>
      <c r="C38" s="1220"/>
      <c r="D38" s="1220"/>
      <c r="E38" s="1502">
        <f t="shared" ref="E38:G38" si="7">E36*E37</f>
        <v>1943250.0000000002</v>
      </c>
      <c r="F38" s="1502">
        <f t="shared" si="7"/>
        <v>2185693.5714285718</v>
      </c>
      <c r="G38" s="1502">
        <f t="shared" si="7"/>
        <v>2694640.0000000005</v>
      </c>
    </row>
    <row r="39" spans="2:7" ht="16.5">
      <c r="B39" s="1220" t="s">
        <v>16</v>
      </c>
      <c r="C39" s="1220"/>
      <c r="D39" s="1220"/>
      <c r="E39" s="1500">
        <f>Comps!$I$8</f>
        <v>59107</v>
      </c>
      <c r="F39" s="1500">
        <f>Comps!$I$8</f>
        <v>59107</v>
      </c>
      <c r="G39" s="1500">
        <f>Comps!$I$8</f>
        <v>59107</v>
      </c>
    </row>
    <row r="40" spans="2:7" ht="16.5">
      <c r="B40" s="1503" t="s">
        <v>17</v>
      </c>
      <c r="C40" s="1220"/>
      <c r="D40" s="1220"/>
      <c r="E40" s="1504">
        <f t="shared" ref="E40:G40" si="8">+E38+E39</f>
        <v>2002357.0000000002</v>
      </c>
      <c r="F40" s="1504">
        <f t="shared" si="8"/>
        <v>2244800.5714285718</v>
      </c>
      <c r="G40" s="1504">
        <f t="shared" si="8"/>
        <v>2753747.0000000005</v>
      </c>
    </row>
    <row r="41" spans="2:7" ht="16.5"/>
    <row r="42" spans="2:7" ht="16.5"/>
    <row r="43" spans="2:7" ht="16.5"/>
    <row r="44" spans="2:7" ht="16.5"/>
    <row r="45" spans="2:7" ht="16.5"/>
    <row r="46" spans="2:7" ht="13.5" customHeight="1"/>
    <row r="47" spans="2:7" ht="13.5" customHeight="1"/>
    <row r="48" spans="2:7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2">
    <mergeCell ref="E7:G7"/>
    <mergeCell ref="E25:G25"/>
  </mergeCells>
  <pageMargins left="0.7" right="0.7" top="0.75" bottom="0.75" header="0" footer="0"/>
  <pageSetup scale="5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EACBF-C6CF-41ED-8808-D2353A348432}">
  <dimension ref="B1:Y82"/>
  <sheetViews>
    <sheetView topLeftCell="A55" workbookViewId="0">
      <selection activeCell="N16" sqref="N16"/>
    </sheetView>
  </sheetViews>
  <sheetFormatPr defaultRowHeight="16.5"/>
  <sheetData>
    <row r="1" spans="2:25">
      <c r="B1" s="1057"/>
      <c r="C1" s="1057"/>
      <c r="D1" s="1057"/>
      <c r="E1" s="1057"/>
      <c r="F1" s="1057"/>
      <c r="G1" s="1057"/>
      <c r="H1" s="1057"/>
      <c r="I1" s="1057"/>
      <c r="J1" s="1057"/>
      <c r="K1" s="1057"/>
      <c r="L1" s="1057"/>
      <c r="M1" s="1057"/>
      <c r="N1" s="1057"/>
      <c r="O1" s="1057"/>
      <c r="P1" s="1057"/>
      <c r="Q1" s="1057"/>
      <c r="R1" s="1057"/>
      <c r="S1" s="1057"/>
      <c r="T1" s="1057"/>
      <c r="U1" s="1057"/>
      <c r="V1" s="1057"/>
      <c r="W1" s="1057"/>
      <c r="X1" s="1057"/>
      <c r="Y1" s="1057"/>
    </row>
    <row r="2" spans="2:25">
      <c r="B2" s="1562" t="s">
        <v>2008</v>
      </c>
      <c r="C2" s="1562"/>
      <c r="D2" s="1562"/>
      <c r="E2" s="1562"/>
      <c r="F2" s="1562"/>
      <c r="G2" s="1562"/>
      <c r="H2" s="1057" t="s">
        <v>2009</v>
      </c>
      <c r="I2" s="1562" t="s">
        <v>2010</v>
      </c>
      <c r="J2" s="1562"/>
      <c r="K2" s="1562"/>
      <c r="L2" s="1562"/>
      <c r="M2" s="1562"/>
      <c r="N2" s="1057" t="s">
        <v>2011</v>
      </c>
      <c r="O2" s="1562" t="s">
        <v>2012</v>
      </c>
      <c r="P2" s="1562"/>
      <c r="Q2" s="1562"/>
      <c r="R2" s="1562"/>
      <c r="S2" s="1562"/>
      <c r="T2" s="1562"/>
      <c r="U2" s="1057"/>
      <c r="V2" s="1057"/>
      <c r="W2" s="1057"/>
      <c r="X2" s="1057"/>
      <c r="Y2" s="1057"/>
    </row>
    <row r="3" spans="2:25">
      <c r="B3" s="1563" t="s">
        <v>863</v>
      </c>
      <c r="C3" s="1563"/>
      <c r="D3" s="1564"/>
      <c r="E3" s="1565"/>
      <c r="F3" s="1565"/>
      <c r="G3" s="1566" t="s">
        <v>2013</v>
      </c>
      <c r="H3" s="1057"/>
      <c r="I3" s="1563"/>
      <c r="J3" s="1567"/>
      <c r="K3" s="1568" t="s">
        <v>2014</v>
      </c>
      <c r="L3" s="1569"/>
      <c r="M3" s="1570" t="str">
        <f>IF(M4=J4,"","LTM")</f>
        <v/>
      </c>
      <c r="N3" s="1057"/>
      <c r="O3" s="1563"/>
      <c r="P3" s="1563"/>
      <c r="Q3" s="1563"/>
      <c r="R3" s="1563"/>
      <c r="S3" s="1563"/>
      <c r="T3" s="1571">
        <v>2014</v>
      </c>
      <c r="U3" s="1057"/>
      <c r="V3" s="1057"/>
      <c r="W3" s="1057"/>
      <c r="X3" s="1057"/>
      <c r="Y3" s="1057"/>
    </row>
    <row r="4" spans="2:25">
      <c r="B4" s="1563" t="s">
        <v>654</v>
      </c>
      <c r="C4" s="1563"/>
      <c r="D4" s="1563"/>
      <c r="E4" s="1563"/>
      <c r="F4" s="1563"/>
      <c r="G4" s="1572" t="s">
        <v>1547</v>
      </c>
      <c r="H4" s="1057"/>
      <c r="I4" s="1573"/>
      <c r="J4" s="1574">
        <v>2015</v>
      </c>
      <c r="K4" s="1575" t="str">
        <f>IF(L4="","",CONCATENATE(J4," ",RIGHT(L4,2)))</f>
        <v/>
      </c>
      <c r="L4" s="1574"/>
      <c r="M4" s="1575">
        <f>IF(L4="",J4,L4)</f>
        <v>2015</v>
      </c>
      <c r="N4" s="1057"/>
      <c r="O4" s="1563" t="s">
        <v>2015</v>
      </c>
      <c r="P4" s="1563"/>
      <c r="Q4" s="1563"/>
      <c r="R4" s="1563"/>
      <c r="S4" s="1563"/>
      <c r="T4" s="1576"/>
      <c r="U4" s="1057"/>
      <c r="V4" s="1057"/>
      <c r="W4" s="1057"/>
      <c r="X4" s="1057"/>
      <c r="Y4" s="1057"/>
    </row>
    <row r="5" spans="2:25">
      <c r="B5" s="1563" t="s">
        <v>2016</v>
      </c>
      <c r="C5" s="1563"/>
      <c r="D5" s="1564"/>
      <c r="E5" s="1565"/>
      <c r="F5" s="1565"/>
      <c r="G5" s="1566" t="s">
        <v>2017</v>
      </c>
      <c r="H5" s="1057"/>
      <c r="I5" s="1563" t="s">
        <v>1955</v>
      </c>
      <c r="J5" s="1576">
        <v>3175</v>
      </c>
      <c r="K5" s="1577"/>
      <c r="L5" s="1577"/>
      <c r="M5" s="1577">
        <f>J5-K5+L5</f>
        <v>3175</v>
      </c>
      <c r="N5" s="1057"/>
      <c r="O5" s="1563" t="s">
        <v>1901</v>
      </c>
      <c r="P5" s="1563"/>
      <c r="Q5" s="1563"/>
      <c r="R5" s="1563"/>
      <c r="S5" s="1563"/>
      <c r="T5" s="1576"/>
      <c r="U5" s="1057"/>
      <c r="V5" s="1057"/>
      <c r="W5" s="1057"/>
      <c r="X5" s="1057"/>
      <c r="Y5" s="1057"/>
    </row>
    <row r="6" spans="2:25">
      <c r="B6" s="1563" t="s">
        <v>2018</v>
      </c>
      <c r="C6" s="1563"/>
      <c r="D6" s="1563"/>
      <c r="E6" s="1563"/>
      <c r="F6" s="1578"/>
      <c r="G6" s="1579" t="s">
        <v>2019</v>
      </c>
      <c r="H6" s="1057"/>
      <c r="I6" s="1563" t="s">
        <v>992</v>
      </c>
      <c r="J6" s="1576">
        <v>19</v>
      </c>
      <c r="K6" s="1577"/>
      <c r="L6" s="1577"/>
      <c r="M6" s="1577">
        <f>J6-K6+L6</f>
        <v>19</v>
      </c>
      <c r="N6" s="1057"/>
      <c r="O6" s="1563" t="s">
        <v>2020</v>
      </c>
      <c r="P6" s="1563"/>
      <c r="Q6" s="1563"/>
      <c r="R6" s="1563"/>
      <c r="S6" s="1563"/>
      <c r="T6" s="1576"/>
      <c r="U6" s="1057"/>
      <c r="V6" s="1057"/>
      <c r="W6" s="1057"/>
      <c r="X6" s="1057"/>
      <c r="Y6" s="1057"/>
    </row>
    <row r="7" spans="2:25">
      <c r="B7" s="1563"/>
      <c r="C7" s="1563"/>
      <c r="D7" s="1563"/>
      <c r="E7" s="1563"/>
      <c r="F7" s="1563"/>
      <c r="G7" s="1563"/>
      <c r="H7" s="1057"/>
      <c r="I7" s="1580" t="s">
        <v>215</v>
      </c>
      <c r="J7" s="1581">
        <f>J5-J6</f>
        <v>3156</v>
      </c>
      <c r="K7" s="1581">
        <f>K5-K6</f>
        <v>0</v>
      </c>
      <c r="L7" s="1581">
        <f>L5-L6</f>
        <v>0</v>
      </c>
      <c r="M7" s="1581">
        <f>M5-M6</f>
        <v>3156</v>
      </c>
      <c r="N7" s="1057"/>
      <c r="O7" s="1563" t="s">
        <v>1982</v>
      </c>
      <c r="P7" s="1563"/>
      <c r="Q7" s="1563"/>
      <c r="R7" s="1563"/>
      <c r="S7" s="1563"/>
      <c r="T7" s="1576"/>
      <c r="U7" s="1057"/>
      <c r="V7" s="1057"/>
      <c r="W7" s="1057"/>
      <c r="X7" s="1057"/>
      <c r="Y7" s="1057"/>
    </row>
    <row r="8" spans="2:25">
      <c r="B8" s="1563" t="s">
        <v>862</v>
      </c>
      <c r="C8" s="1563"/>
      <c r="D8" s="1564"/>
      <c r="E8" s="1565"/>
      <c r="F8" s="1565"/>
      <c r="G8" s="1566" t="s">
        <v>2021</v>
      </c>
      <c r="H8" s="1057"/>
      <c r="I8" s="1563" t="s">
        <v>993</v>
      </c>
      <c r="J8" s="1576">
        <v>2134</v>
      </c>
      <c r="K8" s="1577"/>
      <c r="L8" s="1577"/>
      <c r="M8" s="1577">
        <f>J8-K8+L8</f>
        <v>2134</v>
      </c>
      <c r="N8" s="1057"/>
      <c r="O8" s="1563" t="s">
        <v>1984</v>
      </c>
      <c r="P8" s="1563"/>
      <c r="Q8" s="1563"/>
      <c r="R8" s="1563"/>
      <c r="S8" s="1563"/>
      <c r="T8" s="1576">
        <v>2589</v>
      </c>
      <c r="U8" s="1057" t="s">
        <v>2022</v>
      </c>
      <c r="V8" s="1057"/>
      <c r="W8" s="1057"/>
      <c r="X8" s="1057"/>
      <c r="Y8" s="1057"/>
    </row>
    <row r="9" spans="2:25">
      <c r="B9" s="1563" t="s">
        <v>654</v>
      </c>
      <c r="C9" s="1563"/>
      <c r="D9" s="1563"/>
      <c r="E9" s="1563"/>
      <c r="F9" s="1563"/>
      <c r="G9" s="1582" t="s">
        <v>2023</v>
      </c>
      <c r="H9" s="1057"/>
      <c r="I9" s="1563" t="s">
        <v>2024</v>
      </c>
      <c r="J9" s="1576">
        <v>832</v>
      </c>
      <c r="K9" s="1577"/>
      <c r="L9" s="1577"/>
      <c r="M9" s="1577">
        <f>J9-K9+L9</f>
        <v>832</v>
      </c>
      <c r="N9" s="1057"/>
      <c r="O9" s="1580" t="s">
        <v>1277</v>
      </c>
      <c r="P9" s="1563"/>
      <c r="Q9" s="1563"/>
      <c r="R9" s="1563"/>
      <c r="S9" s="1563"/>
      <c r="T9" s="1583">
        <f>SUM(T4:T8)</f>
        <v>2589</v>
      </c>
      <c r="U9" s="1057"/>
      <c r="V9" s="1057"/>
      <c r="W9" s="1057"/>
      <c r="X9" s="1057"/>
      <c r="Y9" s="1057"/>
    </row>
    <row r="10" spans="2:25">
      <c r="B10" s="1563" t="s">
        <v>2018</v>
      </c>
      <c r="C10" s="1563"/>
      <c r="D10" s="1563"/>
      <c r="E10" s="1563"/>
      <c r="F10" s="1564"/>
      <c r="G10" s="1584" t="s">
        <v>2019</v>
      </c>
      <c r="H10" s="1057"/>
      <c r="I10" s="1580" t="s">
        <v>199</v>
      </c>
      <c r="J10" s="1581">
        <f>J7-SUM(J8:J9)</f>
        <v>190</v>
      </c>
      <c r="K10" s="1581">
        <f>K7-SUM(K8:K9)</f>
        <v>0</v>
      </c>
      <c r="L10" s="1581">
        <f>L7-SUM(L8:L9)</f>
        <v>0</v>
      </c>
      <c r="M10" s="1581">
        <f>M7-SUM(M8:M9)</f>
        <v>190</v>
      </c>
      <c r="N10" s="1057"/>
      <c r="O10" s="1563"/>
      <c r="P10" s="1563"/>
      <c r="Q10" s="1563"/>
      <c r="R10" s="1563"/>
      <c r="S10" s="1563"/>
      <c r="T10" s="1577"/>
      <c r="U10" s="1057"/>
      <c r="V10" s="1057"/>
      <c r="W10" s="1057"/>
      <c r="X10" s="1057"/>
      <c r="Y10" s="1057"/>
    </row>
    <row r="11" spans="2:25">
      <c r="B11" s="1563"/>
      <c r="C11" s="1563"/>
      <c r="D11" s="1563"/>
      <c r="E11" s="1563"/>
      <c r="F11" s="1563"/>
      <c r="G11" s="1563"/>
      <c r="H11" s="1057" t="s">
        <v>2025</v>
      </c>
      <c r="I11" s="1563" t="s">
        <v>247</v>
      </c>
      <c r="J11" s="1576">
        <v>152</v>
      </c>
      <c r="K11" s="1577"/>
      <c r="L11" s="1577"/>
      <c r="M11" s="1577">
        <f>J11-K11+L11</f>
        <v>152</v>
      </c>
      <c r="N11" s="1057"/>
      <c r="O11" s="1563" t="s">
        <v>2026</v>
      </c>
      <c r="P11" s="1563"/>
      <c r="Q11" s="1563"/>
      <c r="R11" s="1563"/>
      <c r="S11" s="1563"/>
      <c r="T11" s="1576"/>
      <c r="U11" s="1057"/>
      <c r="V11" s="1057"/>
      <c r="W11" s="1057"/>
      <c r="X11" s="1057"/>
      <c r="Y11" s="1057"/>
    </row>
    <row r="12" spans="2:25">
      <c r="B12" s="1563" t="s">
        <v>2027</v>
      </c>
      <c r="C12" s="1563"/>
      <c r="D12" s="1563"/>
      <c r="E12" s="1563"/>
      <c r="F12" s="1564"/>
      <c r="G12" s="1584" t="s">
        <v>2028</v>
      </c>
      <c r="H12" s="1057"/>
      <c r="I12" s="1563" t="s">
        <v>2029</v>
      </c>
      <c r="J12" s="1576">
        <f>7+222-1-21</f>
        <v>207</v>
      </c>
      <c r="K12" s="1577"/>
      <c r="L12" s="1577"/>
      <c r="M12" s="1577">
        <f>J12-K12+L12</f>
        <v>207</v>
      </c>
      <c r="N12" s="1057"/>
      <c r="O12" s="1563" t="s">
        <v>2030</v>
      </c>
      <c r="P12" s="1563"/>
      <c r="Q12" s="1563"/>
      <c r="R12" s="1563"/>
      <c r="S12" s="1563"/>
      <c r="T12" s="1576"/>
      <c r="U12" s="1057"/>
      <c r="V12" s="1057"/>
      <c r="W12" s="1057"/>
      <c r="X12" s="1057"/>
      <c r="Y12" s="1057"/>
    </row>
    <row r="13" spans="2:25">
      <c r="B13" s="1563" t="s">
        <v>2031</v>
      </c>
      <c r="C13" s="1563"/>
      <c r="D13" s="1563"/>
      <c r="E13" s="1563"/>
      <c r="F13" s="1564"/>
      <c r="G13" s="1584" t="s">
        <v>2032</v>
      </c>
      <c r="H13" s="1057"/>
      <c r="I13" s="1580" t="s">
        <v>1304</v>
      </c>
      <c r="J13" s="1581">
        <f>J10-SUM(J11:J12)</f>
        <v>-169</v>
      </c>
      <c r="K13" s="1581">
        <f>SUM(K10:K12)</f>
        <v>0</v>
      </c>
      <c r="L13" s="1581">
        <f>SUM(L10:L12)</f>
        <v>0</v>
      </c>
      <c r="M13" s="1581">
        <f>SUM(M10:M12)</f>
        <v>549</v>
      </c>
      <c r="N13" s="1057"/>
      <c r="O13" s="1563" t="s">
        <v>2033</v>
      </c>
      <c r="P13" s="1563"/>
      <c r="Q13" s="1563"/>
      <c r="R13" s="1563"/>
      <c r="S13" s="1563"/>
      <c r="T13" s="1576">
        <v>7888</v>
      </c>
      <c r="U13" s="1057" t="s">
        <v>2022</v>
      </c>
      <c r="V13" s="1057"/>
      <c r="W13" s="1057"/>
      <c r="X13" s="1057"/>
      <c r="Y13" s="1057"/>
    </row>
    <row r="14" spans="2:25">
      <c r="B14" s="1563" t="s">
        <v>2034</v>
      </c>
      <c r="C14" s="1563"/>
      <c r="D14" s="1564"/>
      <c r="E14" s="1565"/>
      <c r="F14" s="1565"/>
      <c r="G14" s="1566" t="s">
        <v>2017</v>
      </c>
      <c r="H14" s="1057"/>
      <c r="I14" s="1563" t="s">
        <v>2035</v>
      </c>
      <c r="J14" s="1576">
        <v>4</v>
      </c>
      <c r="K14" s="1577"/>
      <c r="L14" s="1577"/>
      <c r="M14" s="1577">
        <f>J14-K14+L14</f>
        <v>4</v>
      </c>
      <c r="N14" s="1057"/>
      <c r="O14" s="1580" t="s">
        <v>308</v>
      </c>
      <c r="P14" s="1563"/>
      <c r="Q14" s="1563"/>
      <c r="R14" s="1563"/>
      <c r="S14" s="1563"/>
      <c r="T14" s="1585">
        <f>SUM(T9,T11:T13)</f>
        <v>10477</v>
      </c>
      <c r="U14" s="1057"/>
      <c r="V14" s="1057"/>
      <c r="W14" s="1057"/>
      <c r="X14" s="1057"/>
      <c r="Y14" s="1057"/>
    </row>
    <row r="15" spans="2:25">
      <c r="B15" s="1563" t="s">
        <v>2036</v>
      </c>
      <c r="C15" s="1563"/>
      <c r="D15" s="1563"/>
      <c r="E15" s="1563"/>
      <c r="F15" s="1564"/>
      <c r="G15" s="1584" t="s">
        <v>2037</v>
      </c>
      <c r="H15" s="1057"/>
      <c r="I15" s="1563" t="s">
        <v>257</v>
      </c>
      <c r="J15" s="1576"/>
      <c r="K15" s="1577"/>
      <c r="L15" s="1577"/>
      <c r="M15" s="1577">
        <f>J15-K15+L15</f>
        <v>0</v>
      </c>
      <c r="N15" s="1057"/>
      <c r="O15" s="1563"/>
      <c r="P15" s="1563"/>
      <c r="Q15" s="1563"/>
      <c r="R15" s="1563"/>
      <c r="S15" s="1563"/>
      <c r="T15" s="1577"/>
      <c r="U15" s="1057"/>
      <c r="V15" s="1057"/>
      <c r="W15" s="1057"/>
      <c r="X15" s="1057"/>
      <c r="Y15" s="1057"/>
    </row>
    <row r="16" spans="2:25">
      <c r="B16" s="1057"/>
      <c r="C16" s="1057"/>
      <c r="D16" s="1057"/>
      <c r="E16" s="1057"/>
      <c r="F16" s="1057"/>
      <c r="G16" s="1057"/>
      <c r="H16" s="1057"/>
      <c r="I16" s="1563" t="s">
        <v>2038</v>
      </c>
      <c r="J16" s="1576"/>
      <c r="K16" s="1577"/>
      <c r="L16" s="1577"/>
      <c r="M16" s="1577">
        <f>J16-K16+L16</f>
        <v>0</v>
      </c>
      <c r="N16" s="1057"/>
      <c r="O16" s="1563" t="s">
        <v>1903</v>
      </c>
      <c r="P16" s="1563"/>
      <c r="Q16" s="1563"/>
      <c r="R16" s="1563"/>
      <c r="S16" s="1563"/>
      <c r="T16" s="1576"/>
      <c r="U16" s="1057"/>
      <c r="V16" s="1057"/>
      <c r="W16" s="1057"/>
      <c r="X16" s="1057"/>
      <c r="Y16" s="1057"/>
    </row>
    <row r="17" spans="2:25" ht="17.25" thickBot="1">
      <c r="B17" s="1562" t="s">
        <v>2039</v>
      </c>
      <c r="C17" s="1562"/>
      <c r="D17" s="1562"/>
      <c r="E17" s="1562"/>
      <c r="F17" s="1562"/>
      <c r="G17" s="1562"/>
      <c r="H17" s="1057"/>
      <c r="I17" s="1580" t="s">
        <v>135</v>
      </c>
      <c r="J17" s="1586">
        <f>SUM(J13:J16)</f>
        <v>-165</v>
      </c>
      <c r="K17" s="1586">
        <f>SUM(K13:K16)</f>
        <v>0</v>
      </c>
      <c r="L17" s="1586">
        <f>SUM(L13:L16)</f>
        <v>0</v>
      </c>
      <c r="M17" s="1586">
        <f>SUM(M13:M16)</f>
        <v>553</v>
      </c>
      <c r="N17" s="1057"/>
      <c r="O17" s="1563" t="s">
        <v>1986</v>
      </c>
      <c r="P17" s="1563"/>
      <c r="Q17" s="1563"/>
      <c r="R17" s="1563"/>
      <c r="S17" s="1563"/>
      <c r="T17" s="1576"/>
      <c r="U17" s="1057"/>
      <c r="V17" s="1057"/>
      <c r="W17" s="1057"/>
      <c r="X17" s="1057"/>
      <c r="Y17" s="1057"/>
    </row>
    <row r="18" spans="2:25" ht="17.25" thickTop="1">
      <c r="B18" s="1563" t="s">
        <v>2040</v>
      </c>
      <c r="C18" s="1563"/>
      <c r="D18" s="1563"/>
      <c r="E18" s="1563"/>
      <c r="F18" s="1563"/>
      <c r="G18" s="1587">
        <f>F94+F98</f>
        <v>0</v>
      </c>
      <c r="H18" s="1057"/>
      <c r="I18" s="1588" t="s">
        <v>285</v>
      </c>
      <c r="J18" s="1589">
        <v>0.3</v>
      </c>
      <c r="K18" s="1589">
        <v>0.3</v>
      </c>
      <c r="L18" s="1589">
        <v>0.3</v>
      </c>
      <c r="M18" s="1589">
        <v>0.3</v>
      </c>
      <c r="N18" s="1057"/>
      <c r="O18" s="1563" t="s">
        <v>1987</v>
      </c>
      <c r="P18" s="1563"/>
      <c r="Q18" s="1563"/>
      <c r="R18" s="1563"/>
      <c r="S18" s="1563"/>
      <c r="T18" s="1576">
        <v>18662</v>
      </c>
      <c r="U18" s="1057" t="s">
        <v>2022</v>
      </c>
      <c r="V18" s="1057"/>
      <c r="W18" s="1057"/>
      <c r="X18" s="1057"/>
      <c r="Y18" s="1057"/>
    </row>
    <row r="19" spans="2:25">
      <c r="B19" s="1590" t="s">
        <v>2041</v>
      </c>
      <c r="C19" s="1563"/>
      <c r="D19" s="1563"/>
      <c r="E19" s="1563"/>
      <c r="F19" s="1563"/>
      <c r="G19" s="1591">
        <v>0.98570000000000002</v>
      </c>
      <c r="H19" s="1057"/>
      <c r="I19" s="1580"/>
      <c r="J19" s="1563"/>
      <c r="K19" s="1563"/>
      <c r="L19" s="1563"/>
      <c r="M19" s="1563"/>
      <c r="N19" s="1057"/>
      <c r="O19" s="1580" t="s">
        <v>1278</v>
      </c>
      <c r="P19" s="1563"/>
      <c r="Q19" s="1563"/>
      <c r="R19" s="1563"/>
      <c r="S19" s="1563"/>
      <c r="T19" s="1583">
        <f>SUM(T16:T18)</f>
        <v>18662</v>
      </c>
      <c r="U19" s="1057"/>
      <c r="V19" s="1057"/>
      <c r="W19" s="1057"/>
      <c r="X19" s="1057"/>
      <c r="Y19" s="1057"/>
    </row>
    <row r="20" spans="2:25">
      <c r="B20" s="1580" t="s">
        <v>2042</v>
      </c>
      <c r="C20" s="1563"/>
      <c r="D20" s="1563"/>
      <c r="E20" s="1563"/>
      <c r="F20" s="1563"/>
      <c r="G20" s="1581">
        <f>G18/G19</f>
        <v>0</v>
      </c>
      <c r="H20" s="1057"/>
      <c r="I20" s="1592" t="s">
        <v>2043</v>
      </c>
      <c r="J20" s="1593" t="s">
        <v>1547</v>
      </c>
      <c r="K20" s="1593" t="s">
        <v>1547</v>
      </c>
      <c r="L20" s="1593" t="s">
        <v>1547</v>
      </c>
      <c r="M20" s="1563"/>
      <c r="N20" s="1057"/>
      <c r="O20" s="1563"/>
      <c r="P20" s="1563"/>
      <c r="Q20" s="1563"/>
      <c r="R20" s="1563"/>
      <c r="S20" s="1563"/>
      <c r="T20" s="1577"/>
      <c r="U20" s="1057"/>
      <c r="V20" s="1057"/>
      <c r="W20" s="1057"/>
      <c r="X20" s="1057"/>
      <c r="Y20" s="1057"/>
    </row>
    <row r="21" spans="2:25">
      <c r="B21" s="1563" t="s">
        <v>2044</v>
      </c>
      <c r="C21" s="1563"/>
      <c r="D21" s="1563"/>
      <c r="E21" s="1563"/>
      <c r="F21" s="1563"/>
      <c r="G21" s="1594">
        <f>T45</f>
        <v>5858.2120999999997</v>
      </c>
      <c r="H21" s="1057"/>
      <c r="I21" s="1592" t="s">
        <v>299</v>
      </c>
      <c r="J21" s="1595" t="str">
        <f>IFERROR(J17/J20,"NA")</f>
        <v>NA</v>
      </c>
      <c r="K21" s="1595" t="str">
        <f>IFERROR(K17/K20,"NA")</f>
        <v>NA</v>
      </c>
      <c r="L21" s="1595" t="str">
        <f>IFERROR(L17/L20,"NA")</f>
        <v>NA</v>
      </c>
      <c r="M21" s="1563"/>
      <c r="N21" s="1057"/>
      <c r="O21" s="1563" t="s">
        <v>2045</v>
      </c>
      <c r="P21" s="1563"/>
      <c r="Q21" s="1563"/>
      <c r="R21" s="1563"/>
      <c r="S21" s="1563"/>
      <c r="T21" s="1576">
        <f>131.3*44.617</f>
        <v>5858.2120999999997</v>
      </c>
      <c r="U21" s="1057" t="s">
        <v>2046</v>
      </c>
      <c r="V21" s="1057"/>
      <c r="W21" s="1057"/>
      <c r="X21" s="1057"/>
      <c r="Y21" s="1057"/>
    </row>
    <row r="22" spans="2:25">
      <c r="B22" s="1563" t="s">
        <v>2047</v>
      </c>
      <c r="C22" s="1563"/>
      <c r="D22" s="1563"/>
      <c r="E22" s="1563"/>
      <c r="F22" s="1563"/>
      <c r="G22" s="1594"/>
      <c r="H22" s="1057"/>
      <c r="I22" s="1057"/>
      <c r="J22" s="1057"/>
      <c r="K22" s="1057"/>
      <c r="L22" s="1057"/>
      <c r="M22" s="1057"/>
      <c r="N22" s="1057"/>
      <c r="O22" s="1563" t="s">
        <v>2048</v>
      </c>
      <c r="P22" s="1563"/>
      <c r="Q22" s="1563"/>
      <c r="R22" s="1563"/>
      <c r="S22" s="1563"/>
      <c r="T22" s="1576"/>
      <c r="U22" s="1057"/>
      <c r="V22" s="1057"/>
      <c r="W22" s="1057"/>
      <c r="X22" s="1057"/>
      <c r="Y22" s="1057"/>
    </row>
    <row r="23" spans="2:25">
      <c r="B23" s="1563" t="s">
        <v>2049</v>
      </c>
      <c r="C23" s="1563"/>
      <c r="D23" s="1563"/>
      <c r="E23" s="1563"/>
      <c r="F23" s="1563"/>
      <c r="G23" s="1594"/>
      <c r="H23" s="1057"/>
      <c r="I23" s="1562" t="s">
        <v>2050</v>
      </c>
      <c r="J23" s="1562"/>
      <c r="K23" s="1562"/>
      <c r="L23" s="1562"/>
      <c r="M23" s="1562"/>
      <c r="N23" s="1057"/>
      <c r="O23" s="1580" t="s">
        <v>415</v>
      </c>
      <c r="P23" s="1563"/>
      <c r="Q23" s="1563"/>
      <c r="R23" s="1563"/>
      <c r="S23" s="1563"/>
      <c r="T23" s="1583">
        <f>SUM(T19,T21:T22)</f>
        <v>24520.212100000001</v>
      </c>
      <c r="U23" s="1057"/>
      <c r="V23" s="1057"/>
      <c r="W23" s="1057"/>
      <c r="X23" s="1057"/>
      <c r="Y23" s="1057"/>
    </row>
    <row r="24" spans="2:25">
      <c r="B24" s="1563" t="s">
        <v>2051</v>
      </c>
      <c r="C24" s="1563"/>
      <c r="D24" s="1563"/>
      <c r="E24" s="1563"/>
      <c r="F24" s="1563"/>
      <c r="G24" s="1594"/>
      <c r="H24" s="1057"/>
      <c r="I24" s="1563" t="s">
        <v>2052</v>
      </c>
      <c r="J24" s="1596">
        <f>J7</f>
        <v>3156</v>
      </c>
      <c r="K24" s="1596">
        <f>K7</f>
        <v>0</v>
      </c>
      <c r="L24" s="1596">
        <f>L7</f>
        <v>0</v>
      </c>
      <c r="M24" s="1596">
        <f>M7</f>
        <v>3156</v>
      </c>
      <c r="N24" s="1057"/>
      <c r="O24" s="1563"/>
      <c r="P24" s="1563"/>
      <c r="Q24" s="1563"/>
      <c r="R24" s="1563"/>
      <c r="S24" s="1563"/>
      <c r="T24" s="1577"/>
      <c r="U24" s="1057"/>
      <c r="V24" s="1057"/>
      <c r="W24" s="1057"/>
      <c r="X24" s="1057"/>
      <c r="Y24" s="1057"/>
    </row>
    <row r="25" spans="2:25">
      <c r="B25" s="1580" t="s">
        <v>2053</v>
      </c>
      <c r="C25" s="1563"/>
      <c r="D25" s="1563"/>
      <c r="E25" s="1563"/>
      <c r="F25" s="1563"/>
      <c r="G25" s="1597">
        <f>SUM(G20:G24)</f>
        <v>5858.2120999999997</v>
      </c>
      <c r="H25" s="1057"/>
      <c r="I25" s="1590" t="s">
        <v>2054</v>
      </c>
      <c r="J25" s="1598"/>
      <c r="K25" s="1598"/>
      <c r="L25" s="1599"/>
      <c r="M25" s="1600">
        <f>J25-K25+L25</f>
        <v>0</v>
      </c>
      <c r="N25" s="1057"/>
      <c r="O25" s="1563" t="s">
        <v>2055</v>
      </c>
      <c r="P25" s="1563"/>
      <c r="Q25" s="1563"/>
      <c r="R25" s="1563"/>
      <c r="S25" s="1563"/>
      <c r="T25" s="1576"/>
      <c r="U25" s="1057"/>
      <c r="V25" s="1057"/>
      <c r="W25" s="1057"/>
      <c r="X25" s="1057"/>
      <c r="Y25" s="1057"/>
    </row>
    <row r="26" spans="2:25">
      <c r="B26" s="1057"/>
      <c r="C26" s="1057"/>
      <c r="D26" s="1057"/>
      <c r="E26" s="1057"/>
      <c r="F26" s="1057"/>
      <c r="G26" s="1057"/>
      <c r="H26" s="1057"/>
      <c r="I26" s="1601" t="s">
        <v>2056</v>
      </c>
      <c r="J26" s="1583">
        <f>J24+J25</f>
        <v>3156</v>
      </c>
      <c r="K26" s="1583">
        <f>K24+K25</f>
        <v>0</v>
      </c>
      <c r="L26" s="1583">
        <f>L24+L25</f>
        <v>0</v>
      </c>
      <c r="M26" s="1583">
        <f>M24+M25</f>
        <v>3156</v>
      </c>
      <c r="N26" s="1057"/>
      <c r="O26" s="1563" t="s">
        <v>2057</v>
      </c>
      <c r="P26" s="1563"/>
      <c r="Q26" s="1563"/>
      <c r="R26" s="1563"/>
      <c r="S26" s="1563"/>
      <c r="T26" s="1576"/>
      <c r="U26" s="1057"/>
      <c r="V26" s="1057"/>
      <c r="W26" s="1057"/>
      <c r="X26" s="1057"/>
      <c r="Y26" s="1057"/>
    </row>
    <row r="27" spans="2:25">
      <c r="B27" s="1562" t="s">
        <v>2058</v>
      </c>
      <c r="C27" s="1562"/>
      <c r="D27" s="1562"/>
      <c r="E27" s="1562"/>
      <c r="F27" s="1562"/>
      <c r="G27" s="1562"/>
      <c r="H27" s="1057"/>
      <c r="I27" s="1602" t="s">
        <v>2059</v>
      </c>
      <c r="J27" s="1603">
        <f>IFERROR(J26/J$8,"")</f>
        <v>1.4789128397375819</v>
      </c>
      <c r="K27" s="1603" t="str">
        <f>IFERROR(K26/K$8,"")</f>
        <v/>
      </c>
      <c r="L27" s="1603" t="str">
        <f>IFERROR(L26/L$8,"")</f>
        <v/>
      </c>
      <c r="M27" s="1603">
        <f>IFERROR(M26/M$8,"")</f>
        <v>1.4789128397375819</v>
      </c>
      <c r="N27" s="1057"/>
      <c r="O27" s="1563" t="s">
        <v>2060</v>
      </c>
      <c r="P27" s="1563"/>
      <c r="Q27" s="1563"/>
      <c r="R27" s="1563"/>
      <c r="S27" s="1563"/>
      <c r="T27" s="1576">
        <f>T14-T23</f>
        <v>-14043.212100000001</v>
      </c>
      <c r="U27" s="1057" t="s">
        <v>2061</v>
      </c>
      <c r="V27" s="1057"/>
      <c r="W27" s="1057"/>
      <c r="X27" s="1057"/>
      <c r="Y27" s="1057"/>
    </row>
    <row r="28" spans="2:25">
      <c r="B28" s="1563"/>
      <c r="C28" s="1563"/>
      <c r="D28" s="1563"/>
      <c r="E28" s="1604"/>
      <c r="F28" s="1605"/>
      <c r="G28" s="1605">
        <f>J4</f>
        <v>2015</v>
      </c>
      <c r="H28" s="1057"/>
      <c r="I28" s="1580"/>
      <c r="J28" s="1563"/>
      <c r="K28" s="1563"/>
      <c r="L28" s="1563"/>
      <c r="M28" s="1563"/>
      <c r="N28" s="1057"/>
      <c r="O28" s="1580" t="s">
        <v>2062</v>
      </c>
      <c r="P28" s="1563"/>
      <c r="Q28" s="1563"/>
      <c r="R28" s="1563"/>
      <c r="S28" s="1563"/>
      <c r="T28" s="1585">
        <f>SUM(T23,T25:T27)</f>
        <v>10477</v>
      </c>
      <c r="U28" s="1057"/>
      <c r="V28" s="1057"/>
      <c r="W28" s="1057"/>
      <c r="X28" s="1057"/>
      <c r="Y28" s="1057"/>
    </row>
    <row r="29" spans="2:25">
      <c r="B29" s="1563" t="s">
        <v>1646</v>
      </c>
      <c r="C29" s="1563"/>
      <c r="D29" s="1563"/>
      <c r="E29" s="1606"/>
      <c r="F29" s="1606"/>
      <c r="G29" s="1606">
        <f>$H$28/G30</f>
        <v>0</v>
      </c>
      <c r="H29" s="1057"/>
      <c r="I29" s="1563" t="s">
        <v>2063</v>
      </c>
      <c r="J29" s="1596">
        <f>J10</f>
        <v>190</v>
      </c>
      <c r="K29" s="1596">
        <f>K10</f>
        <v>0</v>
      </c>
      <c r="L29" s="1596">
        <f>L10</f>
        <v>0</v>
      </c>
      <c r="M29" s="1596">
        <f>M10</f>
        <v>190</v>
      </c>
      <c r="N29" s="1057"/>
      <c r="O29" s="1607" t="s">
        <v>376</v>
      </c>
      <c r="P29" s="1607"/>
      <c r="Q29" s="1607"/>
      <c r="R29" s="1607"/>
      <c r="S29" s="1607"/>
      <c r="T29" s="1607" t="b">
        <f>T14=T28</f>
        <v>1</v>
      </c>
      <c r="U29" s="1057"/>
      <c r="V29" s="1057"/>
      <c r="W29" s="1057"/>
      <c r="X29" s="1057"/>
      <c r="Y29" s="1057"/>
    </row>
    <row r="30" spans="2:25">
      <c r="B30" s="1608" t="s">
        <v>1955</v>
      </c>
      <c r="C30" s="1563"/>
      <c r="D30" s="1563"/>
      <c r="E30" s="1563"/>
      <c r="F30" s="1563"/>
      <c r="G30" s="1609">
        <f>J5</f>
        <v>3175</v>
      </c>
      <c r="H30" s="1057"/>
      <c r="I30" s="1590" t="s">
        <v>2054</v>
      </c>
      <c r="J30" s="1577">
        <f>J25</f>
        <v>0</v>
      </c>
      <c r="K30" s="1577">
        <f>K25</f>
        <v>0</v>
      </c>
      <c r="L30" s="1577">
        <f>L25</f>
        <v>0</v>
      </c>
      <c r="M30" s="1577">
        <f>M25</f>
        <v>0</v>
      </c>
      <c r="N30" s="1057"/>
      <c r="O30" s="1057"/>
      <c r="P30" s="1057"/>
      <c r="Q30" s="1057"/>
      <c r="R30" s="1057"/>
      <c r="S30" s="1057"/>
      <c r="T30" s="1057"/>
      <c r="U30" s="1057"/>
      <c r="V30" s="1057"/>
      <c r="W30" s="1057"/>
      <c r="X30" s="1057"/>
      <c r="Y30" s="1057"/>
    </row>
    <row r="31" spans="2:25">
      <c r="B31" s="1563" t="s">
        <v>781</v>
      </c>
      <c r="C31" s="1563"/>
      <c r="D31" s="1563"/>
      <c r="E31" s="1606"/>
      <c r="F31" s="1606"/>
      <c r="G31" s="1606">
        <f>$H$28/G32</f>
        <v>0</v>
      </c>
      <c r="H31" s="1057"/>
      <c r="I31" s="1590" t="s">
        <v>2064</v>
      </c>
      <c r="J31" s="1598"/>
      <c r="K31" s="1598"/>
      <c r="L31" s="1599"/>
      <c r="M31" s="1600">
        <f>J31-K31+L31</f>
        <v>0</v>
      </c>
      <c r="N31" s="1057"/>
      <c r="O31" s="1562" t="s">
        <v>2065</v>
      </c>
      <c r="P31" s="1562"/>
      <c r="Q31" s="1562"/>
      <c r="R31" s="1562"/>
      <c r="S31" s="1562"/>
      <c r="T31" s="1562"/>
      <c r="U31" s="1057"/>
      <c r="V31" s="1057"/>
      <c r="W31" s="1057"/>
      <c r="X31" s="1057"/>
      <c r="Y31" s="1057"/>
    </row>
    <row r="32" spans="2:25">
      <c r="B32" s="1608" t="s">
        <v>267</v>
      </c>
      <c r="C32" s="1563"/>
      <c r="D32" s="1563"/>
      <c r="E32" s="1563"/>
      <c r="F32" s="1563"/>
      <c r="G32" s="1610">
        <f>J36</f>
        <v>1022</v>
      </c>
      <c r="H32" s="1057"/>
      <c r="I32" s="1601" t="s">
        <v>2066</v>
      </c>
      <c r="J32" s="1581">
        <f>SUM(J29:J31)</f>
        <v>190</v>
      </c>
      <c r="K32" s="1581">
        <f>SUM(K29:K31)</f>
        <v>0</v>
      </c>
      <c r="L32" s="1581">
        <f>SUM(L29:L31)</f>
        <v>0</v>
      </c>
      <c r="M32" s="1581">
        <f>SUM(M29:M31)</f>
        <v>190</v>
      </c>
      <c r="N32" s="1057"/>
      <c r="O32" s="1592" t="s">
        <v>308</v>
      </c>
      <c r="P32" s="1563"/>
      <c r="Q32" s="1563"/>
      <c r="R32" s="1563"/>
      <c r="S32" s="1563"/>
      <c r="T32" s="1609">
        <f>T14</f>
        <v>10477</v>
      </c>
      <c r="U32" s="1057"/>
      <c r="V32" s="1057"/>
      <c r="W32" s="1057"/>
      <c r="X32" s="1057"/>
      <c r="Y32" s="1057"/>
    </row>
    <row r="33" spans="2:25">
      <c r="B33" s="1563" t="s">
        <v>1645</v>
      </c>
      <c r="C33" s="1563"/>
      <c r="D33" s="1563"/>
      <c r="E33" s="1606"/>
      <c r="F33" s="1606"/>
      <c r="G33" s="1606">
        <f>$H$28/G34</f>
        <v>0</v>
      </c>
      <c r="H33" s="1057"/>
      <c r="I33" s="1602" t="s">
        <v>2059</v>
      </c>
      <c r="J33" s="1603">
        <f>IFERROR(J32/J$8,"")</f>
        <v>8.9034676663542645E-2</v>
      </c>
      <c r="K33" s="1603" t="str">
        <f>IFERROR(K32/K$8,"")</f>
        <v/>
      </c>
      <c r="L33" s="1603" t="str">
        <f>IFERROR(L32/L$8,"")</f>
        <v/>
      </c>
      <c r="M33" s="1603">
        <f>IFERROR(M32/M$8,"")</f>
        <v>8.9034676663542645E-2</v>
      </c>
      <c r="N33" s="1057"/>
      <c r="O33" s="1563" t="s">
        <v>2067</v>
      </c>
      <c r="P33" s="1563"/>
      <c r="Q33" s="1563"/>
      <c r="R33" s="1563"/>
      <c r="S33" s="1563"/>
      <c r="T33" s="1563"/>
      <c r="U33" s="1057"/>
      <c r="V33" s="1057"/>
      <c r="W33" s="1057"/>
      <c r="X33" s="1057"/>
      <c r="Y33" s="1057"/>
    </row>
    <row r="34" spans="2:25">
      <c r="B34" s="1608" t="s">
        <v>199</v>
      </c>
      <c r="C34" s="1563"/>
      <c r="D34" s="1563"/>
      <c r="E34" s="1563"/>
      <c r="F34" s="1563"/>
      <c r="G34" s="1609">
        <f>J32</f>
        <v>190</v>
      </c>
      <c r="H34" s="1057"/>
      <c r="I34" s="1563"/>
      <c r="J34" s="1563"/>
      <c r="K34" s="1563"/>
      <c r="L34" s="1563"/>
      <c r="M34" s="1563"/>
      <c r="N34" s="1057"/>
      <c r="O34" s="1611" t="s">
        <v>2068</v>
      </c>
      <c r="P34" s="1563"/>
      <c r="Q34" s="1563"/>
      <c r="R34" s="1563"/>
      <c r="S34" s="1563"/>
      <c r="T34" s="1593"/>
      <c r="U34" s="1057"/>
      <c r="V34" s="1057"/>
      <c r="W34" s="1057"/>
      <c r="X34" s="1057"/>
      <c r="Y34" s="1057"/>
    </row>
    <row r="35" spans="2:25">
      <c r="B35" s="1563" t="s">
        <v>2069</v>
      </c>
      <c r="C35" s="1563"/>
      <c r="D35" s="1563"/>
      <c r="E35" s="1563"/>
      <c r="F35" s="1563"/>
      <c r="G35" s="1609">
        <f>G25/G36</f>
        <v>10.593511934900542</v>
      </c>
      <c r="H35" s="1057"/>
      <c r="I35" s="1563" t="s">
        <v>288</v>
      </c>
      <c r="J35" s="1598">
        <v>832</v>
      </c>
      <c r="K35" s="1598"/>
      <c r="L35" s="1599"/>
      <c r="M35" s="1600">
        <f>J35-K35+L35</f>
        <v>832</v>
      </c>
      <c r="N35" s="1057"/>
      <c r="O35" s="1611" t="s">
        <v>2070</v>
      </c>
      <c r="P35" s="1563"/>
      <c r="Q35" s="1563"/>
      <c r="R35" s="1563"/>
      <c r="S35" s="1563"/>
      <c r="T35" s="1593"/>
      <c r="U35" s="1057"/>
      <c r="V35" s="1057"/>
      <c r="W35" s="1057"/>
      <c r="X35" s="1057"/>
      <c r="Y35" s="1057"/>
    </row>
    <row r="36" spans="2:25">
      <c r="B36" s="1608" t="s">
        <v>135</v>
      </c>
      <c r="C36" s="1563"/>
      <c r="D36" s="1563"/>
      <c r="E36" s="1563"/>
      <c r="F36" s="1563"/>
      <c r="G36" s="1609">
        <f>M44</f>
        <v>553</v>
      </c>
      <c r="H36" s="1057"/>
      <c r="I36" s="1601" t="s">
        <v>2071</v>
      </c>
      <c r="J36" s="1612">
        <f>J32+J35</f>
        <v>1022</v>
      </c>
      <c r="K36" s="1612">
        <f>K32+K35</f>
        <v>0</v>
      </c>
      <c r="L36" s="1612">
        <f>L32+L35</f>
        <v>0</v>
      </c>
      <c r="M36" s="1612">
        <f>M32+M35</f>
        <v>1022</v>
      </c>
      <c r="N36" s="1057"/>
      <c r="O36" s="1563" t="s">
        <v>2072</v>
      </c>
      <c r="P36" s="1563"/>
      <c r="Q36" s="1563"/>
      <c r="R36" s="1563"/>
      <c r="S36" s="1563"/>
      <c r="T36" s="1563"/>
      <c r="U36" s="1057"/>
      <c r="V36" s="1057"/>
      <c r="W36" s="1057"/>
      <c r="X36" s="1057"/>
      <c r="Y36" s="1057"/>
    </row>
    <row r="37" spans="2:25">
      <c r="B37" s="1563" t="s">
        <v>2073</v>
      </c>
      <c r="C37" s="1563"/>
      <c r="D37" s="1563"/>
      <c r="E37" s="1606"/>
      <c r="F37" s="1606"/>
      <c r="G37" s="1613">
        <f>IF((G20/J17)&lt;0,"NA",G20/J17)</f>
        <v>0</v>
      </c>
      <c r="H37" s="1057"/>
      <c r="I37" s="1602" t="s">
        <v>2059</v>
      </c>
      <c r="J37" s="1603">
        <f>IFERROR(J36/J$8,"")</f>
        <v>0.47891283973758203</v>
      </c>
      <c r="K37" s="1603" t="str">
        <f>IFERROR(K36/K$8,"")</f>
        <v/>
      </c>
      <c r="L37" s="1603" t="str">
        <f>IFERROR(L36/L$8,"")</f>
        <v/>
      </c>
      <c r="M37" s="1603">
        <f>IFERROR(M36/M$8,"")</f>
        <v>0.47891283973758203</v>
      </c>
      <c r="N37" s="1057"/>
      <c r="O37" s="1611" t="s">
        <v>2074</v>
      </c>
      <c r="P37" s="1563"/>
      <c r="Q37" s="1563"/>
      <c r="R37" s="1563"/>
      <c r="S37" s="1563"/>
      <c r="T37" s="1576">
        <f>-T13</f>
        <v>-7888</v>
      </c>
      <c r="U37" s="1057"/>
      <c r="V37" s="1057"/>
      <c r="W37" s="1057"/>
      <c r="X37" s="1057"/>
      <c r="Y37" s="1057"/>
    </row>
    <row r="38" spans="2:25">
      <c r="B38" s="1608" t="s">
        <v>1956</v>
      </c>
      <c r="C38" s="1563"/>
      <c r="D38" s="1563"/>
      <c r="E38" s="1606"/>
      <c r="F38" s="1606"/>
      <c r="G38" s="1613"/>
      <c r="H38" s="1057"/>
      <c r="I38" s="1588"/>
      <c r="J38" s="1563"/>
      <c r="K38" s="1563"/>
      <c r="L38" s="1563"/>
      <c r="M38" s="1563"/>
      <c r="N38" s="1057"/>
      <c r="O38" s="1611" t="s">
        <v>2075</v>
      </c>
      <c r="P38" s="1563"/>
      <c r="Q38" s="1563"/>
      <c r="R38" s="1563"/>
      <c r="S38" s="1563"/>
      <c r="T38" s="1576"/>
      <c r="U38" s="1057"/>
      <c r="V38" s="1057"/>
      <c r="W38" s="1057"/>
      <c r="X38" s="1057"/>
      <c r="Y38" s="1057"/>
    </row>
    <row r="39" spans="2:25">
      <c r="B39" s="1563" t="s">
        <v>2076</v>
      </c>
      <c r="C39" s="1563"/>
      <c r="D39" s="1563"/>
      <c r="E39" s="1606"/>
      <c r="F39" s="1606"/>
      <c r="G39" s="1613">
        <f>G119</f>
        <v>0</v>
      </c>
      <c r="H39" s="1057"/>
      <c r="I39" s="1592"/>
      <c r="J39" s="1563"/>
      <c r="K39" s="1563"/>
      <c r="L39" s="1563"/>
      <c r="M39" s="1563"/>
      <c r="N39" s="1057"/>
      <c r="O39" s="1580" t="s">
        <v>2077</v>
      </c>
      <c r="P39" s="1563"/>
      <c r="Q39" s="1563"/>
      <c r="R39" s="1563"/>
      <c r="S39" s="1563"/>
      <c r="T39" s="1585">
        <f>SUM(T32:T38)</f>
        <v>2589</v>
      </c>
      <c r="U39" s="1057"/>
      <c r="V39" s="1057"/>
      <c r="W39" s="1057"/>
      <c r="X39" s="1057"/>
      <c r="Y39" s="1057"/>
    </row>
    <row r="40" spans="2:25">
      <c r="B40" s="1563" t="s">
        <v>2078</v>
      </c>
      <c r="C40" s="1563"/>
      <c r="D40" s="1563"/>
      <c r="E40" s="1563"/>
      <c r="F40" s="1563"/>
      <c r="G40" s="1595" t="s">
        <v>1547</v>
      </c>
      <c r="H40" s="1057"/>
      <c r="I40" s="1592" t="s">
        <v>2079</v>
      </c>
      <c r="J40" s="1614">
        <f>J17</f>
        <v>-165</v>
      </c>
      <c r="K40" s="1614">
        <f>K17</f>
        <v>0</v>
      </c>
      <c r="L40" s="1614">
        <f>L17</f>
        <v>0</v>
      </c>
      <c r="M40" s="1614">
        <f>M17</f>
        <v>553</v>
      </c>
      <c r="N40" s="1057"/>
      <c r="O40" s="1580"/>
      <c r="P40" s="1563"/>
      <c r="Q40" s="1563"/>
      <c r="R40" s="1563"/>
      <c r="S40" s="1563"/>
      <c r="T40" s="1615"/>
      <c r="U40" s="1057"/>
      <c r="V40" s="1057"/>
      <c r="W40" s="1057"/>
      <c r="X40" s="1057"/>
      <c r="Y40" s="1057"/>
    </row>
    <row r="41" spans="2:25">
      <c r="B41" s="1057"/>
      <c r="C41" s="1057"/>
      <c r="D41" s="1057"/>
      <c r="E41" s="1057"/>
      <c r="F41" s="1057"/>
      <c r="G41" s="1057"/>
      <c r="H41" s="1057"/>
      <c r="I41" s="1590" t="s">
        <v>2054</v>
      </c>
      <c r="J41" s="1614">
        <f>J25</f>
        <v>0</v>
      </c>
      <c r="K41" s="1614">
        <f>K25</f>
        <v>0</v>
      </c>
      <c r="L41" s="1614">
        <f>L25</f>
        <v>0</v>
      </c>
      <c r="M41" s="1614">
        <f>M25</f>
        <v>0</v>
      </c>
      <c r="N41" s="1057"/>
      <c r="O41" s="1563" t="s">
        <v>2045</v>
      </c>
      <c r="P41" s="1563"/>
      <c r="Q41" s="1563"/>
      <c r="R41" s="1563"/>
      <c r="S41" s="1563"/>
      <c r="T41" s="1577">
        <f>T21</f>
        <v>5858.2120999999997</v>
      </c>
      <c r="U41" s="1057"/>
      <c r="V41" s="1057"/>
      <c r="W41" s="1057"/>
      <c r="X41" s="1057"/>
      <c r="Y41" s="1057"/>
    </row>
    <row r="42" spans="2:25">
      <c r="B42" s="1562" t="s">
        <v>2080</v>
      </c>
      <c r="C42" s="1562"/>
      <c r="D42" s="1562"/>
      <c r="E42" s="1562"/>
      <c r="F42" s="1562"/>
      <c r="G42" s="1562"/>
      <c r="H42" s="1057"/>
      <c r="I42" s="1590" t="s">
        <v>2064</v>
      </c>
      <c r="J42" s="1614">
        <f>J31</f>
        <v>0</v>
      </c>
      <c r="K42" s="1614">
        <f>K31</f>
        <v>0</v>
      </c>
      <c r="L42" s="1614">
        <f>L31</f>
        <v>0</v>
      </c>
      <c r="M42" s="1614">
        <f>M31</f>
        <v>0</v>
      </c>
      <c r="N42" s="1057"/>
      <c r="O42" s="1563" t="s">
        <v>2081</v>
      </c>
      <c r="P42" s="1563"/>
      <c r="Q42" s="1563"/>
      <c r="R42" s="1563"/>
      <c r="S42" s="1563"/>
      <c r="T42" s="1577"/>
      <c r="U42" s="1057"/>
      <c r="V42" s="1057"/>
      <c r="W42" s="1057"/>
      <c r="X42" s="1057"/>
      <c r="Y42" s="1057"/>
    </row>
    <row r="43" spans="2:25">
      <c r="B43" s="1563" t="s">
        <v>2082</v>
      </c>
      <c r="C43" s="1563"/>
      <c r="D43" s="1563"/>
      <c r="E43" s="1563"/>
      <c r="F43" s="1563"/>
      <c r="G43" s="1563"/>
      <c r="H43" s="1057"/>
      <c r="I43" s="1592" t="s">
        <v>2083</v>
      </c>
      <c r="J43" s="1613">
        <f>-SUM(J41:J42)*J18</f>
        <v>0</v>
      </c>
      <c r="K43" s="1613">
        <f>-SUM(K40:K42)*K18</f>
        <v>0</v>
      </c>
      <c r="L43" s="1613">
        <f>-SUM(L40:L42)*L18</f>
        <v>0</v>
      </c>
      <c r="M43" s="1613">
        <f>-SUM(M41:M42)*M18</f>
        <v>0</v>
      </c>
      <c r="N43" s="1057"/>
      <c r="O43" s="1611" t="s">
        <v>2084</v>
      </c>
      <c r="P43" s="1563"/>
      <c r="Q43" s="1563"/>
      <c r="R43" s="1563"/>
      <c r="S43" s="1563"/>
      <c r="T43" s="1576"/>
      <c r="U43" s="1057"/>
      <c r="V43" s="1057"/>
      <c r="W43" s="1057"/>
      <c r="X43" s="1057"/>
      <c r="Y43" s="1057"/>
    </row>
    <row r="44" spans="2:25" ht="17.25" thickBot="1">
      <c r="B44" s="1563" t="s">
        <v>2085</v>
      </c>
      <c r="C44" s="1563"/>
      <c r="D44" s="1563"/>
      <c r="E44" s="1563"/>
      <c r="F44" s="1563"/>
      <c r="G44" s="1563" t="str">
        <f>IFERROR(G20/G43,"NA")</f>
        <v>NA</v>
      </c>
      <c r="H44" s="1057"/>
      <c r="I44" s="1601" t="s">
        <v>2086</v>
      </c>
      <c r="J44" s="1616">
        <f>SUM(J40:J43)</f>
        <v>-165</v>
      </c>
      <c r="K44" s="1616">
        <f>SUM(K40:K43)</f>
        <v>0</v>
      </c>
      <c r="L44" s="1616">
        <f>SUM(L40:L43)</f>
        <v>0</v>
      </c>
      <c r="M44" s="1616">
        <f>SUM(M40:M43)</f>
        <v>553</v>
      </c>
      <c r="N44" s="1057"/>
      <c r="O44" s="1611" t="s">
        <v>2087</v>
      </c>
      <c r="P44" s="1563"/>
      <c r="Q44" s="1563"/>
      <c r="R44" s="1563"/>
      <c r="S44" s="1563"/>
      <c r="T44" s="1576"/>
      <c r="U44" s="1057"/>
      <c r="V44" s="1057"/>
      <c r="W44" s="1057"/>
      <c r="X44" s="1057"/>
      <c r="Y44" s="1057"/>
    </row>
    <row r="45" spans="2:25" ht="17.25" thickTop="1">
      <c r="B45" s="1563"/>
      <c r="C45" s="1563"/>
      <c r="D45" s="1563"/>
      <c r="E45" s="1563"/>
      <c r="F45" s="1563"/>
      <c r="G45" s="1563"/>
      <c r="H45" s="1057"/>
      <c r="I45" s="1602" t="s">
        <v>2059</v>
      </c>
      <c r="J45" s="1603">
        <f>IFERROR(J44/J$8,"")</f>
        <v>-7.7319587628865982E-2</v>
      </c>
      <c r="K45" s="1603" t="str">
        <f>IFERROR(K44/K$8,"")</f>
        <v/>
      </c>
      <c r="L45" s="1603" t="str">
        <f>IFERROR(L44/L$8,"")</f>
        <v/>
      </c>
      <c r="M45" s="1603">
        <f>IFERROR(M44/M$8,"")</f>
        <v>0.25913776944704781</v>
      </c>
      <c r="N45" s="1057"/>
      <c r="O45" s="1580" t="s">
        <v>2088</v>
      </c>
      <c r="P45" s="1563"/>
      <c r="Q45" s="1563"/>
      <c r="R45" s="1563"/>
      <c r="S45" s="1563"/>
      <c r="T45" s="1583">
        <f>SUM(T41:T44)</f>
        <v>5858.2120999999997</v>
      </c>
      <c r="U45" s="1057"/>
      <c r="V45" s="1057"/>
      <c r="W45" s="1057"/>
      <c r="X45" s="1057"/>
      <c r="Y45" s="1057"/>
    </row>
    <row r="46" spans="2:25">
      <c r="B46" s="1617" t="s">
        <v>2089</v>
      </c>
      <c r="C46" s="1563"/>
      <c r="D46" s="1563"/>
      <c r="E46" s="1563"/>
      <c r="F46" s="1563"/>
      <c r="G46" s="1617" t="s">
        <v>1100</v>
      </c>
      <c r="H46" s="1057"/>
      <c r="I46" s="1592"/>
      <c r="J46" s="1595"/>
      <c r="K46" s="1595"/>
      <c r="L46" s="1595"/>
      <c r="M46" s="1563"/>
      <c r="N46" s="1057"/>
      <c r="O46" s="1580"/>
      <c r="P46" s="1563"/>
      <c r="Q46" s="1563"/>
      <c r="R46" s="1563"/>
      <c r="S46" s="1563"/>
      <c r="T46" s="1615"/>
      <c r="U46" s="1057"/>
      <c r="V46" s="1057"/>
      <c r="W46" s="1057"/>
      <c r="X46" s="1057"/>
      <c r="Y46" s="1057"/>
    </row>
    <row r="47" spans="2:25">
      <c r="B47" s="1563" t="s">
        <v>2090</v>
      </c>
      <c r="C47" s="1563"/>
      <c r="D47" s="1563"/>
      <c r="E47" s="1618"/>
      <c r="F47" s="1563"/>
      <c r="G47" s="1563" t="str">
        <f>IFERROR(E47/$H$47-1,"NA")</f>
        <v>NA</v>
      </c>
      <c r="H47" s="1057"/>
      <c r="I47" s="1592" t="s">
        <v>2091</v>
      </c>
      <c r="J47" s="1619" t="str">
        <f>IFERROR(J44/J20,"NA")</f>
        <v>NA</v>
      </c>
      <c r="K47" s="1619" t="str">
        <f>IFERROR(K44/K20,"NA")</f>
        <v>NA</v>
      </c>
      <c r="L47" s="1619" t="str">
        <f>IFERROR(L44/L20,"NA")</f>
        <v>NA</v>
      </c>
      <c r="M47" s="1619" t="str">
        <f>IFERROR(M44/M20,"NA")</f>
        <v>NA</v>
      </c>
      <c r="N47" s="1057"/>
      <c r="O47" s="1563" t="s">
        <v>2092</v>
      </c>
      <c r="P47" s="1563"/>
      <c r="Q47" s="1563"/>
      <c r="R47" s="1563"/>
      <c r="S47" s="1563"/>
      <c r="T47" s="1577">
        <f>SUM(T19,T22)</f>
        <v>18662</v>
      </c>
      <c r="U47" s="1057"/>
      <c r="V47" s="1057"/>
      <c r="W47" s="1057"/>
      <c r="X47" s="1057"/>
      <c r="Y47" s="1057"/>
    </row>
    <row r="48" spans="2:25">
      <c r="B48" s="1617" t="s">
        <v>2093</v>
      </c>
      <c r="C48" s="1563"/>
      <c r="D48" s="1563"/>
      <c r="E48" s="1563"/>
      <c r="F48" s="1563"/>
      <c r="G48" s="1563"/>
      <c r="H48" s="1057"/>
      <c r="I48" s="1057"/>
      <c r="J48" s="1057"/>
      <c r="K48" s="1057"/>
      <c r="L48" s="1057"/>
      <c r="M48" s="1057"/>
      <c r="N48" s="1057"/>
      <c r="O48" s="1563" t="s">
        <v>2094</v>
      </c>
      <c r="P48" s="1563"/>
      <c r="Q48" s="1563"/>
      <c r="R48" s="1563"/>
      <c r="S48" s="1563"/>
      <c r="T48" s="1577"/>
      <c r="U48" s="1057"/>
      <c r="V48" s="1057"/>
      <c r="W48" s="1057"/>
      <c r="X48" s="1057"/>
      <c r="Y48" s="1057"/>
    </row>
    <row r="49" spans="2:25">
      <c r="B49" s="1563" t="s">
        <v>2095</v>
      </c>
      <c r="C49" s="1563"/>
      <c r="D49" s="1563"/>
      <c r="E49" s="1618"/>
      <c r="F49" s="1563"/>
      <c r="G49" s="1563" t="str">
        <f>IFERROR(E49/$H$47-1,"NA")</f>
        <v>NA</v>
      </c>
      <c r="H49" s="1057"/>
      <c r="I49" s="1562" t="s">
        <v>2096</v>
      </c>
      <c r="J49" s="1562"/>
      <c r="K49" s="1562"/>
      <c r="L49" s="1562"/>
      <c r="M49" s="1562"/>
      <c r="N49" s="1057"/>
      <c r="O49" s="1611" t="s">
        <v>2097</v>
      </c>
      <c r="P49" s="1563"/>
      <c r="Q49" s="1563"/>
      <c r="R49" s="1563"/>
      <c r="S49" s="1563"/>
      <c r="T49" s="1576"/>
      <c r="U49" s="1057"/>
      <c r="V49" s="1057"/>
      <c r="W49" s="1057"/>
      <c r="X49" s="1057"/>
      <c r="Y49" s="1057"/>
    </row>
    <row r="50" spans="2:25">
      <c r="B50" s="1563" t="s">
        <v>2098</v>
      </c>
      <c r="C50" s="1563"/>
      <c r="D50" s="1563"/>
      <c r="E50" s="1618"/>
      <c r="F50" s="1563"/>
      <c r="G50" s="1563" t="str">
        <f>IFERROR(E50/$H$47-1,"NA")</f>
        <v>NA</v>
      </c>
      <c r="H50" s="1057"/>
      <c r="I50" s="1563" t="s">
        <v>288</v>
      </c>
      <c r="J50" s="1596">
        <f>J35</f>
        <v>832</v>
      </c>
      <c r="K50" s="1596">
        <f>K35</f>
        <v>0</v>
      </c>
      <c r="L50" s="1596">
        <f>L35</f>
        <v>0</v>
      </c>
      <c r="M50" s="1596">
        <f>M35</f>
        <v>832</v>
      </c>
      <c r="N50" s="1057"/>
      <c r="O50" s="1611" t="s">
        <v>2099</v>
      </c>
      <c r="P50" s="1563"/>
      <c r="Q50" s="1563"/>
      <c r="R50" s="1563"/>
      <c r="S50" s="1563"/>
      <c r="T50" s="1576"/>
      <c r="U50" s="1057"/>
      <c r="V50" s="1057"/>
      <c r="W50" s="1057"/>
      <c r="X50" s="1057"/>
      <c r="Y50" s="1057"/>
    </row>
    <row r="51" spans="2:25">
      <c r="B51" s="1563" t="s">
        <v>2100</v>
      </c>
      <c r="C51" s="1563"/>
      <c r="D51" s="1563"/>
      <c r="E51" s="1618"/>
      <c r="F51" s="1563"/>
      <c r="G51" s="1563" t="str">
        <f>IFERROR(E51/$H$47-1,"NA")</f>
        <v>NA</v>
      </c>
      <c r="H51" s="1057"/>
      <c r="I51" s="1602" t="s">
        <v>2101</v>
      </c>
      <c r="J51" s="1603">
        <f>IFERROR(J35/J$8,"")</f>
        <v>0.38987816307403939</v>
      </c>
      <c r="K51" s="1603" t="str">
        <f t="shared" ref="K51:M57" si="0">IFERROR(K35/K$8,"")</f>
        <v/>
      </c>
      <c r="L51" s="1603" t="str">
        <f t="shared" si="0"/>
        <v/>
      </c>
      <c r="M51" s="1603">
        <f t="shared" si="0"/>
        <v>0.38987816307403939</v>
      </c>
      <c r="N51" s="1057"/>
      <c r="O51" s="1580" t="s">
        <v>2102</v>
      </c>
      <c r="P51" s="1563"/>
      <c r="Q51" s="1563"/>
      <c r="R51" s="1563"/>
      <c r="S51" s="1563"/>
      <c r="T51" s="1585">
        <f>SUM(T45:T50)</f>
        <v>24520.212100000001</v>
      </c>
      <c r="U51" s="1057"/>
      <c r="V51" s="1057"/>
      <c r="W51" s="1057"/>
      <c r="X51" s="1057"/>
      <c r="Y51" s="1057"/>
    </row>
    <row r="52" spans="2:25">
      <c r="B52" s="1057"/>
      <c r="C52" s="1057"/>
      <c r="D52" s="1057"/>
      <c r="E52" s="1057"/>
      <c r="F52" s="1057"/>
      <c r="G52" s="1057"/>
      <c r="H52" s="1057"/>
      <c r="I52" s="1563" t="s">
        <v>2103</v>
      </c>
      <c r="J52" s="1596">
        <v>0</v>
      </c>
      <c r="K52" s="1596">
        <v>0</v>
      </c>
      <c r="L52" s="1596">
        <v>0</v>
      </c>
      <c r="M52" s="1596">
        <v>0</v>
      </c>
      <c r="N52" s="1057"/>
      <c r="O52" s="1563"/>
      <c r="P52" s="1563"/>
      <c r="Q52" s="1563"/>
      <c r="R52" s="1563"/>
      <c r="S52" s="1563"/>
      <c r="T52" s="1577"/>
      <c r="U52" s="1057"/>
      <c r="V52" s="1057"/>
      <c r="W52" s="1057"/>
      <c r="X52" s="1057"/>
      <c r="Y52" s="1057"/>
    </row>
    <row r="53" spans="2:25">
      <c r="B53" s="1562" t="s">
        <v>2104</v>
      </c>
      <c r="C53" s="1562"/>
      <c r="D53" s="1562"/>
      <c r="E53" s="1562"/>
      <c r="F53" s="1562"/>
      <c r="G53" s="1562"/>
      <c r="H53" s="1057"/>
      <c r="I53" s="1602" t="s">
        <v>2101</v>
      </c>
      <c r="J53" s="1603">
        <f>IFERROR(J37/J$8,"")</f>
        <v>2.2442026229502437E-4</v>
      </c>
      <c r="K53" s="1603" t="str">
        <f t="shared" si="0"/>
        <v/>
      </c>
      <c r="L53" s="1603" t="str">
        <f t="shared" si="0"/>
        <v/>
      </c>
      <c r="M53" s="1603">
        <f t="shared" si="0"/>
        <v>2.2442026229502437E-4</v>
      </c>
      <c r="N53" s="1057"/>
      <c r="O53" s="1563" t="s">
        <v>2105</v>
      </c>
      <c r="P53" s="1563"/>
      <c r="Q53" s="1563"/>
      <c r="R53" s="1563"/>
      <c r="S53" s="1563"/>
      <c r="T53" s="1577">
        <f>SUM(T25:T27)</f>
        <v>-14043.212100000001</v>
      </c>
      <c r="U53" s="1057"/>
      <c r="V53" s="1057"/>
      <c r="W53" s="1057"/>
      <c r="X53" s="1057"/>
      <c r="Y53" s="1057"/>
    </row>
    <row r="54" spans="2:25">
      <c r="B54" s="1620" t="s">
        <v>2106</v>
      </c>
      <c r="C54" s="1620"/>
      <c r="D54" s="1620"/>
      <c r="E54" s="1620"/>
      <c r="F54" s="1620"/>
      <c r="G54" s="1620"/>
      <c r="H54" s="1057"/>
      <c r="I54" s="1563" t="s">
        <v>2107</v>
      </c>
      <c r="J54" s="1596">
        <v>0</v>
      </c>
      <c r="K54" s="1596">
        <v>0</v>
      </c>
      <c r="L54" s="1596">
        <v>0</v>
      </c>
      <c r="M54" s="1596">
        <v>0</v>
      </c>
      <c r="N54" s="1057"/>
      <c r="O54" s="1563" t="s">
        <v>2108</v>
      </c>
      <c r="P54" s="1563"/>
      <c r="Q54" s="1563"/>
      <c r="R54" s="1563"/>
      <c r="S54" s="1563"/>
      <c r="T54" s="1577"/>
      <c r="U54" s="1057"/>
      <c r="V54" s="1057"/>
      <c r="W54" s="1057"/>
      <c r="X54" s="1057"/>
      <c r="Y54" s="1057"/>
    </row>
    <row r="55" spans="2:25">
      <c r="B55" s="1621"/>
      <c r="C55" s="1621"/>
      <c r="D55" s="1621"/>
      <c r="E55" s="1621"/>
      <c r="F55" s="1621"/>
      <c r="G55" s="1621"/>
      <c r="H55" s="1057"/>
      <c r="I55" s="1602" t="s">
        <v>2101</v>
      </c>
      <c r="J55" s="1603">
        <f>IFERROR(J39/J$8,"")</f>
        <v>0</v>
      </c>
      <c r="K55" s="1603" t="str">
        <f t="shared" si="0"/>
        <v/>
      </c>
      <c r="L55" s="1603" t="str">
        <f t="shared" si="0"/>
        <v/>
      </c>
      <c r="M55" s="1603">
        <f t="shared" si="0"/>
        <v>0</v>
      </c>
      <c r="N55" s="1057"/>
      <c r="O55" s="1563" t="s">
        <v>2109</v>
      </c>
      <c r="P55" s="1563"/>
      <c r="Q55" s="1563"/>
      <c r="R55" s="1563"/>
      <c r="S55" s="1563"/>
      <c r="T55" s="1577">
        <f>SUM(T34:T38)-SUM(T43:T44,T49:T50)</f>
        <v>-7888</v>
      </c>
      <c r="U55" s="1057"/>
      <c r="V55" s="1057"/>
      <c r="W55" s="1057"/>
      <c r="X55" s="1057"/>
      <c r="Y55" s="1057"/>
    </row>
    <row r="56" spans="2:25">
      <c r="B56" s="1621"/>
      <c r="C56" s="1621"/>
      <c r="D56" s="1621"/>
      <c r="E56" s="1621"/>
      <c r="F56" s="1621"/>
      <c r="G56" s="1621"/>
      <c r="H56" s="1057"/>
      <c r="I56" s="1563" t="s">
        <v>1284</v>
      </c>
      <c r="J56" s="1596">
        <v>0</v>
      </c>
      <c r="K56" s="1596">
        <v>0</v>
      </c>
      <c r="L56" s="1596">
        <v>0</v>
      </c>
      <c r="M56" s="1596">
        <v>0</v>
      </c>
      <c r="N56" s="1057"/>
      <c r="O56" s="1580" t="s">
        <v>2110</v>
      </c>
      <c r="P56" s="1563"/>
      <c r="Q56" s="1563"/>
      <c r="R56" s="1563"/>
      <c r="S56" s="1563"/>
      <c r="T56" s="1585">
        <f>SUM(T53:T55)</f>
        <v>-21931.212100000001</v>
      </c>
      <c r="U56" s="1057"/>
      <c r="V56" s="1057"/>
      <c r="W56" s="1057"/>
      <c r="X56" s="1057"/>
      <c r="Y56" s="1057"/>
    </row>
    <row r="57" spans="2:25">
      <c r="B57" s="1621"/>
      <c r="C57" s="1621"/>
      <c r="D57" s="1621"/>
      <c r="E57" s="1621"/>
      <c r="F57" s="1621"/>
      <c r="G57" s="1621"/>
      <c r="H57" s="1057"/>
      <c r="I57" s="1602" t="s">
        <v>2101</v>
      </c>
      <c r="J57" s="1603">
        <f>IFERROR(J41/J$8,"")</f>
        <v>0</v>
      </c>
      <c r="K57" s="1603" t="str">
        <f t="shared" si="0"/>
        <v/>
      </c>
      <c r="L57" s="1603" t="str">
        <f t="shared" si="0"/>
        <v/>
      </c>
      <c r="M57" s="1603">
        <f t="shared" si="0"/>
        <v>0</v>
      </c>
      <c r="N57" s="1057"/>
      <c r="O57" s="1580" t="s">
        <v>2111</v>
      </c>
      <c r="P57" s="1563"/>
      <c r="Q57" s="1563"/>
      <c r="R57" s="1563"/>
      <c r="S57" s="1563"/>
      <c r="T57" s="1585">
        <f>T51+T56</f>
        <v>2589</v>
      </c>
      <c r="U57" s="1057"/>
      <c r="V57" s="1057"/>
      <c r="W57" s="1057"/>
      <c r="X57" s="1057"/>
      <c r="Y57" s="1057"/>
    </row>
    <row r="58" spans="2:25">
      <c r="B58" s="1621"/>
      <c r="C58" s="1621"/>
      <c r="D58" s="1621"/>
      <c r="E58" s="1621"/>
      <c r="F58" s="1621"/>
      <c r="G58" s="1621"/>
      <c r="H58" s="1057"/>
      <c r="I58" s="1057"/>
      <c r="J58" s="1057"/>
      <c r="K58" s="1057"/>
      <c r="L58" s="1057"/>
      <c r="M58" s="1057"/>
      <c r="N58" s="1057"/>
      <c r="O58" s="1607" t="s">
        <v>376</v>
      </c>
      <c r="P58" s="1607"/>
      <c r="Q58" s="1607"/>
      <c r="R58" s="1607"/>
      <c r="S58" s="1607"/>
      <c r="T58" s="1607" t="b">
        <f>T57=T39</f>
        <v>1</v>
      </c>
      <c r="U58" s="1057"/>
      <c r="V58" s="1057"/>
      <c r="W58" s="1057"/>
      <c r="X58" s="1057"/>
      <c r="Y58" s="1057"/>
    </row>
    <row r="59" spans="2:25">
      <c r="B59" s="1621"/>
      <c r="C59" s="1621"/>
      <c r="D59" s="1621"/>
      <c r="E59" s="1621"/>
      <c r="F59" s="1621"/>
      <c r="G59" s="1621"/>
      <c r="H59" s="1057"/>
      <c r="I59" s="1562" t="s">
        <v>2112</v>
      </c>
      <c r="J59" s="1562"/>
      <c r="K59" s="1562"/>
      <c r="L59" s="1562"/>
      <c r="M59" s="1562"/>
      <c r="N59" s="1057"/>
      <c r="O59" s="1057"/>
      <c r="P59" s="1057"/>
      <c r="Q59" s="1057"/>
      <c r="R59" s="1057"/>
      <c r="S59" s="1057"/>
      <c r="T59" s="1057"/>
      <c r="U59" s="1057"/>
      <c r="V59" s="1057"/>
      <c r="W59" s="1057"/>
      <c r="X59" s="1057"/>
      <c r="Y59" s="1057"/>
    </row>
    <row r="60" spans="2:25">
      <c r="B60" s="1621"/>
      <c r="C60" s="1621"/>
      <c r="D60" s="1621"/>
      <c r="E60" s="1621"/>
      <c r="F60" s="1621"/>
      <c r="G60" s="1621"/>
      <c r="H60" s="1057"/>
      <c r="I60" s="1593"/>
      <c r="J60" s="1622"/>
      <c r="K60" s="1622"/>
      <c r="L60" s="1622"/>
      <c r="M60" s="1622"/>
      <c r="N60" s="1057"/>
      <c r="O60" s="1562" t="s">
        <v>2113</v>
      </c>
      <c r="P60" s="1562"/>
      <c r="Q60" s="1562"/>
      <c r="R60" s="1562"/>
      <c r="S60" s="1562"/>
      <c r="T60" s="1562"/>
      <c r="U60" s="1057"/>
      <c r="V60" s="1057"/>
      <c r="W60" s="1057"/>
      <c r="X60" s="1057"/>
      <c r="Y60" s="1057"/>
    </row>
    <row r="61" spans="2:25">
      <c r="B61" s="1621"/>
      <c r="C61" s="1621"/>
      <c r="D61" s="1621"/>
      <c r="E61" s="1621"/>
      <c r="F61" s="1621"/>
      <c r="G61" s="1621"/>
      <c r="H61" s="1057"/>
      <c r="I61" s="1623"/>
      <c r="J61" s="1624"/>
      <c r="K61" s="1624"/>
      <c r="L61" s="1624"/>
      <c r="M61" s="1624"/>
      <c r="N61" s="1057"/>
      <c r="O61" s="1563" t="s">
        <v>2114</v>
      </c>
      <c r="P61" s="1563"/>
      <c r="Q61" s="1563"/>
      <c r="R61" s="1563"/>
      <c r="S61" s="1563"/>
      <c r="T61" s="1563"/>
      <c r="U61" s="1057"/>
      <c r="V61" s="1057"/>
      <c r="W61" s="1057"/>
      <c r="X61" s="1057"/>
      <c r="Y61" s="1057"/>
    </row>
    <row r="62" spans="2:25">
      <c r="B62" s="1621"/>
      <c r="C62" s="1621"/>
      <c r="D62" s="1621"/>
      <c r="E62" s="1621"/>
      <c r="F62" s="1621"/>
      <c r="G62" s="1621"/>
      <c r="H62" s="1057"/>
      <c r="I62" s="1593"/>
      <c r="J62" s="1622"/>
      <c r="K62" s="1622"/>
      <c r="L62" s="1622"/>
      <c r="M62" s="1622"/>
      <c r="N62" s="1057"/>
      <c r="O62" s="1592" t="s">
        <v>2115</v>
      </c>
      <c r="P62" s="1563"/>
      <c r="Q62" s="1563"/>
      <c r="R62" s="1563"/>
      <c r="S62" s="1563"/>
      <c r="T62" s="1609">
        <f>T73</f>
        <v>0</v>
      </c>
      <c r="U62" s="1057"/>
      <c r="V62" s="1057"/>
      <c r="W62" s="1057"/>
      <c r="X62" s="1057"/>
      <c r="Y62" s="1057"/>
    </row>
    <row r="63" spans="2:25">
      <c r="B63" s="1621"/>
      <c r="C63" s="1621"/>
      <c r="D63" s="1621"/>
      <c r="E63" s="1621"/>
      <c r="F63" s="1621"/>
      <c r="G63" s="1621"/>
      <c r="H63" s="1057"/>
      <c r="I63" s="1623"/>
      <c r="J63" s="1624"/>
      <c r="K63" s="1624"/>
      <c r="L63" s="1624"/>
      <c r="M63" s="1624"/>
      <c r="N63" s="1057"/>
      <c r="O63" s="1563" t="s">
        <v>2116</v>
      </c>
      <c r="P63" s="1563"/>
      <c r="Q63" s="1563"/>
      <c r="R63" s="1563"/>
      <c r="S63" s="1563"/>
      <c r="T63" s="1609">
        <f>T81</f>
        <v>0</v>
      </c>
      <c r="U63" s="1057"/>
      <c r="V63" s="1057"/>
      <c r="W63" s="1057"/>
      <c r="X63" s="1057"/>
      <c r="Y63" s="1057"/>
    </row>
    <row r="64" spans="2:25">
      <c r="B64" s="1621"/>
      <c r="C64" s="1621"/>
      <c r="D64" s="1621"/>
      <c r="E64" s="1621"/>
      <c r="F64" s="1621"/>
      <c r="G64" s="1621"/>
      <c r="H64" s="1057"/>
      <c r="I64" s="1593"/>
      <c r="J64" s="1622"/>
      <c r="K64" s="1622"/>
      <c r="L64" s="1622"/>
      <c r="M64" s="1622"/>
      <c r="N64" s="1057"/>
      <c r="O64" s="1580" t="s">
        <v>2117</v>
      </c>
      <c r="P64" s="1563"/>
      <c r="Q64" s="1563"/>
      <c r="R64" s="1563"/>
      <c r="S64" s="1563"/>
      <c r="T64" s="1577">
        <f>SUM(T61:T63)</f>
        <v>0</v>
      </c>
      <c r="U64" s="1057"/>
      <c r="V64" s="1057"/>
      <c r="W64" s="1057"/>
      <c r="X64" s="1057"/>
      <c r="Y64" s="1057"/>
    </row>
    <row r="65" spans="2:25">
      <c r="B65" s="1621"/>
      <c r="C65" s="1621"/>
      <c r="D65" s="1621"/>
      <c r="E65" s="1621"/>
      <c r="F65" s="1621"/>
      <c r="G65" s="1621"/>
      <c r="H65" s="1057"/>
      <c r="I65" s="1623"/>
      <c r="J65" s="1624"/>
      <c r="K65" s="1624"/>
      <c r="L65" s="1624"/>
      <c r="M65" s="1624"/>
      <c r="N65" s="1057"/>
      <c r="O65" s="1563"/>
      <c r="P65" s="1563"/>
      <c r="Q65" s="1563"/>
      <c r="R65" s="1563"/>
      <c r="S65" s="1563"/>
      <c r="T65" s="1563"/>
      <c r="U65" s="1057"/>
      <c r="V65" s="1057"/>
      <c r="W65" s="1057"/>
      <c r="X65" s="1057"/>
      <c r="Y65" s="1057"/>
    </row>
    <row r="66" spans="2:25">
      <c r="B66" s="1621"/>
      <c r="C66" s="1621"/>
      <c r="D66" s="1621"/>
      <c r="E66" s="1621"/>
      <c r="F66" s="1621"/>
      <c r="G66" s="1621"/>
      <c r="H66" s="1057"/>
      <c r="I66" s="1593"/>
      <c r="J66" s="1622"/>
      <c r="K66" s="1622"/>
      <c r="L66" s="1622"/>
      <c r="M66" s="1622"/>
      <c r="N66" s="1057"/>
      <c r="O66" s="1625" t="s">
        <v>2118</v>
      </c>
      <c r="P66" s="1626"/>
      <c r="Q66" s="1626"/>
      <c r="R66" s="1626"/>
      <c r="S66" s="1626"/>
      <c r="T66" s="1626"/>
      <c r="U66" s="1057"/>
      <c r="V66" s="1057"/>
      <c r="W66" s="1057"/>
      <c r="X66" s="1057"/>
      <c r="Y66" s="1057"/>
    </row>
    <row r="67" spans="2:25">
      <c r="B67" s="1621"/>
      <c r="C67" s="1621"/>
      <c r="D67" s="1621"/>
      <c r="E67" s="1621"/>
      <c r="F67" s="1621"/>
      <c r="G67" s="1621"/>
      <c r="H67" s="1057"/>
      <c r="I67" s="1593"/>
      <c r="J67" s="1622"/>
      <c r="K67" s="1622"/>
      <c r="L67" s="1622"/>
      <c r="M67" s="1622"/>
      <c r="N67" s="1057"/>
      <c r="O67" s="1563"/>
      <c r="P67" s="1563"/>
      <c r="Q67" s="1595" t="s">
        <v>2119</v>
      </c>
      <c r="R67" s="1595" t="s">
        <v>2120</v>
      </c>
      <c r="S67" s="1595" t="s">
        <v>2121</v>
      </c>
      <c r="T67" s="1595" t="s">
        <v>2122</v>
      </c>
      <c r="U67" s="1057"/>
      <c r="V67" s="1057"/>
      <c r="W67" s="1057"/>
      <c r="X67" s="1057"/>
      <c r="Y67" s="1057"/>
    </row>
    <row r="68" spans="2:25">
      <c r="B68" s="1621"/>
      <c r="C68" s="1621"/>
      <c r="D68" s="1621"/>
      <c r="E68" s="1621"/>
      <c r="F68" s="1621"/>
      <c r="G68" s="1621"/>
      <c r="H68" s="1057"/>
      <c r="I68" s="1593"/>
      <c r="J68" s="1622"/>
      <c r="K68" s="1622"/>
      <c r="L68" s="1622"/>
      <c r="M68" s="1622"/>
      <c r="N68" s="1057"/>
      <c r="O68" s="1563"/>
      <c r="P68" s="1563"/>
      <c r="Q68" s="1595" t="s">
        <v>2123</v>
      </c>
      <c r="R68" s="1595" t="s">
        <v>953</v>
      </c>
      <c r="S68" s="1595" t="s">
        <v>2124</v>
      </c>
      <c r="T68" s="1595" t="s">
        <v>2125</v>
      </c>
      <c r="U68" s="1057"/>
      <c r="V68" s="1057"/>
      <c r="W68" s="1057"/>
      <c r="X68" s="1057"/>
      <c r="Y68" s="1057"/>
    </row>
    <row r="69" spans="2:25">
      <c r="B69" s="1621"/>
      <c r="C69" s="1621"/>
      <c r="D69" s="1621"/>
      <c r="E69" s="1621"/>
      <c r="F69" s="1621"/>
      <c r="G69" s="1621"/>
      <c r="H69" s="1057"/>
      <c r="I69" s="1593"/>
      <c r="J69" s="1622"/>
      <c r="K69" s="1622"/>
      <c r="L69" s="1622"/>
      <c r="M69" s="1622"/>
      <c r="N69" s="1057"/>
      <c r="O69" s="1563" t="s">
        <v>2126</v>
      </c>
      <c r="P69" s="1563"/>
      <c r="Q69" s="1593"/>
      <c r="R69" s="1593"/>
      <c r="S69" s="1627">
        <f>IF(R69&lt;$H$21,Q69,0)</f>
        <v>0</v>
      </c>
      <c r="T69" s="1577">
        <f>IFERROR(S69*(1-(R69/$H$21)),0)</f>
        <v>0</v>
      </c>
      <c r="U69" s="1057"/>
      <c r="V69" s="1057"/>
      <c r="W69" s="1057"/>
      <c r="X69" s="1057"/>
      <c r="Y69" s="1057"/>
    </row>
    <row r="70" spans="2:25">
      <c r="B70" s="1621"/>
      <c r="C70" s="1621"/>
      <c r="D70" s="1621"/>
      <c r="E70" s="1621"/>
      <c r="F70" s="1621"/>
      <c r="G70" s="1621"/>
      <c r="H70" s="1057"/>
      <c r="I70" s="1593"/>
      <c r="J70" s="1622"/>
      <c r="K70" s="1622"/>
      <c r="L70" s="1622"/>
      <c r="M70" s="1622"/>
      <c r="N70" s="1057"/>
      <c r="O70" s="1563" t="s">
        <v>2127</v>
      </c>
      <c r="P70" s="1563"/>
      <c r="Q70" s="1593"/>
      <c r="R70" s="1593"/>
      <c r="S70" s="1627">
        <f>IF(R70&lt;$H$21,Q70,0)</f>
        <v>0</v>
      </c>
      <c r="T70" s="1577">
        <f>IFERROR(S70*(1-(R70/$H$21)),0)</f>
        <v>0</v>
      </c>
      <c r="U70" s="1057"/>
      <c r="V70" s="1057"/>
      <c r="W70" s="1057"/>
      <c r="X70" s="1057"/>
      <c r="Y70" s="1057"/>
    </row>
    <row r="71" spans="2:25">
      <c r="B71" s="1621"/>
      <c r="C71" s="1621"/>
      <c r="D71" s="1621"/>
      <c r="E71" s="1621"/>
      <c r="F71" s="1621"/>
      <c r="G71" s="1621"/>
      <c r="H71" s="1057"/>
      <c r="I71" s="1593"/>
      <c r="J71" s="1622"/>
      <c r="K71" s="1622"/>
      <c r="L71" s="1622"/>
      <c r="M71" s="1622"/>
      <c r="N71" s="1057"/>
      <c r="O71" s="1563" t="s">
        <v>2128</v>
      </c>
      <c r="P71" s="1563"/>
      <c r="Q71" s="1593"/>
      <c r="R71" s="1593"/>
      <c r="S71" s="1627">
        <f>IF(R71&lt;$H$21,Q71,0)</f>
        <v>0</v>
      </c>
      <c r="T71" s="1577">
        <f>IFERROR(S71*(1-(R71/$H$21)),0)</f>
        <v>0</v>
      </c>
      <c r="U71" s="1057"/>
      <c r="V71" s="1057"/>
      <c r="W71" s="1057"/>
      <c r="X71" s="1057"/>
      <c r="Y71" s="1057"/>
    </row>
    <row r="72" spans="2:25">
      <c r="B72" s="1621"/>
      <c r="C72" s="1621"/>
      <c r="D72" s="1621"/>
      <c r="E72" s="1621"/>
      <c r="F72" s="1621"/>
      <c r="G72" s="1621"/>
      <c r="H72" s="1057"/>
      <c r="I72" s="1593"/>
      <c r="J72" s="1622"/>
      <c r="K72" s="1622"/>
      <c r="L72" s="1622"/>
      <c r="M72" s="1622"/>
      <c r="N72" s="1057"/>
      <c r="O72" s="1563" t="s">
        <v>2129</v>
      </c>
      <c r="P72" s="1563"/>
      <c r="Q72" s="1593"/>
      <c r="R72" s="1593"/>
      <c r="S72" s="1627">
        <f>IF(R72&lt;$H$21,Q72,0)</f>
        <v>0</v>
      </c>
      <c r="T72" s="1577">
        <f>IFERROR(S72*(1-(R72/$H$21)),0)</f>
        <v>0</v>
      </c>
      <c r="U72" s="1057"/>
      <c r="V72" s="1057"/>
      <c r="W72" s="1057"/>
      <c r="X72" s="1057"/>
      <c r="Y72" s="1057"/>
    </row>
    <row r="73" spans="2:25">
      <c r="B73" s="1621"/>
      <c r="C73" s="1621"/>
      <c r="D73" s="1621"/>
      <c r="E73" s="1621"/>
      <c r="F73" s="1621"/>
      <c r="G73" s="1621"/>
      <c r="H73" s="1057"/>
      <c r="I73" s="1593"/>
      <c r="J73" s="1622"/>
      <c r="K73" s="1622"/>
      <c r="L73" s="1622"/>
      <c r="M73" s="1622"/>
      <c r="N73" s="1057"/>
      <c r="O73" s="1580" t="s">
        <v>647</v>
      </c>
      <c r="P73" s="1563"/>
      <c r="Q73" s="1628"/>
      <c r="R73" s="1628"/>
      <c r="S73" s="1628"/>
      <c r="T73" s="1629">
        <f>SUM(T69:T72)</f>
        <v>0</v>
      </c>
      <c r="U73" s="1057"/>
      <c r="V73" s="1057"/>
      <c r="W73" s="1057"/>
      <c r="X73" s="1057"/>
      <c r="Y73" s="1057"/>
    </row>
    <row r="74" spans="2:25">
      <c r="B74" s="1621"/>
      <c r="C74" s="1621"/>
      <c r="D74" s="1621"/>
      <c r="E74" s="1621"/>
      <c r="F74" s="1621"/>
      <c r="G74" s="1621"/>
      <c r="H74" s="1057"/>
      <c r="I74" s="1593"/>
      <c r="J74" s="1622"/>
      <c r="K74" s="1622"/>
      <c r="L74" s="1622"/>
      <c r="M74" s="1622"/>
      <c r="N74" s="1057"/>
      <c r="O74" s="1563"/>
      <c r="P74" s="1563"/>
      <c r="Q74" s="1563"/>
      <c r="R74" s="1563"/>
      <c r="S74" s="1563"/>
      <c r="T74" s="1563"/>
      <c r="U74" s="1057"/>
      <c r="V74" s="1057"/>
      <c r="W74" s="1057"/>
      <c r="X74" s="1057"/>
      <c r="Y74" s="1057"/>
    </row>
    <row r="75" spans="2:25">
      <c r="B75" s="1621"/>
      <c r="C75" s="1621"/>
      <c r="D75" s="1621"/>
      <c r="E75" s="1621"/>
      <c r="F75" s="1621"/>
      <c r="G75" s="1621"/>
      <c r="H75" s="1057"/>
      <c r="I75" s="1593"/>
      <c r="J75" s="1622"/>
      <c r="K75" s="1622"/>
      <c r="L75" s="1622"/>
      <c r="M75" s="1622"/>
      <c r="N75" s="1057"/>
      <c r="O75" s="1625" t="s">
        <v>2130</v>
      </c>
      <c r="P75" s="1626"/>
      <c r="Q75" s="1626"/>
      <c r="R75" s="1626"/>
      <c r="S75" s="1626"/>
      <c r="T75" s="1626"/>
      <c r="U75" s="1057"/>
      <c r="V75" s="1057"/>
      <c r="W75" s="1057"/>
      <c r="X75" s="1057"/>
      <c r="Y75" s="1057"/>
    </row>
    <row r="76" spans="2:25">
      <c r="B76" s="1621"/>
      <c r="C76" s="1621"/>
      <c r="D76" s="1621"/>
      <c r="E76" s="1621"/>
      <c r="F76" s="1621"/>
      <c r="G76" s="1621"/>
      <c r="H76" s="1057"/>
      <c r="I76" s="1593"/>
      <c r="J76" s="1622"/>
      <c r="K76" s="1622"/>
      <c r="L76" s="1622"/>
      <c r="M76" s="1622"/>
      <c r="N76" s="1057"/>
      <c r="O76" s="1563"/>
      <c r="P76" s="1595"/>
      <c r="Q76" s="1595" t="s">
        <v>2131</v>
      </c>
      <c r="R76" s="1595" t="s">
        <v>2132</v>
      </c>
      <c r="S76" s="1595" t="s">
        <v>2133</v>
      </c>
      <c r="T76" s="1595" t="s">
        <v>2134</v>
      </c>
      <c r="U76" s="1057"/>
      <c r="V76" s="1057"/>
      <c r="W76" s="1057"/>
      <c r="X76" s="1057"/>
      <c r="Y76" s="1057"/>
    </row>
    <row r="77" spans="2:25">
      <c r="B77" s="1621"/>
      <c r="C77" s="1621"/>
      <c r="D77" s="1621"/>
      <c r="E77" s="1621"/>
      <c r="F77" s="1621"/>
      <c r="G77" s="1621"/>
      <c r="H77" s="1057"/>
      <c r="I77" s="1593"/>
      <c r="J77" s="1622"/>
      <c r="K77" s="1622"/>
      <c r="L77" s="1622"/>
      <c r="M77" s="1622"/>
      <c r="N77" s="1057"/>
      <c r="O77" s="1563"/>
      <c r="P77" s="1595" t="s">
        <v>2135</v>
      </c>
      <c r="Q77" s="1595" t="s">
        <v>785</v>
      </c>
      <c r="R77" s="1595" t="s">
        <v>2136</v>
      </c>
      <c r="S77" s="1595" t="s">
        <v>2137</v>
      </c>
      <c r="T77" s="1595" t="s">
        <v>1097</v>
      </c>
      <c r="U77" s="1057"/>
      <c r="V77" s="1057"/>
      <c r="W77" s="1057"/>
      <c r="X77" s="1057"/>
      <c r="Y77" s="1057"/>
    </row>
    <row r="78" spans="2:25">
      <c r="B78" s="1621"/>
      <c r="C78" s="1621"/>
      <c r="D78" s="1621"/>
      <c r="E78" s="1621"/>
      <c r="F78" s="1621"/>
      <c r="G78" s="1621"/>
      <c r="H78" s="1057"/>
      <c r="I78" s="1593"/>
      <c r="J78" s="1622"/>
      <c r="K78" s="1622"/>
      <c r="L78" s="1622"/>
      <c r="M78" s="1622"/>
      <c r="N78" s="1057"/>
      <c r="O78" s="1563" t="s">
        <v>2138</v>
      </c>
      <c r="P78" s="1593"/>
      <c r="Q78" s="1593"/>
      <c r="R78" s="1593"/>
      <c r="S78" s="1593" t="e">
        <f>R78/Q78</f>
        <v>#DIV/0!</v>
      </c>
      <c r="T78" s="1563">
        <f>IFERROR(P78*S78,0)</f>
        <v>0</v>
      </c>
      <c r="U78" s="1057"/>
      <c r="V78" s="1057"/>
      <c r="W78" s="1057"/>
      <c r="X78" s="1057"/>
      <c r="Y78" s="1057"/>
    </row>
    <row r="79" spans="2:25">
      <c r="B79" s="1621"/>
      <c r="C79" s="1621"/>
      <c r="D79" s="1621"/>
      <c r="E79" s="1621"/>
      <c r="F79" s="1621"/>
      <c r="G79" s="1621"/>
      <c r="H79" s="1057"/>
      <c r="I79" s="1593"/>
      <c r="J79" s="1622"/>
      <c r="K79" s="1622"/>
      <c r="L79" s="1622"/>
      <c r="M79" s="1622"/>
      <c r="N79" s="1057"/>
      <c r="O79" s="1563" t="s">
        <v>2139</v>
      </c>
      <c r="P79" s="1593"/>
      <c r="Q79" s="1593"/>
      <c r="R79" s="1593"/>
      <c r="S79" s="1593" t="e">
        <f>R79/Q79</f>
        <v>#DIV/0!</v>
      </c>
      <c r="T79" s="1563">
        <f>IFERROR(P79*S79,0)</f>
        <v>0</v>
      </c>
      <c r="U79" s="1057"/>
      <c r="V79" s="1057"/>
      <c r="W79" s="1057"/>
      <c r="X79" s="1057"/>
      <c r="Y79" s="1057"/>
    </row>
    <row r="80" spans="2:25">
      <c r="B80" s="1621"/>
      <c r="C80" s="1621"/>
      <c r="D80" s="1621"/>
      <c r="E80" s="1621"/>
      <c r="F80" s="1621"/>
      <c r="G80" s="1621"/>
      <c r="H80" s="1057"/>
      <c r="I80" s="1593"/>
      <c r="J80" s="1622"/>
      <c r="K80" s="1622"/>
      <c r="L80" s="1622"/>
      <c r="M80" s="1622"/>
      <c r="N80" s="1057"/>
      <c r="O80" s="1563" t="s">
        <v>2140</v>
      </c>
      <c r="P80" s="1593"/>
      <c r="Q80" s="1593"/>
      <c r="R80" s="1593"/>
      <c r="S80" s="1593" t="e">
        <f>R80/Q80</f>
        <v>#DIV/0!</v>
      </c>
      <c r="T80" s="1563">
        <f>IFERROR(P80*S80,0)</f>
        <v>0</v>
      </c>
      <c r="U80" s="1057"/>
      <c r="V80" s="1057"/>
      <c r="W80" s="1057"/>
      <c r="X80" s="1057"/>
      <c r="Y80" s="1057"/>
    </row>
    <row r="81" spans="2:25">
      <c r="B81" s="1621"/>
      <c r="C81" s="1621"/>
      <c r="D81" s="1621"/>
      <c r="E81" s="1621"/>
      <c r="F81" s="1621"/>
      <c r="G81" s="1621"/>
      <c r="H81" s="1057"/>
      <c r="I81" s="1593"/>
      <c r="J81" s="1622"/>
      <c r="K81" s="1622"/>
      <c r="L81" s="1622"/>
      <c r="M81" s="1622"/>
      <c r="N81" s="1057"/>
      <c r="O81" s="1580" t="s">
        <v>647</v>
      </c>
      <c r="P81" s="1630"/>
      <c r="Q81" s="1630"/>
      <c r="R81" s="1630"/>
      <c r="S81" s="1630"/>
      <c r="T81" s="1631">
        <f>SUM(T78:T80)</f>
        <v>0</v>
      </c>
      <c r="U81" s="1057"/>
      <c r="V81" s="1057"/>
      <c r="W81" s="1057"/>
      <c r="X81" s="1057"/>
      <c r="Y81" s="1057"/>
    </row>
    <row r="82" spans="2:25">
      <c r="B82" s="1057"/>
      <c r="C82" s="1057"/>
      <c r="D82" s="1057"/>
      <c r="E82" s="1057"/>
      <c r="F82" s="1057"/>
      <c r="G82" s="1057"/>
      <c r="H82" s="1057"/>
      <c r="I82" s="1057"/>
      <c r="J82" s="1057"/>
      <c r="K82" s="1057"/>
      <c r="L82" s="1057"/>
      <c r="M82" s="1057"/>
      <c r="N82" s="1057"/>
      <c r="O82" s="1057"/>
      <c r="P82" s="1057"/>
      <c r="Q82" s="1057"/>
      <c r="R82" s="1057"/>
      <c r="S82" s="1057"/>
      <c r="T82" s="1057"/>
      <c r="U82" s="1057"/>
      <c r="V82" s="1057"/>
      <c r="W82" s="1057"/>
      <c r="X82" s="1057"/>
      <c r="Y82" s="1057"/>
    </row>
  </sheetData>
  <mergeCells count="1">
    <mergeCell ref="B54:G81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/>
  </sheetPr>
  <dimension ref="A1:AE1000"/>
  <sheetViews>
    <sheetView showGridLines="0" topLeftCell="A19" zoomScale="40" zoomScaleNormal="40" workbookViewId="0">
      <selection activeCell="K45" sqref="K45"/>
    </sheetView>
  </sheetViews>
  <sheetFormatPr defaultColWidth="12.5703125" defaultRowHeight="15" customHeight="1"/>
  <cols>
    <col min="1" max="1" width="3.42578125" customWidth="1"/>
    <col min="2" max="2" width="47.42578125" customWidth="1"/>
    <col min="3" max="5" width="10.7109375" customWidth="1"/>
    <col min="6" max="6" width="18.85546875" customWidth="1"/>
    <col min="7" max="11" width="24" customWidth="1"/>
    <col min="12" max="12" width="5.7109375" customWidth="1"/>
    <col min="13" max="13" width="57.28515625" customWidth="1"/>
    <col min="14" max="16" width="10.7109375" customWidth="1"/>
    <col min="17" max="17" width="17.28515625" customWidth="1"/>
    <col min="18" max="18" width="14" customWidth="1"/>
    <col min="19" max="19" width="14.5703125" customWidth="1"/>
    <col min="20" max="20" width="5.7109375" customWidth="1"/>
    <col min="21" max="23" width="12.7109375" customWidth="1"/>
    <col min="25" max="25" width="17.5703125" customWidth="1"/>
    <col min="26" max="26" width="15.140625" customWidth="1"/>
    <col min="30" max="30" width="14.28515625" customWidth="1"/>
  </cols>
  <sheetData>
    <row r="1" spans="1:31" ht="16.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31" ht="16.5">
      <c r="A2" s="6"/>
      <c r="B2" s="19" t="s">
        <v>19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spans="1:31" ht="16.5">
      <c r="A3" s="3"/>
      <c r="B3" s="3"/>
      <c r="C3" s="3"/>
      <c r="D3" s="6"/>
      <c r="E3" s="6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6"/>
      <c r="V3" s="6"/>
      <c r="W3" s="6"/>
    </row>
    <row r="4" spans="1:31" ht="16.5">
      <c r="A4" s="6"/>
      <c r="B4" s="20" t="s">
        <v>20</v>
      </c>
      <c r="C4" s="20"/>
      <c r="D4" s="20"/>
      <c r="E4" s="20"/>
      <c r="F4" s="20"/>
      <c r="G4" s="20"/>
      <c r="H4" s="20"/>
      <c r="I4" s="20"/>
      <c r="J4" s="20"/>
      <c r="K4" s="20"/>
      <c r="L4" s="6"/>
      <c r="M4" s="20" t="s">
        <v>21</v>
      </c>
      <c r="N4" s="20"/>
      <c r="O4" s="20"/>
      <c r="P4" s="20"/>
      <c r="Q4" s="20"/>
      <c r="R4" s="20"/>
      <c r="S4" s="20"/>
      <c r="T4" s="6"/>
      <c r="U4" s="6"/>
      <c r="V4" s="20" t="s">
        <v>939</v>
      </c>
      <c r="W4" s="20"/>
      <c r="X4" s="20"/>
      <c r="Y4" s="20"/>
      <c r="Z4" s="20" t="s">
        <v>1411</v>
      </c>
      <c r="AA4" s="20"/>
      <c r="AB4" s="20"/>
      <c r="AC4" s="20"/>
      <c r="AD4" s="20"/>
      <c r="AE4" s="20" t="s">
        <v>1410</v>
      </c>
    </row>
    <row r="5" spans="1:31" ht="16.5">
      <c r="A5" s="6"/>
      <c r="B5" s="19"/>
      <c r="C5" s="21"/>
      <c r="D5" s="22"/>
      <c r="E5" s="22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>
        <f>2020</f>
        <v>2020</v>
      </c>
      <c r="W5" s="6">
        <f>V5+1</f>
        <v>2021</v>
      </c>
      <c r="X5" s="6">
        <f t="shared" ref="X5:AE5" si="0">W5+1</f>
        <v>2022</v>
      </c>
      <c r="Y5" s="6">
        <f t="shared" si="0"/>
        <v>2023</v>
      </c>
      <c r="Z5" s="878">
        <f t="shared" si="0"/>
        <v>2024</v>
      </c>
      <c r="AA5" s="6">
        <f t="shared" si="0"/>
        <v>2025</v>
      </c>
      <c r="AB5" s="6">
        <f t="shared" si="0"/>
        <v>2026</v>
      </c>
      <c r="AC5" s="6">
        <f t="shared" si="0"/>
        <v>2027</v>
      </c>
      <c r="AD5" s="6">
        <f t="shared" si="0"/>
        <v>2028</v>
      </c>
      <c r="AE5" s="6">
        <f t="shared" si="0"/>
        <v>2029</v>
      </c>
    </row>
    <row r="6" spans="1:31" ht="16.5">
      <c r="A6" s="6"/>
      <c r="B6" s="19"/>
      <c r="C6" s="19"/>
      <c r="D6" s="19"/>
      <c r="E6" s="19"/>
      <c r="F6" s="25" t="s">
        <v>23</v>
      </c>
      <c r="G6" s="26"/>
      <c r="H6" s="1520"/>
      <c r="I6" s="1520"/>
      <c r="J6" s="1520"/>
      <c r="K6" s="1520"/>
      <c r="L6" s="6"/>
      <c r="M6" s="23" t="s">
        <v>22</v>
      </c>
      <c r="N6" s="23"/>
      <c r="O6" s="23"/>
      <c r="P6" s="23"/>
      <c r="Q6" s="23"/>
      <c r="R6" s="23"/>
      <c r="S6" s="23"/>
      <c r="T6" s="6"/>
      <c r="U6" s="6"/>
      <c r="V6" s="189">
        <f>DATE(2020,1,31)</f>
        <v>43861</v>
      </c>
      <c r="W6" s="189">
        <f>EDATE(V6,12)</f>
        <v>44227</v>
      </c>
      <c r="X6" s="189">
        <f t="shared" ref="X6:AE6" si="1">EDATE(W6,12)</f>
        <v>44592</v>
      </c>
      <c r="Y6" s="189">
        <f t="shared" si="1"/>
        <v>44957</v>
      </c>
      <c r="Z6" s="879">
        <f t="shared" si="1"/>
        <v>45322</v>
      </c>
      <c r="AA6" s="189">
        <f t="shared" si="1"/>
        <v>45688</v>
      </c>
      <c r="AB6" s="189">
        <f t="shared" si="1"/>
        <v>46053</v>
      </c>
      <c r="AC6" s="189">
        <f t="shared" si="1"/>
        <v>46418</v>
      </c>
      <c r="AD6" s="189">
        <f t="shared" si="1"/>
        <v>46783</v>
      </c>
      <c r="AE6" s="189">
        <f t="shared" si="1"/>
        <v>47149</v>
      </c>
    </row>
    <row r="7" spans="1:31" ht="16.5">
      <c r="A7" s="6"/>
      <c r="B7" s="6" t="s">
        <v>25</v>
      </c>
      <c r="C7" s="6"/>
      <c r="D7" s="6"/>
      <c r="E7" s="6"/>
      <c r="F7" s="29" t="s">
        <v>26</v>
      </c>
      <c r="G7" s="30"/>
      <c r="H7" s="30"/>
      <c r="I7" s="30"/>
      <c r="J7" s="30"/>
      <c r="K7" s="30"/>
      <c r="L7" s="6"/>
      <c r="M7" s="6"/>
      <c r="N7" s="6"/>
      <c r="O7" s="6"/>
      <c r="P7" s="6"/>
      <c r="Q7" s="6"/>
      <c r="R7" s="6"/>
      <c r="S7" s="6"/>
      <c r="T7" s="6"/>
      <c r="U7" s="6"/>
      <c r="V7" s="6">
        <f>W6-V6</f>
        <v>366</v>
      </c>
      <c r="W7" s="6">
        <f t="shared" ref="W7:AC7" si="2">X6-W6</f>
        <v>365</v>
      </c>
      <c r="X7" s="6">
        <f t="shared" si="2"/>
        <v>365</v>
      </c>
      <c r="Y7" s="6">
        <f t="shared" si="2"/>
        <v>365</v>
      </c>
      <c r="Z7" s="880">
        <f t="shared" si="2"/>
        <v>366</v>
      </c>
      <c r="AA7" s="6">
        <f t="shared" si="2"/>
        <v>365</v>
      </c>
      <c r="AB7" s="6">
        <f t="shared" si="2"/>
        <v>365</v>
      </c>
      <c r="AC7" s="6">
        <f t="shared" si="2"/>
        <v>365</v>
      </c>
      <c r="AD7" s="6">
        <f>AC7</f>
        <v>365</v>
      </c>
      <c r="AE7" s="6">
        <f>AD7</f>
        <v>365</v>
      </c>
    </row>
    <row r="8" spans="1:31" ht="16.5">
      <c r="A8" s="6"/>
      <c r="B8" s="6" t="s">
        <v>28</v>
      </c>
      <c r="C8" s="6"/>
      <c r="D8" s="6"/>
      <c r="E8" s="6"/>
      <c r="F8" s="31">
        <v>45401</v>
      </c>
      <c r="G8" s="30"/>
      <c r="H8" s="30"/>
      <c r="I8" s="30"/>
      <c r="J8" s="30"/>
      <c r="K8" s="30"/>
      <c r="L8" s="6"/>
      <c r="M8" s="6" t="s">
        <v>24</v>
      </c>
      <c r="N8" s="6"/>
      <c r="O8" s="6"/>
      <c r="P8" s="6"/>
      <c r="Q8" s="6"/>
      <c r="R8" s="27"/>
      <c r="S8" s="28">
        <v>0.2</v>
      </c>
      <c r="T8" s="6"/>
      <c r="U8" s="6"/>
      <c r="V8" s="6"/>
      <c r="W8" s="6"/>
    </row>
    <row r="9" spans="1:31" ht="16.5">
      <c r="A9" s="6"/>
      <c r="B9" s="6" t="s">
        <v>935</v>
      </c>
      <c r="C9" s="6"/>
      <c r="D9" s="6"/>
      <c r="E9" s="6"/>
      <c r="F9" s="29"/>
      <c r="G9" s="30"/>
      <c r="H9" s="30"/>
      <c r="I9" s="30"/>
      <c r="J9" s="30"/>
      <c r="K9" s="30"/>
      <c r="L9" s="6"/>
      <c r="M9" s="6" t="s">
        <v>27</v>
      </c>
      <c r="N9" s="6"/>
      <c r="O9" s="6"/>
      <c r="P9" s="6"/>
      <c r="Q9" s="6"/>
      <c r="R9" s="27"/>
      <c r="S9" s="28">
        <v>0.25</v>
      </c>
      <c r="T9" s="6"/>
      <c r="U9" s="6"/>
      <c r="V9" s="6"/>
      <c r="W9" s="6"/>
    </row>
    <row r="10" spans="1:31" ht="16.5">
      <c r="A10" s="6"/>
      <c r="B10" s="6" t="s">
        <v>936</v>
      </c>
      <c r="C10" s="6"/>
      <c r="D10" s="6"/>
      <c r="E10" s="6"/>
      <c r="F10" s="29"/>
      <c r="G10" s="30"/>
      <c r="H10" s="30"/>
      <c r="I10" s="30"/>
      <c r="J10" s="30"/>
      <c r="K10" s="30"/>
      <c r="L10" s="6"/>
      <c r="M10" s="6" t="s">
        <v>29</v>
      </c>
      <c r="N10" s="6"/>
      <c r="O10" s="6"/>
      <c r="P10" s="6"/>
      <c r="Q10" s="6"/>
      <c r="R10" s="6"/>
      <c r="S10" s="28">
        <f>-S9</f>
        <v>-0.25</v>
      </c>
      <c r="T10" s="6"/>
      <c r="U10" s="6"/>
      <c r="V10" s="20" t="s">
        <v>963</v>
      </c>
      <c r="W10" s="20"/>
      <c r="X10" s="20"/>
      <c r="Y10" s="20"/>
      <c r="Z10" s="20"/>
      <c r="AA10" s="20"/>
      <c r="AB10" s="20"/>
      <c r="AC10" s="20"/>
      <c r="AD10" s="20"/>
    </row>
    <row r="11" spans="1:31" ht="16.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544" t="s">
        <v>789</v>
      </c>
      <c r="W11" s="544"/>
      <c r="X11" s="544"/>
      <c r="Y11" s="544"/>
      <c r="Z11" s="544"/>
      <c r="AA11" s="544"/>
      <c r="AB11" s="545"/>
      <c r="AC11" s="473"/>
      <c r="AD11" s="546">
        <v>18642</v>
      </c>
    </row>
    <row r="12" spans="1:31" ht="16.5">
      <c r="A12" s="6"/>
      <c r="B12" s="20" t="s">
        <v>36</v>
      </c>
      <c r="C12" s="20"/>
      <c r="D12" s="20"/>
      <c r="E12" s="20"/>
      <c r="F12" s="20"/>
      <c r="G12" s="20"/>
      <c r="H12" s="20"/>
      <c r="I12" s="20"/>
      <c r="J12" s="20"/>
      <c r="K12" s="20"/>
      <c r="L12" s="24"/>
      <c r="M12" s="23" t="s">
        <v>31</v>
      </c>
      <c r="N12" s="23"/>
      <c r="O12" s="23"/>
      <c r="P12" s="23"/>
      <c r="Q12" s="23"/>
      <c r="R12" s="23"/>
      <c r="S12" s="23"/>
      <c r="T12" s="6"/>
      <c r="U12" s="6"/>
      <c r="V12" s="547" t="s">
        <v>960</v>
      </c>
      <c r="W12" s="548"/>
      <c r="X12" s="548"/>
      <c r="Y12" s="548"/>
      <c r="Z12" s="548"/>
      <c r="AA12" s="548"/>
      <c r="AB12" s="547"/>
      <c r="AC12" s="474"/>
      <c r="AD12" s="549">
        <v>65014</v>
      </c>
    </row>
    <row r="13" spans="1:31" ht="16.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 t="s">
        <v>32</v>
      </c>
      <c r="N13" s="6"/>
      <c r="O13" s="6"/>
      <c r="P13" s="6"/>
      <c r="Q13" s="6"/>
      <c r="R13" s="6"/>
      <c r="S13" s="32">
        <v>0</v>
      </c>
      <c r="T13" s="6"/>
      <c r="U13" s="6"/>
      <c r="V13" s="547" t="s">
        <v>961</v>
      </c>
      <c r="W13" s="548"/>
      <c r="X13" s="548"/>
      <c r="Y13" s="548"/>
      <c r="Z13" s="548"/>
      <c r="AA13" s="548"/>
      <c r="AB13" s="548"/>
      <c r="AC13" s="474"/>
      <c r="AD13" s="549">
        <v>39211</v>
      </c>
    </row>
    <row r="14" spans="1:31" ht="16.5">
      <c r="A14" s="6"/>
      <c r="B14" s="6" t="s">
        <v>37</v>
      </c>
      <c r="C14" s="6"/>
      <c r="D14" s="6"/>
      <c r="E14" s="6"/>
      <c r="F14" s="28">
        <v>0.32200000000000001</v>
      </c>
      <c r="G14" s="30"/>
      <c r="H14" s="30"/>
      <c r="I14" s="30"/>
      <c r="J14" s="30"/>
      <c r="K14" s="30"/>
      <c r="L14" s="6"/>
      <c r="M14" s="6" t="s">
        <v>932</v>
      </c>
      <c r="N14" s="6"/>
      <c r="O14" s="6"/>
      <c r="P14" s="6"/>
      <c r="Q14" s="6"/>
      <c r="R14" s="6"/>
      <c r="S14" s="6"/>
      <c r="T14" s="6"/>
      <c r="U14" s="6"/>
      <c r="V14" s="547" t="s">
        <v>962</v>
      </c>
      <c r="W14" s="547"/>
      <c r="X14" s="547"/>
      <c r="Y14" s="547"/>
      <c r="Z14" s="547"/>
      <c r="AA14" s="547"/>
      <c r="AB14" s="547"/>
      <c r="AC14" s="474"/>
      <c r="AD14" s="550">
        <v>24128</v>
      </c>
    </row>
    <row r="15" spans="1:31" ht="16.5">
      <c r="A15" s="6"/>
      <c r="B15" s="6" t="s">
        <v>937</v>
      </c>
      <c r="C15" s="6"/>
      <c r="D15" s="6"/>
      <c r="E15" s="6"/>
      <c r="F15" s="421">
        <f>5%</f>
        <v>0.05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 spans="1:31" ht="16.5">
      <c r="A16" s="6"/>
      <c r="B16" s="6" t="s">
        <v>938</v>
      </c>
      <c r="C16" s="6"/>
      <c r="D16" s="6"/>
      <c r="E16" s="6"/>
      <c r="F16" s="421">
        <f>F15+0</f>
        <v>0.05</v>
      </c>
      <c r="G16" s="6"/>
      <c r="H16" s="6"/>
      <c r="I16" s="6"/>
      <c r="J16" s="6"/>
      <c r="K16" s="6"/>
      <c r="L16" s="6"/>
      <c r="M16" s="6" t="s">
        <v>933</v>
      </c>
      <c r="N16" s="6"/>
      <c r="O16" s="6"/>
      <c r="P16" s="6"/>
      <c r="Q16" s="6"/>
      <c r="R16" s="6"/>
      <c r="S16" s="32">
        <v>0</v>
      </c>
      <c r="T16" s="6"/>
      <c r="U16" s="6"/>
      <c r="V16" s="6"/>
      <c r="W16" s="6"/>
    </row>
    <row r="17" spans="1:23" ht="16.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 t="s">
        <v>934</v>
      </c>
      <c r="N17" s="6"/>
      <c r="O17" s="6"/>
      <c r="P17" s="6"/>
      <c r="Q17" s="6"/>
      <c r="R17" s="6"/>
      <c r="S17" s="6"/>
      <c r="T17" s="6"/>
      <c r="U17" s="6"/>
      <c r="V17" s="6"/>
      <c r="W17" s="6"/>
    </row>
    <row r="18" spans="1:23" ht="16.5">
      <c r="A18" s="6"/>
      <c r="B18" s="19" t="s">
        <v>40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r="19" spans="1:23" ht="16.5">
      <c r="A19" s="6"/>
      <c r="B19" s="6" t="s">
        <v>941</v>
      </c>
      <c r="C19" s="6"/>
      <c r="D19" s="6"/>
      <c r="E19" s="6"/>
      <c r="F19" s="38">
        <v>25</v>
      </c>
      <c r="G19" s="6"/>
      <c r="H19" s="6"/>
      <c r="I19" s="6"/>
      <c r="J19" s="6"/>
      <c r="K19" s="6"/>
      <c r="L19" s="6"/>
      <c r="M19" s="20" t="s">
        <v>41</v>
      </c>
      <c r="N19" s="20"/>
      <c r="O19" s="20"/>
      <c r="P19" s="20"/>
      <c r="Q19" s="20"/>
      <c r="R19" s="20"/>
      <c r="S19" s="20"/>
      <c r="T19" s="6"/>
      <c r="U19" s="6"/>
      <c r="V19" s="6"/>
      <c r="W19" s="6"/>
    </row>
    <row r="20" spans="1:23" ht="16.5">
      <c r="A20" s="6"/>
      <c r="B20" s="6" t="s">
        <v>940</v>
      </c>
      <c r="C20" s="6"/>
      <c r="D20" s="6"/>
      <c r="E20" s="6"/>
      <c r="F20" s="28">
        <v>0.04</v>
      </c>
      <c r="G20" s="39"/>
      <c r="H20" s="39"/>
      <c r="I20" s="39"/>
      <c r="J20" s="39"/>
      <c r="K20" s="39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 spans="1:23" ht="15.75" customHeight="1">
      <c r="A21" s="6"/>
      <c r="B21" s="6" t="s">
        <v>38</v>
      </c>
      <c r="C21" s="6"/>
      <c r="D21" s="6"/>
      <c r="E21" s="6"/>
      <c r="F21" s="32" t="s">
        <v>942</v>
      </c>
      <c r="G21" s="6"/>
      <c r="H21" s="6"/>
      <c r="I21" s="6"/>
      <c r="J21" s="6"/>
      <c r="K21" s="6"/>
      <c r="L21" s="6"/>
      <c r="M21" s="23" t="s">
        <v>43</v>
      </c>
      <c r="N21" s="23"/>
      <c r="O21" s="23"/>
      <c r="P21" s="23"/>
      <c r="Q21" s="23"/>
      <c r="R21" s="23"/>
      <c r="S21" s="23"/>
      <c r="T21" s="6"/>
      <c r="U21" s="6"/>
      <c r="V21" s="6"/>
      <c r="W21" s="6"/>
    </row>
    <row r="22" spans="1:23" ht="15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40" t="s">
        <v>44</v>
      </c>
      <c r="R22" s="40" t="s">
        <v>44</v>
      </c>
      <c r="S22" s="40"/>
      <c r="T22" s="6"/>
      <c r="U22" s="6"/>
      <c r="V22" s="6"/>
      <c r="W22" s="6"/>
    </row>
    <row r="23" spans="1:23" ht="15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40" t="s">
        <v>45</v>
      </c>
      <c r="R23" s="40" t="s">
        <v>46</v>
      </c>
      <c r="S23" s="40" t="s">
        <v>47</v>
      </c>
      <c r="T23" s="6"/>
      <c r="U23" s="6"/>
      <c r="V23" s="6"/>
      <c r="W23" s="6"/>
    </row>
    <row r="24" spans="1:23" ht="15.75" customHeight="1">
      <c r="A24" s="6"/>
      <c r="B24" s="19" t="s">
        <v>60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 t="s">
        <v>49</v>
      </c>
      <c r="N24" s="6"/>
      <c r="O24" s="6"/>
      <c r="P24" s="6"/>
      <c r="Q24" s="41">
        <v>40</v>
      </c>
      <c r="R24" s="41">
        <v>40</v>
      </c>
      <c r="S24" s="41">
        <v>40</v>
      </c>
      <c r="T24" s="6"/>
      <c r="U24" s="6"/>
      <c r="V24" s="6"/>
      <c r="W24" s="6"/>
    </row>
    <row r="25" spans="1:23" ht="15.75" customHeight="1">
      <c r="A25" s="6"/>
      <c r="B25" s="6" t="s">
        <v>62</v>
      </c>
      <c r="C25" s="6"/>
      <c r="D25" s="6"/>
      <c r="E25" s="6"/>
      <c r="F25" s="28">
        <v>-0.1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</row>
    <row r="26" spans="1:23" ht="15.75" customHeight="1">
      <c r="A26" s="6"/>
      <c r="B26" s="6" t="s">
        <v>64</v>
      </c>
      <c r="C26" s="6"/>
      <c r="D26" s="6"/>
      <c r="E26" s="6"/>
      <c r="F26" s="28">
        <v>0</v>
      </c>
      <c r="G26" s="6"/>
      <c r="H26" s="6"/>
      <c r="I26" s="6"/>
      <c r="J26" s="6"/>
      <c r="K26" s="6"/>
      <c r="L26" s="6"/>
      <c r="M26" s="6" t="s">
        <v>52</v>
      </c>
      <c r="N26" s="6"/>
      <c r="O26" s="6"/>
      <c r="P26" s="6"/>
      <c r="Q26" s="6"/>
      <c r="R26" s="6"/>
      <c r="S26" s="42">
        <v>0</v>
      </c>
      <c r="T26" s="6"/>
      <c r="U26" s="6"/>
      <c r="V26" s="6"/>
      <c r="W26" s="6"/>
    </row>
    <row r="27" spans="1:23" ht="15.75" customHeight="1">
      <c r="A27" s="6"/>
      <c r="B27" s="6" t="s">
        <v>65</v>
      </c>
      <c r="C27" s="6"/>
      <c r="D27" s="6"/>
      <c r="E27" s="6"/>
      <c r="F27" s="28">
        <v>0.15</v>
      </c>
      <c r="G27" s="6"/>
      <c r="H27" s="6"/>
      <c r="I27" s="6"/>
      <c r="J27" s="6"/>
      <c r="K27" s="6"/>
      <c r="L27" s="6"/>
      <c r="M27" s="6" t="s">
        <v>54</v>
      </c>
      <c r="N27" s="6"/>
      <c r="O27" s="6"/>
      <c r="P27" s="6"/>
      <c r="Q27" s="6"/>
      <c r="R27" s="6"/>
      <c r="S27" s="42">
        <v>0</v>
      </c>
      <c r="T27" s="6"/>
      <c r="U27" s="6"/>
      <c r="V27" s="6"/>
      <c r="W27" s="6"/>
    </row>
    <row r="28" spans="1:23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 t="s">
        <v>56</v>
      </c>
      <c r="N28" s="6"/>
      <c r="O28" s="6"/>
      <c r="P28" s="6"/>
      <c r="Q28" s="6"/>
      <c r="R28" s="6"/>
      <c r="S28" s="28">
        <v>0.02</v>
      </c>
      <c r="T28" s="6"/>
      <c r="U28" s="6"/>
      <c r="V28" s="6"/>
      <c r="W28" s="6"/>
    </row>
    <row r="29" spans="1:23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r="30" spans="1:23" ht="15.75" customHeight="1">
      <c r="A30" s="6"/>
      <c r="B30" s="20" t="s">
        <v>69</v>
      </c>
      <c r="C30" s="20"/>
      <c r="D30" s="20"/>
      <c r="E30" s="20"/>
      <c r="F30" s="20"/>
      <c r="G30" s="20"/>
      <c r="H30" s="20"/>
      <c r="I30" s="20"/>
      <c r="J30" s="20"/>
      <c r="K30" s="20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</row>
    <row r="31" spans="1:23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23" t="s">
        <v>59</v>
      </c>
      <c r="N31" s="23"/>
      <c r="O31" s="23"/>
      <c r="P31" s="23"/>
      <c r="Q31" s="23"/>
      <c r="R31" s="23"/>
      <c r="S31" s="23"/>
      <c r="T31" s="43"/>
      <c r="U31" s="6"/>
      <c r="V31" s="6"/>
      <c r="W31" s="6"/>
    </row>
    <row r="32" spans="1:23" ht="15.75" customHeight="1">
      <c r="A32" s="6"/>
      <c r="B32" s="6" t="s">
        <v>72</v>
      </c>
      <c r="C32" s="6"/>
      <c r="D32" s="6"/>
      <c r="E32" s="6"/>
      <c r="F32" s="6"/>
      <c r="G32" s="28">
        <v>0.1</v>
      </c>
      <c r="H32" s="1521"/>
      <c r="I32" s="1521"/>
      <c r="J32" s="1521"/>
      <c r="K32" s="1521"/>
      <c r="L32" s="6"/>
      <c r="M32" s="6" t="s">
        <v>61</v>
      </c>
      <c r="N32" s="6"/>
      <c r="O32" s="6"/>
      <c r="P32" s="6"/>
      <c r="Q32" s="6"/>
      <c r="R32" s="6"/>
      <c r="S32" s="42">
        <v>0.1</v>
      </c>
      <c r="T32" s="6"/>
      <c r="U32" s="6"/>
      <c r="V32" s="6"/>
      <c r="W32" s="6"/>
    </row>
    <row r="33" spans="1:25" ht="15.75" customHeight="1">
      <c r="A33" s="6"/>
      <c r="B33" s="6" t="s">
        <v>74</v>
      </c>
      <c r="C33" s="6"/>
      <c r="D33" s="6"/>
      <c r="E33" s="6"/>
      <c r="F33" s="6"/>
      <c r="G33" s="46">
        <f>1-G32</f>
        <v>0.9</v>
      </c>
      <c r="H33" s="46"/>
      <c r="I33" s="46"/>
      <c r="J33" s="46"/>
      <c r="K33" s="46"/>
      <c r="L33" s="6"/>
      <c r="M33" s="6" t="s">
        <v>63</v>
      </c>
      <c r="N33" s="6"/>
      <c r="O33" s="6"/>
      <c r="P33" s="6"/>
      <c r="Q33" s="6"/>
      <c r="R33" s="6"/>
      <c r="S33" s="44">
        <v>10</v>
      </c>
      <c r="T33" s="6"/>
      <c r="U33" s="6"/>
      <c r="V33" s="6"/>
      <c r="W33" s="6"/>
    </row>
    <row r="34" spans="1:25" ht="15.75" customHeight="1">
      <c r="A34" s="6"/>
      <c r="B34" s="35"/>
      <c r="C34" s="6"/>
      <c r="D34" s="24"/>
      <c r="E34" s="48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</row>
    <row r="35" spans="1:25" ht="15.75" customHeight="1">
      <c r="A35" s="6"/>
      <c r="B35" s="6" t="s">
        <v>76</v>
      </c>
      <c r="C35" s="6"/>
      <c r="D35" s="6"/>
      <c r="E35" s="6"/>
      <c r="F35" s="6"/>
      <c r="G35" s="44">
        <v>15</v>
      </c>
      <c r="H35" s="1522"/>
      <c r="I35" s="1522"/>
      <c r="J35" s="1522"/>
      <c r="K35" s="1522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</row>
    <row r="36" spans="1:25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23" t="s">
        <v>66</v>
      </c>
      <c r="N36" s="23"/>
      <c r="O36" s="23"/>
      <c r="P36" s="23"/>
      <c r="Q36" s="23"/>
      <c r="R36" s="23"/>
      <c r="S36" s="23"/>
      <c r="T36" s="6"/>
      <c r="U36" s="6"/>
      <c r="V36" s="6"/>
      <c r="W36" s="6"/>
    </row>
    <row r="37" spans="1:25" ht="15.75" customHeight="1">
      <c r="A37" s="6"/>
      <c r="B37" s="6" t="s">
        <v>1977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40" t="s">
        <v>67</v>
      </c>
      <c r="S37" s="40" t="s">
        <v>68</v>
      </c>
      <c r="T37" s="6"/>
      <c r="U37" s="6"/>
      <c r="V37" s="6"/>
      <c r="W37" s="6"/>
    </row>
    <row r="38" spans="1:25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 t="s">
        <v>70</v>
      </c>
      <c r="N38" s="6"/>
      <c r="O38" s="6"/>
      <c r="P38" s="6"/>
      <c r="Q38" s="6"/>
      <c r="R38" s="42">
        <v>0.01</v>
      </c>
      <c r="S38" s="42">
        <v>0.01</v>
      </c>
      <c r="T38" s="6"/>
      <c r="U38" s="6"/>
      <c r="V38" s="6"/>
      <c r="W38" s="6"/>
    </row>
    <row r="39" spans="1:25" ht="15.75" customHeight="1">
      <c r="A39" s="6"/>
      <c r="B39" s="1077" t="s">
        <v>1957</v>
      </c>
      <c r="C39" s="1078"/>
      <c r="D39" s="1078"/>
      <c r="E39" s="1078"/>
      <c r="F39" s="1510"/>
      <c r="G39" s="1510"/>
      <c r="H39" s="1510"/>
      <c r="I39" s="1510"/>
      <c r="J39" s="1510"/>
      <c r="K39" s="6"/>
      <c r="L39" s="6"/>
      <c r="M39" s="6" t="s">
        <v>71</v>
      </c>
      <c r="N39" s="6"/>
      <c r="O39" s="6"/>
      <c r="P39" s="6"/>
      <c r="Q39" s="6"/>
      <c r="R39" s="42">
        <v>0.01</v>
      </c>
      <c r="S39" s="42">
        <v>0.01</v>
      </c>
      <c r="T39" s="6"/>
      <c r="U39" s="6"/>
      <c r="V39" s="6"/>
      <c r="W39" s="6"/>
    </row>
    <row r="40" spans="1:25" ht="15.75" customHeight="1">
      <c r="A40" s="6"/>
      <c r="B40" s="1057"/>
      <c r="C40" s="1511" t="s">
        <v>1958</v>
      </c>
      <c r="D40" s="1511"/>
      <c r="E40" s="1511">
        <f>CHOOSE(DCF_ScenarioSet,N41,O41,P41,Q41)</f>
        <v>0</v>
      </c>
      <c r="F40" s="1512" t="str">
        <f>IFERROR(CHOOSE(MATCH($D40,$C41:$C44,0),F41,F42,F43,F44),"NA")</f>
        <v>NA</v>
      </c>
      <c r="G40" s="1512" t="str">
        <f>IFERROR(CHOOSE(MATCH($D40,$C41:$C44,0),G41,G42,G43,G44),"NA")</f>
        <v>NA</v>
      </c>
      <c r="H40" s="1512" t="str">
        <f>IFERROR(CHOOSE(MATCH($D40,$C41:$C44,0),H41,H42,H43,H44),"NA")</f>
        <v>NA</v>
      </c>
      <c r="I40" s="1512" t="str">
        <f t="shared" ref="I40:J40" si="3">IFERROR(CHOOSE(MATCH($D40,$C41:$C44,0),I41,I42,I43,I44),"NA")</f>
        <v>NA</v>
      </c>
      <c r="J40" s="1512" t="str">
        <f t="shared" si="3"/>
        <v>NA</v>
      </c>
      <c r="K40" s="6"/>
      <c r="L40" s="6"/>
      <c r="M40" s="6" t="s">
        <v>73</v>
      </c>
      <c r="N40" s="6"/>
      <c r="O40" s="6"/>
      <c r="P40" s="6"/>
      <c r="Q40" s="6"/>
      <c r="R40" s="45">
        <v>1</v>
      </c>
      <c r="S40" s="45">
        <v>1</v>
      </c>
      <c r="T40" s="6"/>
      <c r="U40" s="6"/>
      <c r="V40" s="6"/>
      <c r="W40" s="6"/>
    </row>
    <row r="41" spans="1:25" ht="15.75" customHeight="1">
      <c r="A41" s="6"/>
      <c r="B41" s="1057"/>
      <c r="C41" s="1057"/>
      <c r="D41" s="1513" t="s">
        <v>1959</v>
      </c>
      <c r="E41" s="1057"/>
      <c r="F41" s="1514">
        <v>0.01</v>
      </c>
      <c r="G41" s="1514">
        <v>0.01</v>
      </c>
      <c r="H41" s="1514">
        <v>0.01</v>
      </c>
      <c r="I41" s="1514">
        <v>0.01</v>
      </c>
      <c r="J41" s="1514">
        <v>0.01</v>
      </c>
      <c r="K41" s="6"/>
      <c r="L41" s="6"/>
      <c r="M41" s="6" t="s">
        <v>75</v>
      </c>
      <c r="N41" s="6"/>
      <c r="O41" s="6"/>
      <c r="P41" s="6"/>
      <c r="Q41" s="6"/>
      <c r="R41" s="47">
        <v>15</v>
      </c>
      <c r="S41" s="47">
        <v>10</v>
      </c>
      <c r="T41" s="6"/>
      <c r="U41" s="6"/>
      <c r="V41" s="6"/>
      <c r="W41" s="6"/>
    </row>
    <row r="42" spans="1:25" ht="15.75" customHeight="1">
      <c r="A42" s="6"/>
      <c r="B42" s="1057"/>
      <c r="C42" s="1057"/>
      <c r="D42" s="1513" t="s">
        <v>1960</v>
      </c>
      <c r="E42" s="1057"/>
      <c r="F42" s="1514">
        <v>0.02</v>
      </c>
      <c r="G42" s="1514">
        <v>0.05</v>
      </c>
      <c r="H42" s="1514">
        <v>0.05</v>
      </c>
      <c r="I42" s="1514">
        <v>0.05</v>
      </c>
      <c r="J42" s="1514">
        <v>0.05</v>
      </c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</row>
    <row r="43" spans="1:25" ht="15.75" customHeight="1">
      <c r="A43" s="6"/>
      <c r="B43" s="1057"/>
      <c r="C43" s="1057"/>
      <c r="D43" s="1513" t="s">
        <v>1961</v>
      </c>
      <c r="E43" s="1057"/>
      <c r="F43" s="1514">
        <v>-0.03</v>
      </c>
      <c r="G43" s="1514">
        <v>-0.03</v>
      </c>
      <c r="H43" s="1514">
        <v>-0.03</v>
      </c>
      <c r="I43" s="1514">
        <v>-0.03</v>
      </c>
      <c r="J43" s="1514">
        <v>-0.03</v>
      </c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</row>
    <row r="44" spans="1:25" ht="15.75" customHeight="1">
      <c r="A44" s="6"/>
      <c r="B44" s="1057"/>
      <c r="C44" s="1057"/>
      <c r="D44" s="1513" t="s">
        <v>1962</v>
      </c>
      <c r="E44" s="1057"/>
      <c r="F44" s="1514">
        <f>SalesForecast_ServiceRevenues_2018</f>
        <v>1.5272040263414111E-2</v>
      </c>
      <c r="G44" s="1514">
        <f>SalesForecast_ServiceRevenues_2019</f>
        <v>2.0375320040463274E-2</v>
      </c>
      <c r="H44" s="1514">
        <f>SalesForecast_ServiceRevenues_2020</f>
        <v>1.8603391940143377E-2</v>
      </c>
      <c r="I44" s="1514">
        <f>SalesForecast_ServiceRevenues_2021</f>
        <v>1.9061324704466642E-2</v>
      </c>
      <c r="J44" s="1514">
        <f>SalesForecast_ServiceRevenues_2022</f>
        <v>1.8232918888701155E-2</v>
      </c>
      <c r="K44" s="6"/>
      <c r="L44" s="6"/>
      <c r="M44" s="23" t="s">
        <v>967</v>
      </c>
      <c r="N44" s="23"/>
      <c r="O44" s="23"/>
      <c r="P44" s="23"/>
      <c r="Q44" s="23"/>
      <c r="R44" s="23"/>
      <c r="S44" s="23"/>
      <c r="T44" s="6"/>
      <c r="U44" s="6"/>
      <c r="V44" s="6"/>
      <c r="W44" s="6"/>
    </row>
    <row r="45" spans="1:25" ht="15.75" customHeight="1">
      <c r="A45" s="6"/>
      <c r="B45" s="1057"/>
      <c r="C45" s="1057"/>
      <c r="D45" s="1057"/>
      <c r="E45" s="1057"/>
      <c r="F45" s="1515"/>
      <c r="G45" s="1515"/>
      <c r="H45" s="1515"/>
      <c r="I45" s="1515"/>
      <c r="J45" s="1515"/>
      <c r="K45" s="6"/>
      <c r="L45" s="6"/>
      <c r="M45" s="544" t="s">
        <v>947</v>
      </c>
      <c r="N45" s="544"/>
      <c r="O45" s="544"/>
      <c r="P45" s="544"/>
      <c r="Q45" s="544"/>
      <c r="R45" s="551" t="s">
        <v>948</v>
      </c>
      <c r="S45" s="546">
        <v>34200</v>
      </c>
      <c r="T45" s="6"/>
      <c r="U45" s="6"/>
      <c r="V45" s="6"/>
      <c r="W45" s="6"/>
      <c r="X45" s="6"/>
      <c r="Y45" s="6"/>
    </row>
    <row r="46" spans="1:25" ht="15.75" customHeight="1">
      <c r="A46" s="6"/>
      <c r="B46" s="1057"/>
      <c r="C46" s="1511" t="s">
        <v>1963</v>
      </c>
      <c r="D46" s="1511"/>
      <c r="E46" s="1511">
        <f>CHOOSE(DCF_ScenarioSet,N42,O42,P42,Q42)</f>
        <v>0</v>
      </c>
      <c r="F46" s="1512" t="str">
        <f>IFERROR(CHOOSE(MATCH($D46,$C47:$C50,0),F47,F48,F49,F50),"NA")</f>
        <v>NA</v>
      </c>
      <c r="G46" s="1512" t="str">
        <f>IFERROR(CHOOSE(MATCH($D46,$C47:$C50,0),G47,G48,G49,G50),"NA")</f>
        <v>NA</v>
      </c>
      <c r="H46" s="1512" t="str">
        <f>IFERROR(CHOOSE(MATCH($D46,$C47:$C50,0),H47,H48,H49,H50),"NA")</f>
        <v>NA</v>
      </c>
      <c r="I46" s="1512" t="str">
        <f t="shared" ref="I46:J46" si="4">IFERROR(CHOOSE(MATCH($D46,$C47:$C50,0),I47,I48,I49,I50),"NA")</f>
        <v>NA</v>
      </c>
      <c r="J46" s="1512" t="str">
        <f t="shared" si="4"/>
        <v>NA</v>
      </c>
      <c r="K46" s="6"/>
      <c r="L46" s="6"/>
      <c r="M46" s="483" t="s">
        <v>949</v>
      </c>
      <c r="N46" s="483"/>
      <c r="O46" s="483"/>
      <c r="P46" s="483"/>
      <c r="Q46" s="483"/>
      <c r="R46" s="552" t="s">
        <v>950</v>
      </c>
      <c r="S46" s="553">
        <v>2.23</v>
      </c>
      <c r="T46" s="6"/>
      <c r="U46" s="6"/>
      <c r="V46" s="6"/>
      <c r="W46" s="6"/>
      <c r="X46" s="6"/>
      <c r="Y46" s="6"/>
    </row>
    <row r="47" spans="1:25" ht="15.75" customHeight="1">
      <c r="A47" s="6"/>
      <c r="B47" s="1057"/>
      <c r="C47" s="1057"/>
      <c r="D47" s="1513" t="s">
        <v>1959</v>
      </c>
      <c r="E47" s="1057"/>
      <c r="F47" s="1514">
        <f>DCF_COSasPOS_2017</f>
        <v>8.5245676125207906E-2</v>
      </c>
      <c r="G47" s="1514">
        <f>F47+0.01</f>
        <v>9.5245676125207901E-2</v>
      </c>
      <c r="H47" s="1514">
        <f t="shared" ref="H47:J47" si="5">G47+0.01</f>
        <v>0.1052456761252079</v>
      </c>
      <c r="I47" s="1514">
        <f t="shared" si="5"/>
        <v>0.11524567612520789</v>
      </c>
      <c r="J47" s="1514">
        <f t="shared" si="5"/>
        <v>0.1252456761252079</v>
      </c>
      <c r="K47" s="6"/>
      <c r="L47" s="6"/>
      <c r="M47" s="478" t="s">
        <v>946</v>
      </c>
      <c r="N47" s="478"/>
      <c r="O47" s="478"/>
      <c r="P47" s="478"/>
      <c r="Q47" s="478"/>
      <c r="R47" s="554"/>
      <c r="S47" s="555">
        <v>0.02</v>
      </c>
      <c r="T47" s="6"/>
      <c r="U47" s="6"/>
      <c r="V47" s="6"/>
      <c r="W47" s="6"/>
      <c r="X47" s="6"/>
      <c r="Y47" s="6"/>
    </row>
    <row r="48" spans="1:25" ht="15.75" customHeight="1">
      <c r="A48" s="6"/>
      <c r="B48" s="1057"/>
      <c r="C48" s="1057"/>
      <c r="D48" s="1513" t="s">
        <v>1960</v>
      </c>
      <c r="E48" s="1057"/>
      <c r="F48" s="1514"/>
      <c r="G48" s="1514"/>
      <c r="H48" s="1514"/>
      <c r="I48" s="1514"/>
      <c r="J48" s="1514"/>
      <c r="K48" s="6"/>
      <c r="L48" s="6"/>
      <c r="M48" s="478" t="s">
        <v>964</v>
      </c>
      <c r="N48" s="478"/>
      <c r="O48" s="478"/>
      <c r="P48" s="478"/>
      <c r="Q48" s="478"/>
      <c r="R48" s="556"/>
      <c r="S48" s="557">
        <v>7</v>
      </c>
      <c r="T48" s="6"/>
      <c r="U48" s="6"/>
      <c r="V48" s="6"/>
      <c r="W48" s="6"/>
      <c r="X48" s="6"/>
      <c r="Y48" s="6"/>
    </row>
    <row r="49" spans="1:25" ht="15.75" customHeight="1">
      <c r="A49" s="6"/>
      <c r="B49" s="1057"/>
      <c r="C49" s="1057"/>
      <c r="D49" s="1513" t="s">
        <v>1961</v>
      </c>
      <c r="E49" s="1057"/>
      <c r="F49" s="1514"/>
      <c r="G49" s="1514"/>
      <c r="H49" s="1514"/>
      <c r="I49" s="1514"/>
      <c r="J49" s="1514"/>
      <c r="K49" s="6"/>
      <c r="L49" s="6"/>
      <c r="M49" s="475" t="s">
        <v>965</v>
      </c>
      <c r="N49" s="475"/>
      <c r="O49" s="475"/>
      <c r="P49" s="475"/>
      <c r="Q49" s="475"/>
      <c r="R49" s="558"/>
      <c r="S49" s="559">
        <v>0.06</v>
      </c>
      <c r="T49" s="6"/>
      <c r="U49" s="6"/>
      <c r="V49" s="6"/>
      <c r="W49" s="6"/>
      <c r="X49" s="6"/>
      <c r="Y49" s="6"/>
    </row>
    <row r="50" spans="1:25" ht="15.75" customHeight="1">
      <c r="A50" s="6"/>
      <c r="B50" s="1057"/>
      <c r="C50" s="1057"/>
      <c r="D50" s="1513" t="s">
        <v>1962</v>
      </c>
      <c r="E50" s="1057"/>
      <c r="F50" s="1514" t="e">
        <f>_xlfn.FORECAST.ETS(F38,DCF_COSHistoricalSet,'[1]DCF Valuation'!$E$36:$H$36)</f>
        <v>#NUM!</v>
      </c>
      <c r="G50" s="1514" t="e">
        <f>_xlfn.FORECAST.ETS(G38,DCF_COSHistoricalSet,'[1]DCF Valuation'!$E$36:$H$36)</f>
        <v>#NUM!</v>
      </c>
      <c r="H50" s="1514" t="e">
        <f>_xlfn.FORECAST.ETS(H38,DCF_COSHistoricalSet,'[1]DCF Valuation'!$E$36:$H$36)</f>
        <v>#NUM!</v>
      </c>
      <c r="I50" s="1514" t="e">
        <f>_xlfn.FORECAST.ETS(I38,DCF_COSHistoricalSet,'[1]DCF Valuation'!$E$36:$H$36)</f>
        <v>#NUM!</v>
      </c>
      <c r="J50" s="1514" t="e">
        <f>_xlfn.FORECAST.ETS(J38,DCF_COSHistoricalSet,'[1]DCF Valuation'!$E$36:$H$36)</f>
        <v>#NUM!</v>
      </c>
      <c r="K50" s="6"/>
      <c r="L50" s="6"/>
      <c r="M50" s="560" t="s">
        <v>966</v>
      </c>
      <c r="N50" s="560"/>
      <c r="O50" s="560"/>
      <c r="P50" s="561"/>
      <c r="Q50" s="562"/>
      <c r="R50" s="563"/>
      <c r="S50" s="564">
        <f>IF(S47&gt;=S49,1,0)</f>
        <v>0</v>
      </c>
      <c r="T50" s="6"/>
      <c r="U50" s="6"/>
      <c r="V50" s="6"/>
      <c r="W50" s="6"/>
      <c r="X50" s="6"/>
      <c r="Y50" s="6"/>
    </row>
    <row r="51" spans="1:25" ht="15.75" customHeight="1">
      <c r="A51" s="6"/>
      <c r="B51" s="1057"/>
      <c r="C51" s="1057"/>
      <c r="D51" s="1057"/>
      <c r="E51" s="1057"/>
      <c r="F51" s="1515"/>
      <c r="G51" s="1515"/>
      <c r="H51" s="1515"/>
      <c r="I51" s="1515"/>
      <c r="J51" s="1515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</row>
    <row r="52" spans="1:25" ht="15.75" customHeight="1">
      <c r="A52" s="6"/>
      <c r="B52" s="1057"/>
      <c r="C52" s="1511" t="s">
        <v>1964</v>
      </c>
      <c r="D52" s="1511"/>
      <c r="E52" s="1511">
        <f>CHOOSE(DCF_ScenarioSet,N43,O43,P43,Q43)</f>
        <v>0</v>
      </c>
      <c r="F52" s="1512" t="str">
        <f>IFERROR(CHOOSE(MATCH($D52,$C53:$C56,0),F53,F54,F55,F56),"NA")</f>
        <v>NA</v>
      </c>
      <c r="G52" s="1512" t="str">
        <f>IFERROR(CHOOSE(MATCH($D52,$C53:$C56,0),G53,G54,G55,G56),"NA")</f>
        <v>NA</v>
      </c>
      <c r="H52" s="1512" t="str">
        <f>IFERROR(CHOOSE(MATCH($D52,$C53:$C56,0),H53,H54,H55,H56),"NA")</f>
        <v>NA</v>
      </c>
      <c r="I52" s="1512" t="str">
        <f t="shared" ref="I52:J52" si="6">IFERROR(CHOOSE(MATCH($D52,$C53:$C56,0),I53,I54,I55,I56),"NA")</f>
        <v>NA</v>
      </c>
      <c r="J52" s="1512" t="str">
        <f t="shared" si="6"/>
        <v>NA</v>
      </c>
      <c r="K52" s="6"/>
      <c r="L52" s="6"/>
      <c r="M52" s="23" t="s">
        <v>972</v>
      </c>
      <c r="N52" s="23"/>
      <c r="O52" s="23"/>
      <c r="P52" s="23"/>
      <c r="Q52" s="23"/>
      <c r="R52" s="23"/>
      <c r="S52" s="23"/>
      <c r="T52" s="6"/>
      <c r="U52" s="6"/>
      <c r="V52" s="6"/>
      <c r="W52" s="6"/>
    </row>
    <row r="53" spans="1:25" ht="15.75" customHeight="1">
      <c r="A53" s="6"/>
      <c r="B53" s="1057"/>
      <c r="C53" s="1057"/>
      <c r="D53" s="1513" t="s">
        <v>1959</v>
      </c>
      <c r="E53" s="1057"/>
      <c r="F53" s="1514" t="e">
        <f>_xlfn.FORECAST.ETS(F38,DCF_SGandAHistoricalSet,'[1]DCF Valuation'!$E$36:$H$36)</f>
        <v>#NUM!</v>
      </c>
      <c r="G53" s="1514" t="e">
        <f>_xlfn.FORECAST.ETS(G38,DCF_SGandAHistoricalSet,'[1]DCF Valuation'!$E$36:$H$36)</f>
        <v>#NUM!</v>
      </c>
      <c r="H53" s="1514" t="e">
        <f>_xlfn.FORECAST.ETS(H38,DCF_SGandAHistoricalSet,'[1]DCF Valuation'!$E$36:$H$36)</f>
        <v>#NUM!</v>
      </c>
      <c r="I53" s="1514" t="e">
        <f>_xlfn.FORECAST.ETS(I38,DCF_SGandAHistoricalSet,'[1]DCF Valuation'!$E$36:$H$36)</f>
        <v>#NUM!</v>
      </c>
      <c r="J53" s="1514" t="e">
        <f>_xlfn.FORECAST.ETS(J38,DCF_SGandAHistoricalSet,'[1]DCF Valuation'!$E$36:$H$36)</f>
        <v>#NUM!</v>
      </c>
      <c r="K53" s="6"/>
      <c r="L53" s="6"/>
      <c r="M53" s="475" t="s">
        <v>973</v>
      </c>
      <c r="N53" s="475"/>
      <c r="O53" s="475"/>
      <c r="P53" s="475"/>
      <c r="Q53" s="475"/>
      <c r="R53" s="556" t="s">
        <v>974</v>
      </c>
      <c r="S53" s="549">
        <v>1600</v>
      </c>
      <c r="T53" s="6"/>
      <c r="U53" s="6"/>
      <c r="V53" s="6"/>
      <c r="W53" s="6"/>
      <c r="X53" s="6"/>
      <c r="Y53" s="6"/>
    </row>
    <row r="54" spans="1:25" ht="15.75" customHeight="1">
      <c r="A54" s="6"/>
      <c r="B54" s="1057"/>
      <c r="C54" s="1057"/>
      <c r="D54" s="1513" t="s">
        <v>1960</v>
      </c>
      <c r="E54" s="1057"/>
      <c r="F54" s="1514"/>
      <c r="G54" s="1514"/>
      <c r="H54" s="1514"/>
      <c r="I54" s="1514"/>
      <c r="J54" s="1514"/>
      <c r="K54" s="6"/>
      <c r="L54" s="6"/>
      <c r="M54" s="478" t="s">
        <v>975</v>
      </c>
      <c r="N54" s="478"/>
      <c r="O54" s="478"/>
      <c r="Q54" s="478"/>
      <c r="R54" s="583"/>
      <c r="S54" s="549">
        <v>2520</v>
      </c>
      <c r="T54" s="6"/>
      <c r="U54" s="6"/>
      <c r="V54" s="6"/>
      <c r="W54" s="6"/>
      <c r="X54" s="6"/>
      <c r="Y54" s="6"/>
    </row>
    <row r="55" spans="1:25" ht="15.75" customHeight="1">
      <c r="A55" s="6"/>
      <c r="B55" s="1057"/>
      <c r="C55" s="1057"/>
      <c r="D55" s="1513" t="s">
        <v>1961</v>
      </c>
      <c r="E55" s="1057"/>
      <c r="F55" s="1514"/>
      <c r="G55" s="1514"/>
      <c r="H55" s="1514"/>
      <c r="I55" s="1514"/>
      <c r="J55" s="1514"/>
      <c r="K55" s="6"/>
      <c r="L55" s="6"/>
      <c r="M55" s="478" t="s">
        <v>976</v>
      </c>
      <c r="N55" s="478"/>
      <c r="O55" s="478"/>
      <c r="P55" s="478"/>
      <c r="Q55" s="478"/>
      <c r="R55" s="478"/>
      <c r="S55" s="584">
        <v>0.5</v>
      </c>
      <c r="T55" s="6"/>
      <c r="U55" s="6"/>
      <c r="V55" s="6"/>
      <c r="W55" s="6"/>
      <c r="X55" s="6"/>
      <c r="Y55" s="6"/>
    </row>
    <row r="56" spans="1:25" ht="15.75" customHeight="1">
      <c r="A56" s="6"/>
      <c r="B56" s="1057"/>
      <c r="C56" s="1057"/>
      <c r="D56" s="1513" t="s">
        <v>1962</v>
      </c>
      <c r="E56" s="1057"/>
      <c r="F56" s="1514"/>
      <c r="G56" s="1514"/>
      <c r="H56" s="1514"/>
      <c r="I56" s="1514"/>
      <c r="J56" s="1514"/>
      <c r="K56" s="6"/>
      <c r="L56" s="6"/>
      <c r="M56" s="483" t="s">
        <v>977</v>
      </c>
      <c r="N56" s="483"/>
      <c r="O56" s="483"/>
      <c r="P56" s="561"/>
      <c r="Q56" s="562"/>
      <c r="R56" s="563"/>
      <c r="S56" s="585">
        <v>0.15</v>
      </c>
      <c r="T56" s="6"/>
      <c r="U56" s="6"/>
      <c r="V56" s="6"/>
      <c r="W56" s="6"/>
      <c r="X56" s="6"/>
      <c r="Y56" s="6"/>
    </row>
    <row r="57" spans="1:25" ht="15.75" customHeight="1">
      <c r="A57" s="6"/>
      <c r="B57" s="1057"/>
      <c r="C57" s="1057"/>
      <c r="D57" s="1057"/>
      <c r="E57" s="1057"/>
      <c r="F57" s="1515"/>
      <c r="G57" s="1515"/>
      <c r="H57" s="1515"/>
      <c r="I57" s="1515"/>
      <c r="J57" s="1515"/>
      <c r="K57" s="6"/>
      <c r="L57" s="6"/>
      <c r="M57" s="478" t="s">
        <v>130</v>
      </c>
      <c r="N57" s="478"/>
      <c r="O57" s="478"/>
      <c r="P57" s="478"/>
      <c r="Q57" s="478"/>
      <c r="R57" s="478"/>
      <c r="S57" s="584">
        <v>0.5</v>
      </c>
      <c r="T57" s="6"/>
      <c r="U57" s="6"/>
      <c r="V57" s="6"/>
      <c r="W57" s="6"/>
      <c r="X57" s="6"/>
      <c r="Y57" s="6"/>
    </row>
    <row r="58" spans="1:25" ht="15.75" customHeight="1">
      <c r="A58" s="6"/>
      <c r="B58" s="1057"/>
      <c r="C58" s="1057"/>
      <c r="D58" s="1057"/>
      <c r="E58" s="1057"/>
      <c r="F58" s="1515"/>
      <c r="G58" s="1515"/>
      <c r="H58" s="1515"/>
      <c r="I58" s="1515"/>
      <c r="J58" s="1515"/>
      <c r="K58" s="6"/>
      <c r="L58" s="6"/>
      <c r="M58" s="478" t="s">
        <v>131</v>
      </c>
      <c r="N58" s="478"/>
      <c r="O58" s="478"/>
      <c r="P58" s="478"/>
      <c r="Q58" s="478"/>
      <c r="R58" s="556" t="s">
        <v>132</v>
      </c>
      <c r="S58" s="586">
        <v>16</v>
      </c>
      <c r="T58" s="6"/>
      <c r="U58" s="6"/>
      <c r="V58" s="6"/>
      <c r="W58" s="6"/>
      <c r="X58" s="6"/>
      <c r="Y58" s="6"/>
    </row>
    <row r="59" spans="1:25" ht="15.75" customHeight="1">
      <c r="A59" s="6"/>
      <c r="B59" s="1057"/>
      <c r="C59" s="1511" t="s">
        <v>1965</v>
      </c>
      <c r="D59" s="1511"/>
      <c r="E59" s="1511">
        <f>CHOOSE(DCF_ScenarioSet,N44,O44,P44,Q44)</f>
        <v>0</v>
      </c>
      <c r="F59" s="1512" t="str">
        <f>IFERROR(CHOOSE(MATCH($D59,$C60:$C63,0),F60,F61,F62,F63),"NA")</f>
        <v>NA</v>
      </c>
      <c r="G59" s="1512" t="str">
        <f>IFERROR(CHOOSE(MATCH($D59,$C60:$C63,0),G60,G61,G62,G63),"NA")</f>
        <v>NA</v>
      </c>
      <c r="H59" s="1512" t="str">
        <f>IFERROR(CHOOSE(MATCH($D59,$C60:$C63,0),H60,H61,H62,H63),"NA")</f>
        <v>NA</v>
      </c>
      <c r="I59" s="1512" t="str">
        <f t="shared" ref="I59:J59" si="7">IFERROR(CHOOSE(MATCH($D59,$C60:$C63,0),I60,I61,I62,I63),"NA")</f>
        <v>NA</v>
      </c>
      <c r="J59" s="1512" t="str">
        <f t="shared" si="7"/>
        <v>NA</v>
      </c>
      <c r="K59" s="6"/>
      <c r="L59" s="6"/>
      <c r="M59" s="478" t="s">
        <v>133</v>
      </c>
      <c r="N59" s="478"/>
      <c r="O59" s="478"/>
      <c r="P59" s="582"/>
      <c r="Q59" s="478"/>
      <c r="R59" s="556" t="s">
        <v>132</v>
      </c>
      <c r="S59" s="586">
        <v>20</v>
      </c>
      <c r="T59" s="6"/>
      <c r="U59" s="6"/>
      <c r="V59" s="6"/>
      <c r="W59" s="6"/>
      <c r="X59" s="6"/>
      <c r="Y59" s="6"/>
    </row>
    <row r="60" spans="1:25" ht="15.75" customHeight="1">
      <c r="A60" s="6"/>
      <c r="B60" s="1057"/>
      <c r="C60" s="1057"/>
      <c r="D60" s="1513" t="s">
        <v>1959</v>
      </c>
      <c r="E60" s="1057"/>
      <c r="F60" s="1514">
        <f>DCF_DepnAndAmortPoPPE_2017</f>
        <v>0.27775845741465005</v>
      </c>
      <c r="G60" s="1514">
        <f>DCF_DepnAndAmortPoPPE_2017</f>
        <v>0.27775845741465005</v>
      </c>
      <c r="H60" s="1514">
        <f>DCF_DepnAndAmortPoPPE_2017</f>
        <v>0.27775845741465005</v>
      </c>
      <c r="I60" s="1514">
        <f>DCF_DepnAndAmortPoPPE_2017</f>
        <v>0.27775845741465005</v>
      </c>
      <c r="J60" s="1514">
        <f>DCF_DepnAndAmortPoPPE_2017</f>
        <v>0.27775845741465005</v>
      </c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spans="1:25" ht="15.75" customHeight="1">
      <c r="A61" s="6"/>
      <c r="B61" s="1057"/>
      <c r="C61" s="1057"/>
      <c r="D61" s="1513" t="s">
        <v>1960</v>
      </c>
      <c r="E61" s="1057"/>
      <c r="F61" s="1514"/>
      <c r="G61" s="1514"/>
      <c r="H61" s="1514"/>
      <c r="I61" s="1514"/>
      <c r="J61" s="1514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</row>
    <row r="62" spans="1:25" ht="15.75" customHeight="1">
      <c r="A62" s="6"/>
      <c r="B62" s="1057"/>
      <c r="C62" s="1057"/>
      <c r="D62" s="1513" t="s">
        <v>1961</v>
      </c>
      <c r="E62" s="1057"/>
      <c r="F62" s="1514"/>
      <c r="G62" s="1514"/>
      <c r="H62" s="1514"/>
      <c r="I62" s="1514"/>
      <c r="J62" s="1514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</row>
    <row r="63" spans="1:25" ht="15.75" customHeight="1">
      <c r="A63" s="6"/>
      <c r="B63" s="1057"/>
      <c r="C63" s="1057"/>
      <c r="D63" s="1513" t="s">
        <v>1962</v>
      </c>
      <c r="E63" s="1057"/>
      <c r="F63" s="1514">
        <v>0.2</v>
      </c>
      <c r="G63" s="1514">
        <v>0.17</v>
      </c>
      <c r="H63" s="1514">
        <v>0.16</v>
      </c>
      <c r="I63" s="1514">
        <v>0.15</v>
      </c>
      <c r="J63" s="1514">
        <v>0.14000000000000001</v>
      </c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</row>
    <row r="64" spans="1:25" ht="15.75" customHeight="1">
      <c r="A64" s="6"/>
      <c r="B64" s="1057"/>
      <c r="C64" s="1057"/>
      <c r="D64" s="1057"/>
      <c r="E64" s="1057"/>
      <c r="F64" s="1515"/>
      <c r="G64" s="1515"/>
      <c r="H64" s="1515"/>
      <c r="I64" s="1515"/>
      <c r="J64" s="1515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</row>
    <row r="65" spans="1:23" ht="15.75" customHeight="1">
      <c r="A65" s="6"/>
      <c r="B65" s="1057"/>
      <c r="C65" s="1511" t="s">
        <v>1966</v>
      </c>
      <c r="D65" s="1511"/>
      <c r="E65" s="1511">
        <f>CHOOSE(DCF_ScenarioSet,N45,O45,P45,Q45)</f>
        <v>0</v>
      </c>
      <c r="F65" s="1512" t="str">
        <f>IFERROR(CHOOSE(MATCH($D65,$C66:$C69,0),F66,F67,F68,F69),"NA")</f>
        <v>NA</v>
      </c>
      <c r="G65" s="1512" t="str">
        <f>IFERROR(CHOOSE(MATCH($D65,$C66:$C69,0),G66,G67,G68,G69),"NA")</f>
        <v>NA</v>
      </c>
      <c r="H65" s="1512" t="str">
        <f>IFERROR(CHOOSE(MATCH($D65,$C66:$C69,0),H66,H67,H68,H69),"NA")</f>
        <v>NA</v>
      </c>
      <c r="I65" s="1512" t="str">
        <f t="shared" ref="I65:J65" si="8">IFERROR(CHOOSE(MATCH($D65,$C66:$C69,0),I66,I67,I68,I69),"NA")</f>
        <v>NA</v>
      </c>
      <c r="J65" s="1512" t="str">
        <f t="shared" si="8"/>
        <v>NA</v>
      </c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</row>
    <row r="66" spans="1:23" ht="15.75" customHeight="1">
      <c r="A66" s="6"/>
      <c r="B66" s="1057"/>
      <c r="C66" s="1057"/>
      <c r="D66" s="1513" t="s">
        <v>1959</v>
      </c>
      <c r="E66" s="1057"/>
      <c r="F66" s="1514">
        <v>0.3</v>
      </c>
      <c r="G66" s="1514">
        <v>0.3</v>
      </c>
      <c r="H66" s="1514">
        <v>0.3</v>
      </c>
      <c r="I66" s="1514">
        <v>0.3</v>
      </c>
      <c r="J66" s="1514">
        <v>0.3</v>
      </c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</row>
    <row r="67" spans="1:23" ht="15.75" customHeight="1">
      <c r="A67" s="6"/>
      <c r="B67" s="1057"/>
      <c r="C67" s="1057"/>
      <c r="D67" s="1513" t="s">
        <v>1960</v>
      </c>
      <c r="E67" s="1057"/>
      <c r="F67" s="1514"/>
      <c r="G67" s="1514"/>
      <c r="H67" s="1514"/>
      <c r="I67" s="1514"/>
      <c r="J67" s="1514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</row>
    <row r="68" spans="1:23" ht="15.75" customHeight="1">
      <c r="A68" s="6"/>
      <c r="B68" s="1057"/>
      <c r="C68" s="1057"/>
      <c r="D68" s="1513" t="s">
        <v>1961</v>
      </c>
      <c r="E68" s="1057"/>
      <c r="F68" s="1514"/>
      <c r="G68" s="1514"/>
      <c r="H68" s="1514"/>
      <c r="I68" s="1514"/>
      <c r="J68" s="1514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</row>
    <row r="69" spans="1:23" ht="15.75" customHeight="1">
      <c r="A69" s="6"/>
      <c r="B69" s="1057"/>
      <c r="C69" s="1057"/>
      <c r="D69" s="1513" t="s">
        <v>1962</v>
      </c>
      <c r="E69" s="1057"/>
      <c r="F69" s="1514"/>
      <c r="G69" s="1514"/>
      <c r="H69" s="1514"/>
      <c r="I69" s="1514"/>
      <c r="J69" s="1514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</row>
    <row r="70" spans="1:23" ht="15.75" customHeight="1">
      <c r="A70" s="6"/>
      <c r="B70" s="1057"/>
      <c r="C70" s="1057"/>
      <c r="D70" s="1057"/>
      <c r="E70" s="1057"/>
      <c r="F70" s="1516"/>
      <c r="G70" s="1516"/>
      <c r="H70" s="1516"/>
      <c r="I70" s="1516"/>
      <c r="J70" s="151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</row>
    <row r="71" spans="1:23" ht="15.75" customHeight="1">
      <c r="A71" s="6"/>
      <c r="B71" s="1077" t="s">
        <v>1967</v>
      </c>
      <c r="C71" s="1078"/>
      <c r="D71" s="1078"/>
      <c r="E71" s="1078"/>
      <c r="F71" s="1510"/>
      <c r="G71" s="1510"/>
      <c r="H71" s="1510"/>
      <c r="I71" s="1510"/>
      <c r="J71" s="1510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</row>
    <row r="72" spans="1:23" ht="15.75" customHeight="1">
      <c r="A72" s="6"/>
      <c r="B72" s="1060" t="s">
        <v>313</v>
      </c>
      <c r="C72" s="1060"/>
      <c r="D72" s="1057"/>
      <c r="E72" s="1057"/>
      <c r="F72" s="1516"/>
      <c r="G72" s="1516"/>
      <c r="H72" s="1516"/>
      <c r="I72" s="1516"/>
      <c r="J72" s="151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</row>
    <row r="73" spans="1:23" ht="15.75" customHeight="1">
      <c r="A73" s="6"/>
      <c r="B73" s="1057"/>
      <c r="C73" s="1511" t="s">
        <v>1968</v>
      </c>
      <c r="D73" s="1511"/>
      <c r="E73" s="1511">
        <f>CHOOSE(DCF_ScenarioSet,N48,O48,P48,Q48)</f>
        <v>0</v>
      </c>
      <c r="F73" s="1517" t="str">
        <f>IFERROR(CHOOSE(MATCH($D73,$C74:$C77,0),F74,F75,F76,F77),"NA")</f>
        <v>NA</v>
      </c>
      <c r="G73" s="1517" t="str">
        <f>IFERROR(CHOOSE(MATCH($D73,$C74:$C77,0),G74,G75,G76,G77),"NA")</f>
        <v>NA</v>
      </c>
      <c r="H73" s="1517" t="str">
        <f>IFERROR(CHOOSE(MATCH($D73,$C74:$C77,0),H74,H75,H76,H77),"NA")</f>
        <v>NA</v>
      </c>
      <c r="I73" s="1517" t="str">
        <f t="shared" ref="I73:J73" si="9">IFERROR(CHOOSE(MATCH($D73,$C74:$C77,0),I74,I75,I76,I77),"NA")</f>
        <v>NA</v>
      </c>
      <c r="J73" s="1517" t="str">
        <f t="shared" si="9"/>
        <v>NA</v>
      </c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</row>
    <row r="74" spans="1:23" ht="15.75" customHeight="1">
      <c r="A74" s="6"/>
      <c r="B74" s="1057"/>
      <c r="C74" s="1057"/>
      <c r="D74" s="1513" t="s">
        <v>1959</v>
      </c>
      <c r="E74" s="1057"/>
      <c r="F74" s="1518">
        <f>DCF_ReceivablesDSO_2017</f>
        <v>77.052918224678919</v>
      </c>
      <c r="G74" s="1518">
        <f>DCF_ReceivablesDSO_2017</f>
        <v>77.052918224678919</v>
      </c>
      <c r="H74" s="1518">
        <f>DCF_ReceivablesDSO_2017</f>
        <v>77.052918224678919</v>
      </c>
      <c r="I74" s="1518">
        <f>DCF_ReceivablesDSO_2017</f>
        <v>77.052918224678919</v>
      </c>
      <c r="J74" s="1518">
        <f>DCF_ReceivablesDSO_2017</f>
        <v>77.052918224678919</v>
      </c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</row>
    <row r="75" spans="1:23" ht="15.75" customHeight="1">
      <c r="A75" s="6"/>
      <c r="B75" s="1057"/>
      <c r="C75" s="1057"/>
      <c r="D75" s="1513" t="s">
        <v>1960</v>
      </c>
      <c r="E75" s="1057"/>
      <c r="F75" s="1518"/>
      <c r="G75" s="1518"/>
      <c r="H75" s="1518"/>
      <c r="I75" s="1518"/>
      <c r="J75" s="1518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</row>
    <row r="76" spans="1:23" ht="15.75" customHeight="1">
      <c r="A76" s="6"/>
      <c r="B76" s="1057"/>
      <c r="C76" s="1057"/>
      <c r="D76" s="1513" t="s">
        <v>1961</v>
      </c>
      <c r="E76" s="1057"/>
      <c r="F76" s="1518"/>
      <c r="G76" s="1518"/>
      <c r="H76" s="1518"/>
      <c r="I76" s="1518"/>
      <c r="J76" s="1518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</row>
    <row r="77" spans="1:23" ht="15.75" customHeight="1">
      <c r="A77" s="6"/>
      <c r="B77" s="1057"/>
      <c r="C77" s="1057"/>
      <c r="D77" s="1513" t="s">
        <v>1962</v>
      </c>
      <c r="E77" s="1057"/>
      <c r="F77" s="1518"/>
      <c r="G77" s="1518"/>
      <c r="H77" s="1518"/>
      <c r="I77" s="1518"/>
      <c r="J77" s="1518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</row>
    <row r="78" spans="1:23" ht="15.75" customHeight="1">
      <c r="A78" s="6"/>
      <c r="B78" s="1057"/>
      <c r="C78" s="1057"/>
      <c r="D78" s="1057"/>
      <c r="E78" s="1057"/>
      <c r="F78" s="1519"/>
      <c r="G78" s="1519"/>
      <c r="H78" s="1519"/>
      <c r="I78" s="1519"/>
      <c r="J78" s="1519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</row>
    <row r="79" spans="1:23" ht="15.75" customHeight="1">
      <c r="A79" s="6"/>
      <c r="B79" s="1057"/>
      <c r="C79" s="1511" t="s">
        <v>1969</v>
      </c>
      <c r="D79" s="1511"/>
      <c r="E79" s="1511">
        <f>CHOOSE(DCF_ScenarioSet,N49,O49,P49,Q49)</f>
        <v>0</v>
      </c>
      <c r="F79" s="1517" t="str">
        <f>IFERROR(CHOOSE(MATCH($D79,$C80:$C83,0),F80,F81,F82,F83),"NA")</f>
        <v>NA</v>
      </c>
      <c r="G79" s="1517" t="str">
        <f>IFERROR(CHOOSE(MATCH($D79,$C80:$C83,0),G80,G81,G82,G83),"NA")</f>
        <v>NA</v>
      </c>
      <c r="H79" s="1517" t="str">
        <f>IFERROR(CHOOSE(MATCH($D79,$C80:$C83,0),H80,H81,H82,H83),"NA")</f>
        <v>NA</v>
      </c>
      <c r="I79" s="1517" t="str">
        <f t="shared" ref="I79:J79" si="10">IFERROR(CHOOSE(MATCH($D79,$C80:$C83,0),I80,I81,I82,I83),"NA")</f>
        <v>NA</v>
      </c>
      <c r="J79" s="1517" t="str">
        <f t="shared" si="10"/>
        <v>NA</v>
      </c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</row>
    <row r="80" spans="1:23" ht="15.75" customHeight="1">
      <c r="A80" s="6"/>
      <c r="B80" s="1057"/>
      <c r="C80" s="1057"/>
      <c r="D80" s="1513" t="s">
        <v>1959</v>
      </c>
      <c r="E80" s="1057"/>
      <c r="F80" s="1518">
        <f>DCF_InventoriesDIH_2017</f>
        <v>8.976307792353964</v>
      </c>
      <c r="G80" s="1518">
        <f>DCF_InventoriesDIH_2017</f>
        <v>8.976307792353964</v>
      </c>
      <c r="H80" s="1518">
        <f>DCF_InventoriesDIH_2017</f>
        <v>8.976307792353964</v>
      </c>
      <c r="I80" s="1518">
        <f>DCF_InventoriesDIH_2017</f>
        <v>8.976307792353964</v>
      </c>
      <c r="J80" s="1518">
        <f>DCF_InventoriesDIH_2017</f>
        <v>8.976307792353964</v>
      </c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</row>
    <row r="81" spans="1:23" ht="15.75" customHeight="1">
      <c r="A81" s="6"/>
      <c r="B81" s="1057"/>
      <c r="C81" s="1057"/>
      <c r="D81" s="1513" t="s">
        <v>1960</v>
      </c>
      <c r="E81" s="1057"/>
      <c r="F81" s="1518"/>
      <c r="G81" s="1518"/>
      <c r="H81" s="1518"/>
      <c r="I81" s="1518"/>
      <c r="J81" s="1518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</row>
    <row r="82" spans="1:23" ht="15.75" customHeight="1">
      <c r="A82" s="6"/>
      <c r="B82" s="1057"/>
      <c r="C82" s="1057"/>
      <c r="D82" s="1513" t="s">
        <v>1961</v>
      </c>
      <c r="E82" s="1057"/>
      <c r="F82" s="1518"/>
      <c r="G82" s="1518"/>
      <c r="H82" s="1518"/>
      <c r="I82" s="1518"/>
      <c r="J82" s="1518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</row>
    <row r="83" spans="1:23" ht="15.75" customHeight="1">
      <c r="A83" s="6"/>
      <c r="B83" s="1057"/>
      <c r="C83" s="1057"/>
      <c r="D83" s="1513" t="s">
        <v>1962</v>
      </c>
      <c r="E83" s="1057"/>
      <c r="F83" s="1518"/>
      <c r="G83" s="1518"/>
      <c r="H83" s="1518"/>
      <c r="I83" s="1518"/>
      <c r="J83" s="1518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</row>
    <row r="84" spans="1:23" ht="15.75" customHeight="1">
      <c r="A84" s="6"/>
      <c r="B84" s="1057"/>
      <c r="C84" s="1057"/>
      <c r="D84" s="1057"/>
      <c r="E84" s="1057"/>
      <c r="F84" s="1516"/>
      <c r="G84" s="1516"/>
      <c r="H84" s="1516"/>
      <c r="I84" s="1516"/>
      <c r="J84" s="151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</row>
    <row r="85" spans="1:23" ht="15.75" customHeight="1">
      <c r="A85" s="6"/>
      <c r="B85" s="1057"/>
      <c r="C85" s="1511" t="s">
        <v>1970</v>
      </c>
      <c r="D85" s="1511"/>
      <c r="E85" s="1511">
        <f>CHOOSE(DCF_ScenarioSet,N50,O50,P50,Q50)</f>
        <v>0</v>
      </c>
      <c r="F85" s="1512" t="str">
        <f>IFERROR(CHOOSE(MATCH($D85,$C86:$C89,0),F86,F87,F88,F89),"NA")</f>
        <v>NA</v>
      </c>
      <c r="G85" s="1512" t="str">
        <f>IFERROR(CHOOSE(MATCH($D85,$C86:$C89,0),G86,G87,G88,G89),"NA")</f>
        <v>NA</v>
      </c>
      <c r="H85" s="1512" t="str">
        <f>IFERROR(CHOOSE(MATCH($D85,$C86:$C89,0),H86,H87,H88,H89),"NA")</f>
        <v>NA</v>
      </c>
      <c r="I85" s="1512" t="str">
        <f t="shared" ref="I85:J85" si="11">IFERROR(CHOOSE(MATCH($D85,$C86:$C89,0),I86,I87,I88,I89),"NA")</f>
        <v>NA</v>
      </c>
      <c r="J85" s="1512" t="str">
        <f t="shared" si="11"/>
        <v>NA</v>
      </c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</row>
    <row r="86" spans="1:23" ht="15.75" customHeight="1">
      <c r="A86" s="6"/>
      <c r="B86" s="1057"/>
      <c r="C86" s="1057"/>
      <c r="D86" s="1513" t="s">
        <v>1959</v>
      </c>
      <c r="E86" s="1057"/>
      <c r="F86" s="1514">
        <f>DCF_PrepaidsPOS_2017</f>
        <v>6.0234108275077226E-2</v>
      </c>
      <c r="G86" s="1514">
        <f>DCF_PrepaidsPOS_2017</f>
        <v>6.0234108275077226E-2</v>
      </c>
      <c r="H86" s="1514">
        <f>DCF_PrepaidsPOS_2017</f>
        <v>6.0234108275077226E-2</v>
      </c>
      <c r="I86" s="1514">
        <f>DCF_PrepaidsPOS_2017</f>
        <v>6.0234108275077226E-2</v>
      </c>
      <c r="J86" s="1514">
        <f>DCF_PrepaidsPOS_2017</f>
        <v>6.0234108275077226E-2</v>
      </c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</row>
    <row r="87" spans="1:23" ht="15.75" customHeight="1">
      <c r="A87" s="6"/>
      <c r="B87" s="1057"/>
      <c r="C87" s="1057"/>
      <c r="D87" s="1513" t="s">
        <v>1960</v>
      </c>
      <c r="E87" s="1057"/>
      <c r="F87" s="1514"/>
      <c r="G87" s="1514"/>
      <c r="H87" s="1514"/>
      <c r="I87" s="1514"/>
      <c r="J87" s="1514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</row>
    <row r="88" spans="1:23" ht="15.75" customHeight="1">
      <c r="A88" s="6"/>
      <c r="B88" s="1057"/>
      <c r="C88" s="1057"/>
      <c r="D88" s="1513" t="s">
        <v>1961</v>
      </c>
      <c r="E88" s="1057"/>
      <c r="F88" s="1514"/>
      <c r="G88" s="1514"/>
      <c r="H88" s="1514"/>
      <c r="I88" s="1514"/>
      <c r="J88" s="1514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</row>
    <row r="89" spans="1:23" ht="15.75" customHeight="1">
      <c r="A89" s="6"/>
      <c r="B89" s="1057"/>
      <c r="C89" s="1057"/>
      <c r="D89" s="1513" t="s">
        <v>1962</v>
      </c>
      <c r="E89" s="1057"/>
      <c r="F89" s="1514"/>
      <c r="G89" s="1514"/>
      <c r="H89" s="1514"/>
      <c r="I89" s="1514"/>
      <c r="J89" s="1514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</row>
    <row r="90" spans="1:23" ht="15.75" customHeight="1">
      <c r="A90" s="6"/>
      <c r="B90" s="1057"/>
      <c r="C90" s="1057"/>
      <c r="D90" s="1057"/>
      <c r="E90" s="1057"/>
      <c r="F90" s="1515"/>
      <c r="G90" s="1515"/>
      <c r="H90" s="1515"/>
      <c r="I90" s="1515"/>
      <c r="J90" s="1515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</row>
    <row r="91" spans="1:23" ht="15.75" customHeight="1">
      <c r="A91" s="6"/>
      <c r="B91" s="1057"/>
      <c r="C91" s="1511" t="s">
        <v>1971</v>
      </c>
      <c r="D91" s="1511"/>
      <c r="E91" s="1511">
        <f>CHOOSE(DCF_ScenarioSet,N51,O51,P51,Q51)</f>
        <v>0</v>
      </c>
      <c r="F91" s="1512" t="str">
        <f>IFERROR(CHOOSE(MATCH($D91,$C92:$C95,0),F92,F93,F94,F95),"NA")</f>
        <v>NA</v>
      </c>
      <c r="G91" s="1512" t="str">
        <f>IFERROR(CHOOSE(MATCH($D91,$C92:$C95,0),G92,G93,G94,G95),"NA")</f>
        <v>NA</v>
      </c>
      <c r="H91" s="1512" t="str">
        <f>IFERROR(CHOOSE(MATCH($D91,$C92:$C95,0),H92,H93,H94,H95),"NA")</f>
        <v>NA</v>
      </c>
      <c r="I91" s="1512" t="str">
        <f t="shared" ref="I91:J91" si="12">IFERROR(CHOOSE(MATCH($D91,$C92:$C95,0),I92,I93,I94,I95),"NA")</f>
        <v>NA</v>
      </c>
      <c r="J91" s="1512" t="str">
        <f t="shared" si="12"/>
        <v>NA</v>
      </c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</row>
    <row r="92" spans="1:23" ht="15.75" customHeight="1">
      <c r="A92" s="6"/>
      <c r="B92" s="1057"/>
      <c r="C92" s="1057"/>
      <c r="D92" s="1513" t="s">
        <v>1959</v>
      </c>
      <c r="E92" s="1057"/>
      <c r="F92" s="1514">
        <f>DCF_OtherCurrentAssetsPOS_2017</f>
        <v>5.9008541450420816E-2</v>
      </c>
      <c r="G92" s="1514">
        <f>DCF_OtherCurrentAssetsPOS_2017</f>
        <v>5.9008541450420816E-2</v>
      </c>
      <c r="H92" s="1514">
        <f>DCF_OtherCurrentAssetsPOS_2017</f>
        <v>5.9008541450420816E-2</v>
      </c>
      <c r="I92" s="1514">
        <f>DCF_OtherCurrentAssetsPOS_2017</f>
        <v>5.9008541450420816E-2</v>
      </c>
      <c r="J92" s="1514">
        <f>DCF_OtherCurrentAssetsPOS_2017</f>
        <v>5.9008541450420816E-2</v>
      </c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</row>
    <row r="93" spans="1:23" ht="15.75" customHeight="1">
      <c r="A93" s="6"/>
      <c r="B93" s="1057"/>
      <c r="C93" s="1057"/>
      <c r="D93" s="1513" t="s">
        <v>1960</v>
      </c>
      <c r="E93" s="1057"/>
      <c r="F93" s="1514"/>
      <c r="G93" s="1514"/>
      <c r="H93" s="1514"/>
      <c r="I93" s="1514"/>
      <c r="J93" s="1514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</row>
    <row r="94" spans="1:23" ht="15.75" customHeight="1">
      <c r="A94" s="6"/>
      <c r="B94" s="1057"/>
      <c r="C94" s="1057"/>
      <c r="D94" s="1513" t="s">
        <v>1961</v>
      </c>
      <c r="E94" s="1057"/>
      <c r="F94" s="1514"/>
      <c r="G94" s="1514"/>
      <c r="H94" s="1514"/>
      <c r="I94" s="1514"/>
      <c r="J94" s="1514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</row>
    <row r="95" spans="1:23" ht="15.75" customHeight="1">
      <c r="A95" s="6"/>
      <c r="B95" s="1057"/>
      <c r="C95" s="1057"/>
      <c r="D95" s="1513" t="s">
        <v>1962</v>
      </c>
      <c r="E95" s="1057"/>
      <c r="F95" s="1514"/>
      <c r="G95" s="1514"/>
      <c r="H95" s="1514"/>
      <c r="I95" s="1514"/>
      <c r="J95" s="1514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</row>
    <row r="96" spans="1:23" ht="15.75" customHeight="1">
      <c r="A96" s="6"/>
      <c r="B96" s="1057"/>
      <c r="C96" s="1057"/>
      <c r="D96" s="1057"/>
      <c r="E96" s="1057"/>
      <c r="F96" s="1516"/>
      <c r="G96" s="1516"/>
      <c r="H96" s="1516"/>
      <c r="I96" s="1516"/>
      <c r="J96" s="151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</row>
    <row r="97" spans="1:23" ht="15.75" customHeight="1">
      <c r="A97" s="6"/>
      <c r="B97" s="1060" t="s">
        <v>336</v>
      </c>
      <c r="C97" s="1060"/>
      <c r="D97" s="1057"/>
      <c r="E97" s="1057"/>
      <c r="F97" s="1516"/>
      <c r="G97" s="1516"/>
      <c r="H97" s="1516"/>
      <c r="I97" s="1516"/>
      <c r="J97" s="151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</row>
    <row r="98" spans="1:23" ht="15.75" customHeight="1">
      <c r="A98" s="6"/>
      <c r="B98" s="1057"/>
      <c r="C98" s="1511" t="s">
        <v>1972</v>
      </c>
      <c r="D98" s="1511"/>
      <c r="E98" s="1511">
        <f>CHOOSE(DCF_ScenarioSet,N53,O53,P53,Q53)</f>
        <v>0</v>
      </c>
      <c r="F98" s="1517" t="str">
        <f>IFERROR(CHOOSE(MATCH($D98,$C99:$C102,0),F99,F100,F101,F102),"NA")</f>
        <v>NA</v>
      </c>
      <c r="G98" s="1517" t="str">
        <f>IFERROR(CHOOSE(MATCH($D98,$C99:$C102,0),G99,G100,G101,G102),"NA")</f>
        <v>NA</v>
      </c>
      <c r="H98" s="1517" t="str">
        <f>IFERROR(CHOOSE(MATCH($D98,$C99:$C102,0),H99,H100,H101,H102),"NA")</f>
        <v>NA</v>
      </c>
      <c r="I98" s="1517" t="str">
        <f t="shared" ref="I98:J98" si="13">IFERROR(CHOOSE(MATCH($D98,$C99:$C102,0),I99,I100,I101,I102),"NA")</f>
        <v>NA</v>
      </c>
      <c r="J98" s="1517" t="str">
        <f t="shared" si="13"/>
        <v>NA</v>
      </c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</row>
    <row r="99" spans="1:23" ht="15.75" customHeight="1">
      <c r="A99" s="6"/>
      <c r="B99" s="1057"/>
      <c r="C99" s="1057"/>
      <c r="D99" s="1513" t="s">
        <v>1959</v>
      </c>
      <c r="E99" s="1057"/>
      <c r="F99" s="1518">
        <f>DCF_AccountsPayableDPO_2017</f>
        <v>137.95395995647988</v>
      </c>
      <c r="G99" s="1518">
        <f>DCF_AccountsPayableDPO_2017</f>
        <v>137.95395995647988</v>
      </c>
      <c r="H99" s="1518">
        <f>DCF_AccountsPayableDPO_2017</f>
        <v>137.95395995647988</v>
      </c>
      <c r="I99" s="1518">
        <f>DCF_AccountsPayableDPO_2017</f>
        <v>137.95395995647988</v>
      </c>
      <c r="J99" s="1518">
        <f>DCF_AccountsPayableDPO_2017</f>
        <v>137.95395995647988</v>
      </c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</row>
    <row r="100" spans="1:23" ht="15.75" customHeight="1">
      <c r="A100" s="6"/>
      <c r="B100" s="1057"/>
      <c r="C100" s="1057"/>
      <c r="D100" s="1513" t="s">
        <v>1960</v>
      </c>
      <c r="E100" s="1057"/>
      <c r="F100" s="1518"/>
      <c r="G100" s="1518"/>
      <c r="H100" s="1518"/>
      <c r="I100" s="1518"/>
      <c r="J100" s="1518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</row>
    <row r="101" spans="1:23" ht="15.75" customHeight="1">
      <c r="A101" s="6"/>
      <c r="B101" s="1057"/>
      <c r="C101" s="1057"/>
      <c r="D101" s="1513" t="s">
        <v>1961</v>
      </c>
      <c r="E101" s="1057"/>
      <c r="F101" s="1518"/>
      <c r="G101" s="1518"/>
      <c r="H101" s="1518"/>
      <c r="I101" s="1518"/>
      <c r="J101" s="1518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</row>
    <row r="102" spans="1:23" ht="15.75" customHeight="1">
      <c r="A102" s="6"/>
      <c r="B102" s="1057"/>
      <c r="C102" s="1057"/>
      <c r="D102" s="1513" t="s">
        <v>1962</v>
      </c>
      <c r="E102" s="1057"/>
      <c r="F102" s="1518"/>
      <c r="G102" s="1518"/>
      <c r="H102" s="1518"/>
      <c r="I102" s="1518"/>
      <c r="J102" s="1518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</row>
    <row r="103" spans="1:23" ht="15.75" customHeight="1">
      <c r="A103" s="6"/>
      <c r="B103" s="1057"/>
      <c r="C103" s="1057"/>
      <c r="D103" s="1057"/>
      <c r="E103" s="1057"/>
      <c r="F103" s="1516"/>
      <c r="G103" s="1516"/>
      <c r="H103" s="1516"/>
      <c r="I103" s="1516"/>
      <c r="J103" s="151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</row>
    <row r="104" spans="1:23" ht="15.75" customHeight="1">
      <c r="A104" s="6"/>
      <c r="B104" s="1057"/>
      <c r="C104" s="1511" t="s">
        <v>1973</v>
      </c>
      <c r="D104" s="1511"/>
      <c r="E104" s="1511">
        <f>CHOOSE(DCF_ScenarioSet,N54,O54,P54,Q54)</f>
        <v>0</v>
      </c>
      <c r="F104" s="1512" t="str">
        <f>IFERROR(CHOOSE(MATCH($D104,$C105:$C108,0),F105,F106,F107,F108),"NA")</f>
        <v>NA</v>
      </c>
      <c r="G104" s="1512" t="str">
        <f>IFERROR(CHOOSE(MATCH($D104,$C105:$C108,0),G105,G106,G107,G108),"NA")</f>
        <v>NA</v>
      </c>
      <c r="H104" s="1512" t="str">
        <f>IFERROR(CHOOSE(MATCH($D104,$C105:$C108,0),H105,H106,H107,H108),"NA")</f>
        <v>NA</v>
      </c>
      <c r="I104" s="1512" t="str">
        <f t="shared" ref="I104:J104" si="14">IFERROR(CHOOSE(MATCH($D104,$C105:$C108,0),I105,I106,I107,I108),"NA")</f>
        <v>NA</v>
      </c>
      <c r="J104" s="1512" t="str">
        <f t="shared" si="14"/>
        <v>NA</v>
      </c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</row>
    <row r="105" spans="1:23" ht="15.75" customHeight="1">
      <c r="A105" s="6"/>
      <c r="B105" s="1057"/>
      <c r="C105" s="1057"/>
      <c r="D105" s="1513" t="s">
        <v>1959</v>
      </c>
      <c r="E105" s="1057"/>
      <c r="F105" s="1514">
        <f>DCF_AccruedLiabilitiesPOS_2017</f>
        <v>0.56738741668021464</v>
      </c>
      <c r="G105" s="1514">
        <f>F105+0.005</f>
        <v>0.57238741668021464</v>
      </c>
      <c r="H105" s="1514">
        <f t="shared" ref="H105:J105" si="15">G105+0.005</f>
        <v>0.57738741668021465</v>
      </c>
      <c r="I105" s="1514">
        <f t="shared" si="15"/>
        <v>0.58238741668021465</v>
      </c>
      <c r="J105" s="1514">
        <f t="shared" si="15"/>
        <v>0.58738741668021466</v>
      </c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</row>
    <row r="106" spans="1:23" ht="15.75" customHeight="1">
      <c r="A106" s="6"/>
      <c r="B106" s="1057"/>
      <c r="C106" s="1057"/>
      <c r="D106" s="1513" t="s">
        <v>1960</v>
      </c>
      <c r="E106" s="1057"/>
      <c r="F106" s="1514"/>
      <c r="G106" s="1514"/>
      <c r="H106" s="1514"/>
      <c r="I106" s="1514"/>
      <c r="J106" s="1514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</row>
    <row r="107" spans="1:23" ht="15.75" customHeight="1">
      <c r="A107" s="6"/>
      <c r="B107" s="1057"/>
      <c r="C107" s="1057"/>
      <c r="D107" s="1513" t="s">
        <v>1961</v>
      </c>
      <c r="E107" s="1057"/>
      <c r="F107" s="1514"/>
      <c r="G107" s="1514"/>
      <c r="H107" s="1514"/>
      <c r="I107" s="1514"/>
      <c r="J107" s="1514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</row>
    <row r="108" spans="1:23" ht="15.75" customHeight="1">
      <c r="A108" s="6"/>
      <c r="B108" s="1057"/>
      <c r="C108" s="1057"/>
      <c r="D108" s="1513" t="s">
        <v>1962</v>
      </c>
      <c r="E108" s="1057"/>
      <c r="F108" s="1514"/>
      <c r="G108" s="1514"/>
      <c r="H108" s="1514"/>
      <c r="I108" s="1514"/>
      <c r="J108" s="1514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</row>
    <row r="109" spans="1:23" ht="15.75" customHeight="1">
      <c r="A109" s="6"/>
      <c r="B109" s="1057"/>
      <c r="C109" s="1057"/>
      <c r="D109" s="1057"/>
      <c r="E109" s="1057"/>
      <c r="F109" s="1515"/>
      <c r="G109" s="1515"/>
      <c r="H109" s="1515"/>
      <c r="I109" s="1515"/>
      <c r="J109" s="1515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</row>
    <row r="110" spans="1:23" ht="15.75" customHeight="1">
      <c r="A110" s="6"/>
      <c r="B110" s="1057"/>
      <c r="C110" s="1511" t="s">
        <v>1974</v>
      </c>
      <c r="D110" s="1511"/>
      <c r="E110" s="1511">
        <f>CHOOSE(DCF_ScenarioSet,N55,O55,P55,Q55)</f>
        <v>0</v>
      </c>
      <c r="F110" s="1512" t="str">
        <f>IFERROR(CHOOSE(MATCH($D110,$C111:$C114,0),F111,F112,F113,F114),"NA")</f>
        <v>NA</v>
      </c>
      <c r="G110" s="1512" t="str">
        <f>IFERROR(CHOOSE(MATCH($D110,$C111:$C114,0),G111,G112,G113,G114),"NA")</f>
        <v>NA</v>
      </c>
      <c r="H110" s="1512" t="str">
        <f>IFERROR(CHOOSE(MATCH($D110,$C111:$C114,0),H111,H112,H113,H114),"NA")</f>
        <v>NA</v>
      </c>
      <c r="I110" s="1512" t="str">
        <f t="shared" ref="I110:J110" si="16">IFERROR(CHOOSE(MATCH($D110,$C111:$C114,0),I111,I112,I113,I114),"NA")</f>
        <v>NA</v>
      </c>
      <c r="J110" s="1512" t="str">
        <f t="shared" si="16"/>
        <v>NA</v>
      </c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</row>
    <row r="111" spans="1:23" ht="15.75" customHeight="1">
      <c r="A111" s="6"/>
      <c r="B111" s="1057"/>
      <c r="C111" s="1057"/>
      <c r="D111" s="1513" t="s">
        <v>1959</v>
      </c>
      <c r="E111" s="1057"/>
      <c r="F111" s="1514">
        <f>DCF_OtherCurrentLiabilitiesPOS_2017</f>
        <v>1.2186886434976176E-2</v>
      </c>
      <c r="G111" s="1514">
        <f>DCF_OtherCurrentLiabilitiesPOS_2017</f>
        <v>1.2186886434976176E-2</v>
      </c>
      <c r="H111" s="1514">
        <f>DCF_OtherCurrentLiabilitiesPOS_2017</f>
        <v>1.2186886434976176E-2</v>
      </c>
      <c r="I111" s="1514">
        <f>DCF_OtherCurrentLiabilitiesPOS_2017</f>
        <v>1.2186886434976176E-2</v>
      </c>
      <c r="J111" s="1514">
        <f>DCF_OtherCurrentLiabilitiesPOS_2017</f>
        <v>1.2186886434976176E-2</v>
      </c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</row>
    <row r="112" spans="1:23" ht="15.75" customHeight="1">
      <c r="A112" s="6"/>
      <c r="B112" s="1057"/>
      <c r="C112" s="1057"/>
      <c r="D112" s="1513" t="s">
        <v>1960</v>
      </c>
      <c r="E112" s="1057"/>
      <c r="F112" s="1514"/>
      <c r="G112" s="1514"/>
      <c r="H112" s="1514"/>
      <c r="I112" s="1514"/>
      <c r="J112" s="1514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</row>
    <row r="113" spans="1:23" ht="15.75" customHeight="1">
      <c r="A113" s="6"/>
      <c r="B113" s="1057"/>
      <c r="C113" s="1057"/>
      <c r="D113" s="1513" t="s">
        <v>1961</v>
      </c>
      <c r="E113" s="1057"/>
      <c r="F113" s="1514"/>
      <c r="G113" s="1514"/>
      <c r="H113" s="1514"/>
      <c r="I113" s="1514"/>
      <c r="J113" s="1514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</row>
    <row r="114" spans="1:23" ht="15.75" customHeight="1">
      <c r="A114" s="6"/>
      <c r="B114" s="1057"/>
      <c r="C114" s="1057"/>
      <c r="D114" s="1513" t="s">
        <v>1962</v>
      </c>
      <c r="E114" s="1057"/>
      <c r="F114" s="1514"/>
      <c r="G114" s="1514"/>
      <c r="H114" s="1514"/>
      <c r="I114" s="1514"/>
      <c r="J114" s="1514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</row>
    <row r="115" spans="1:23" ht="15.75" customHeight="1">
      <c r="A115" s="6"/>
      <c r="B115" s="1057"/>
      <c r="C115" s="1057"/>
      <c r="D115" s="1057"/>
      <c r="E115" s="1057"/>
      <c r="F115" s="1515"/>
      <c r="G115" s="1515"/>
      <c r="H115" s="1515"/>
      <c r="I115" s="1515"/>
      <c r="J115" s="1515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</row>
    <row r="116" spans="1:23" ht="15.75" customHeight="1">
      <c r="A116" s="6"/>
      <c r="B116" s="1060" t="s">
        <v>1975</v>
      </c>
      <c r="C116" s="1060"/>
      <c r="D116" s="1057"/>
      <c r="E116" s="1057"/>
      <c r="F116" s="1515"/>
      <c r="G116" s="1515"/>
      <c r="H116" s="1515"/>
      <c r="I116" s="1515"/>
      <c r="J116" s="1515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</row>
    <row r="117" spans="1:23" ht="15.75" customHeight="1">
      <c r="A117" s="6"/>
      <c r="B117" s="1057"/>
      <c r="C117" s="1511" t="s">
        <v>1976</v>
      </c>
      <c r="D117" s="1511"/>
      <c r="E117" s="1511">
        <f>CHOOSE(DCF_ScenarioSet,N57,O57,P57,Q57)</f>
        <v>0</v>
      </c>
      <c r="F117" s="1512" t="str">
        <f>IFERROR(CHOOSE(MATCH($D117,$C118:$C121,0),F118,F119,F120,F121),"NA")</f>
        <v>NA</v>
      </c>
      <c r="G117" s="1512" t="str">
        <f>IFERROR(CHOOSE(MATCH($D117,$C118:$C121,0),G118,G119,G120,G121),"NA")</f>
        <v>NA</v>
      </c>
      <c r="H117" s="1512" t="str">
        <f>IFERROR(CHOOSE(MATCH($D117,$C118:$C121,0),H118,H119,H120,H121),"NA")</f>
        <v>NA</v>
      </c>
      <c r="I117" s="1512" t="str">
        <f t="shared" ref="I117:J117" si="17">IFERROR(CHOOSE(MATCH($D117,$C118:$C121,0),I118,I119,I120,I121),"NA")</f>
        <v>NA</v>
      </c>
      <c r="J117" s="1512" t="str">
        <f t="shared" si="17"/>
        <v>NA</v>
      </c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</row>
    <row r="118" spans="1:23" ht="15.75" customHeight="1">
      <c r="A118" s="6"/>
      <c r="B118" s="1057"/>
      <c r="C118" s="1057"/>
      <c r="D118" s="1513" t="s">
        <v>1959</v>
      </c>
      <c r="E118" s="1057"/>
      <c r="F118" s="1514">
        <f>58000000000/-TEL_CAPEX_2017-1</f>
        <v>0.59916181863299234</v>
      </c>
      <c r="G118" s="1514">
        <f>DCF_CAPEXGrowth_2016</f>
        <v>-5.2817312860781951E-2</v>
      </c>
      <c r="H118" s="1514">
        <f>DCF_CAPEXGrowth_2015</f>
        <v>0.24408327033784971</v>
      </c>
      <c r="I118" s="1514">
        <f>DCF_CAPEXGrowth_2017</f>
        <v>-0.10510992129092744</v>
      </c>
      <c r="J118" s="1514">
        <f>58000000000/-TEL_CAPEX_2017-1</f>
        <v>0.59916181863299234</v>
      </c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</row>
    <row r="119" spans="1:23" ht="15.75" customHeight="1">
      <c r="A119" s="6"/>
      <c r="B119" s="1057"/>
      <c r="C119" s="1057"/>
      <c r="D119" s="1513" t="s">
        <v>1960</v>
      </c>
      <c r="E119" s="1057"/>
      <c r="F119" s="1514">
        <v>0.59916181863299234</v>
      </c>
      <c r="G119" s="1514">
        <v>-0.4</v>
      </c>
      <c r="H119" s="1514">
        <v>-0.7</v>
      </c>
      <c r="I119" s="1514">
        <f>DCF_CAPEXGrowth_2017</f>
        <v>-0.10510992129092744</v>
      </c>
      <c r="J119" s="1514">
        <f>DCF_CAPEXGrowth_2017</f>
        <v>-0.10510992129092744</v>
      </c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</row>
    <row r="120" spans="1:23" ht="15.75" customHeight="1">
      <c r="A120" s="6"/>
      <c r="B120" s="1057"/>
      <c r="C120" s="1057"/>
      <c r="D120" s="1513" t="s">
        <v>1961</v>
      </c>
      <c r="E120" s="1057"/>
      <c r="F120" s="1514">
        <f>58000000000/-TEL_CAPEX_2017-1</f>
        <v>0.59916181863299234</v>
      </c>
      <c r="G120" s="1514">
        <f>DCF_CAPEXGrowth_2015</f>
        <v>0.24408327033784971</v>
      </c>
      <c r="H120" s="1514">
        <f>DCF_CAPEXGrowth_2017</f>
        <v>-0.10510992129092744</v>
      </c>
      <c r="I120" s="1514">
        <f>DCF_CAPEXGrowth_2016</f>
        <v>-5.2817312860781951E-2</v>
      </c>
      <c r="J120" s="1514">
        <f>58000000000/-TEL_CAPEX_2017-1</f>
        <v>0.59916181863299234</v>
      </c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</row>
    <row r="121" spans="1:23" ht="15.75" customHeight="1">
      <c r="A121" s="6"/>
      <c r="B121" s="1057"/>
      <c r="C121" s="1057"/>
      <c r="D121" s="1513" t="s">
        <v>1962</v>
      </c>
      <c r="E121" s="1057"/>
      <c r="F121" s="1514">
        <v>0.59916181863299234</v>
      </c>
      <c r="G121" s="1514">
        <v>-0.10510992129092744</v>
      </c>
      <c r="H121" s="1514">
        <v>-5.2817312860781951E-2</v>
      </c>
      <c r="I121" s="1514">
        <f>DCF_CAPEXGrowth_2015</f>
        <v>0.24408327033784971</v>
      </c>
      <c r="J121" s="1514">
        <f>DCF_CAPEXGrowth_2016</f>
        <v>-5.2817312860781951E-2</v>
      </c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</row>
    <row r="122" spans="1:23" ht="15.75" customHeight="1">
      <c r="A122" s="6"/>
      <c r="B122" s="1057"/>
      <c r="C122" s="1057"/>
      <c r="D122" s="1057"/>
      <c r="E122" s="1057"/>
      <c r="F122" s="1057"/>
      <c r="G122" s="1057"/>
      <c r="H122" s="1057"/>
      <c r="I122" s="1057"/>
      <c r="J122" s="1057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</row>
    <row r="123" spans="1: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</row>
    <row r="124" spans="1:23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</row>
    <row r="125" spans="1:23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</row>
    <row r="126" spans="1:23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</row>
    <row r="127" spans="1:23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</row>
    <row r="128" spans="1:23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</row>
    <row r="129" spans="1:23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</row>
    <row r="130" spans="1:23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</row>
    <row r="131" spans="1:23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</row>
    <row r="132" spans="1:23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</row>
    <row r="133" spans="1:2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</row>
    <row r="134" spans="1:23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</row>
    <row r="135" spans="1:23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</row>
    <row r="136" spans="1:23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</row>
    <row r="137" spans="1:23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</row>
    <row r="138" spans="1:23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</row>
    <row r="139" spans="1:23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</row>
    <row r="140" spans="1:23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</row>
    <row r="141" spans="1:23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</row>
    <row r="142" spans="1:23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</row>
    <row r="143" spans="1:2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</row>
    <row r="144" spans="1:23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</row>
    <row r="145" spans="1:23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</row>
    <row r="146" spans="1:23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</row>
    <row r="147" spans="1:23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</row>
    <row r="148" spans="1:23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</row>
    <row r="149" spans="1:23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</row>
    <row r="150" spans="1:23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</row>
    <row r="151" spans="1:23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</row>
    <row r="152" spans="1:23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</row>
    <row r="153" spans="1:2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</row>
    <row r="154" spans="1:23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</row>
    <row r="155" spans="1:23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</row>
    <row r="156" spans="1:23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</row>
    <row r="157" spans="1:23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</row>
    <row r="158" spans="1:23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</row>
    <row r="159" spans="1:23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</row>
    <row r="160" spans="1:23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</row>
    <row r="161" spans="1:23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</row>
    <row r="162" spans="1:23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</row>
    <row r="163" spans="1:2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</row>
    <row r="164" spans="1:23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</row>
    <row r="165" spans="1:23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</row>
    <row r="166" spans="1:23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</row>
    <row r="167" spans="1:23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</row>
    <row r="168" spans="1:23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</row>
    <row r="169" spans="1:23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</row>
    <row r="170" spans="1:23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</row>
    <row r="171" spans="1:23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</row>
    <row r="172" spans="1:23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</row>
    <row r="173" spans="1:2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</row>
    <row r="174" spans="1:23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</row>
    <row r="175" spans="1:23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</row>
    <row r="176" spans="1:23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</row>
    <row r="177" spans="1:23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</row>
    <row r="178" spans="1:23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</row>
    <row r="179" spans="1:23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</row>
    <row r="180" spans="1:23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</row>
    <row r="181" spans="1:23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</row>
    <row r="182" spans="1:23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</row>
    <row r="183" spans="1:2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</row>
    <row r="184" spans="1:23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</row>
    <row r="185" spans="1:23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</row>
    <row r="186" spans="1:23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</row>
    <row r="187" spans="1:23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</row>
    <row r="188" spans="1:23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</row>
    <row r="189" spans="1:23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</row>
    <row r="190" spans="1:23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</row>
    <row r="191" spans="1:23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</row>
    <row r="192" spans="1:23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</row>
    <row r="193" spans="1:2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</row>
    <row r="194" spans="1:23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</row>
    <row r="195" spans="1:23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</row>
    <row r="196" spans="1:23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</row>
    <row r="197" spans="1:23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</row>
    <row r="198" spans="1:23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</row>
    <row r="199" spans="1:23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</row>
    <row r="200" spans="1:23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</row>
    <row r="201" spans="1:23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</row>
    <row r="202" spans="1:23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</row>
    <row r="203" spans="1:2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</row>
    <row r="204" spans="1:23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</row>
    <row r="205" spans="1:23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</row>
    <row r="206" spans="1:23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</row>
    <row r="207" spans="1:23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</row>
    <row r="208" spans="1:23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 spans="1:23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</row>
    <row r="212" spans="1:23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</row>
    <row r="213" spans="1:2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</row>
    <row r="214" spans="1:23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</row>
    <row r="215" spans="1:23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</row>
    <row r="216" spans="1:23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</row>
    <row r="217" spans="1:23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</row>
    <row r="218" spans="1:23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</row>
    <row r="219" spans="1:23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</row>
    <row r="220" spans="1:23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</row>
    <row r="221" spans="1:23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</row>
    <row r="222" spans="1:23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</row>
    <row r="223" spans="1: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</row>
    <row r="224" spans="1:23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</row>
    <row r="225" spans="1:23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</row>
    <row r="226" spans="1:23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</row>
    <row r="227" spans="1:23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</row>
    <row r="228" spans="1:23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</row>
    <row r="229" spans="1:23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</row>
    <row r="230" spans="1:23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</row>
    <row r="231" spans="1:23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</row>
    <row r="232" spans="1:23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</row>
    <row r="233" spans="1:2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</row>
    <row r="234" spans="1:23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</row>
    <row r="235" spans="1:23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</row>
    <row r="236" spans="1:23" ht="15.75" customHeight="1">
      <c r="A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</row>
    <row r="237" spans="1:23" ht="15.75" customHeight="1">
      <c r="A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</row>
    <row r="238" spans="1:23" ht="15.75" customHeight="1">
      <c r="A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</row>
    <row r="239" spans="1:23" ht="15.75" customHeight="1">
      <c r="A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</row>
    <row r="240" spans="1:23" ht="15.75" customHeight="1">
      <c r="A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</row>
    <row r="241" spans="1:23" ht="15.75" customHeight="1">
      <c r="A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</row>
    <row r="242" spans="1:23" ht="15.75" customHeight="1">
      <c r="A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</row>
    <row r="243" spans="1:23" ht="15.75" customHeight="1">
      <c r="A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</row>
    <row r="244" spans="1:23" ht="15.75" customHeight="1">
      <c r="A244" s="6"/>
      <c r="L244" s="6"/>
      <c r="T244" s="6"/>
      <c r="U244" s="6"/>
      <c r="V244" s="6"/>
      <c r="W244" s="6"/>
    </row>
    <row r="245" spans="1:23" ht="15.75" customHeight="1">
      <c r="A245" s="6"/>
      <c r="L245" s="6"/>
      <c r="T245" s="6"/>
      <c r="U245" s="6"/>
      <c r="V245" s="6"/>
      <c r="W245" s="6"/>
    </row>
    <row r="246" spans="1:23" ht="15.75" customHeight="1">
      <c r="A246" s="6"/>
      <c r="L246" s="6"/>
      <c r="T246" s="6"/>
      <c r="U246" s="6"/>
      <c r="V246" s="6"/>
      <c r="W246" s="6"/>
    </row>
    <row r="247" spans="1:23" ht="15.75" customHeight="1">
      <c r="A247" s="6"/>
      <c r="L247" s="6"/>
      <c r="T247" s="6"/>
      <c r="U247" s="6"/>
      <c r="V247" s="6"/>
      <c r="W247" s="6"/>
    </row>
    <row r="248" spans="1:23" ht="15.75" customHeight="1">
      <c r="A248" s="6"/>
      <c r="L248" s="6"/>
      <c r="T248" s="6"/>
      <c r="U248" s="6"/>
      <c r="V248" s="6"/>
      <c r="W248" s="6"/>
    </row>
    <row r="249" spans="1:23" ht="15.75" customHeight="1"/>
    <row r="250" spans="1:23" ht="15.75" customHeight="1"/>
    <row r="251" spans="1:23" ht="15.75" customHeight="1"/>
    <row r="252" spans="1:23" ht="15.75" customHeight="1"/>
    <row r="253" spans="1:23" ht="15.75" customHeight="1"/>
    <row r="254" spans="1:23" ht="15.75" customHeight="1"/>
    <row r="255" spans="1:23" ht="15.75" customHeight="1"/>
    <row r="256" spans="1:23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M47:P47 M48:S48 M45:R46 M49:P49 Q54:R54 P59 P53:R53 P56 P57:S58 M53:M58 P55:S55 N53:O59 V11:AB14">
    <cfRule type="containsText" dxfId="39" priority="8" operator="containsText" text="OK">
      <formula>NOT(ISERROR(SEARCH("OK",M11)))</formula>
    </cfRule>
    <cfRule type="containsText" dxfId="38" priority="9" operator="containsText" text="ERROR">
      <formula>NOT(ISERROR(SEARCH("ERROR",M11)))</formula>
    </cfRule>
  </conditionalFormatting>
  <conditionalFormatting sqref="S47 P50">
    <cfRule type="containsText" dxfId="37" priority="6" operator="containsText" text="OK">
      <formula>NOT(ISERROR(SEARCH("OK",P47)))</formula>
    </cfRule>
    <cfRule type="containsText" dxfId="36" priority="7" operator="containsText" text="ERROR">
      <formula>NOT(ISERROR(SEARCH("ERROR",P47)))</formula>
    </cfRule>
  </conditionalFormatting>
  <conditionalFormatting sqref="S50">
    <cfRule type="expression" dxfId="35" priority="5">
      <formula>S50=1</formula>
    </cfRule>
  </conditionalFormatting>
  <conditionalFormatting sqref="S49">
    <cfRule type="containsText" dxfId="34" priority="3" operator="containsText" text="OK">
      <formula>NOT(ISERROR(SEARCH("OK",S49)))</formula>
    </cfRule>
    <cfRule type="containsText" dxfId="33" priority="4" operator="containsText" text="ERROR">
      <formula>NOT(ISERROR(SEARCH("ERROR",S49)))</formula>
    </cfRule>
  </conditionalFormatting>
  <conditionalFormatting sqref="S53 S56 M59 Q59:S59">
    <cfRule type="containsText" dxfId="32" priority="1" operator="containsText" text="OK">
      <formula>NOT(ISERROR(SEARCH("OK",M53)))</formula>
    </cfRule>
    <cfRule type="containsText" dxfId="31" priority="2" operator="containsText" text="ERROR">
      <formula>NOT(ISERROR(SEARCH("ERROR",M53)))</formula>
    </cfRule>
  </conditionalFormatting>
  <dataValidations disablePrompts="1" count="1">
    <dataValidation type="list" allowBlank="1" showErrorMessage="1" sqref="R41:S41" xr:uid="{00000000-0002-0000-0100-000000000000}">
      <formula1>"1,2,3,4,5,6,7,8,9,10,11,12,13,14,15,16,17,18,19,20,21,22,23,24,25"</formula1>
    </dataValidation>
  </dataValidations>
  <pageMargins left="0.7" right="0.7" top="0.75" bottom="0.75" header="0" footer="0"/>
  <pageSetup scale="41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B950"/>
  <sheetViews>
    <sheetView showGridLines="0" zoomScale="55" zoomScaleNormal="55" workbookViewId="0">
      <selection activeCell="C31" sqref="C31"/>
    </sheetView>
  </sheetViews>
  <sheetFormatPr defaultColWidth="12.5703125" defaultRowHeight="15" customHeight="1"/>
  <cols>
    <col min="1" max="1" width="3.42578125" customWidth="1"/>
    <col min="2" max="2" width="8.5703125" customWidth="1"/>
    <col min="3" max="3" width="49.28515625" customWidth="1"/>
    <col min="4" max="4" width="8.5703125" customWidth="1"/>
    <col min="5" max="7" width="11.5703125" customWidth="1"/>
    <col min="8" max="12" width="12.85546875" customWidth="1"/>
    <col min="13" max="13" width="12.28515625" customWidth="1"/>
    <col min="14" max="15" width="12.85546875" customWidth="1"/>
    <col min="16" max="17" width="8.5703125" customWidth="1"/>
  </cols>
  <sheetData>
    <row r="1" spans="2:17" ht="13.5" customHeight="1"/>
    <row r="2" spans="2:17" ht="13.5" customHeight="1">
      <c r="C2" s="422" t="s">
        <v>1935</v>
      </c>
    </row>
    <row r="3" spans="2:17" ht="13.5" customHeight="1"/>
    <row r="4" spans="2:17" ht="13.5" customHeight="1">
      <c r="C4" s="61" t="s">
        <v>1080</v>
      </c>
      <c r="D4" s="1505"/>
      <c r="E4" s="1505"/>
      <c r="F4" s="1505"/>
      <c r="G4" s="1505"/>
      <c r="H4" s="1505"/>
      <c r="I4" s="1505"/>
      <c r="J4" s="6"/>
      <c r="K4" s="6"/>
      <c r="L4" s="6"/>
      <c r="M4" s="6"/>
      <c r="P4" s="6"/>
      <c r="Q4" s="6"/>
    </row>
    <row r="5" spans="2:17" ht="13.5" customHeight="1">
      <c r="B5" s="6"/>
      <c r="C5" s="6"/>
      <c r="D5" s="6"/>
      <c r="E5" s="6"/>
      <c r="F5" s="1505"/>
      <c r="G5" s="1505"/>
      <c r="H5" s="1505"/>
      <c r="I5" s="1505"/>
      <c r="J5" s="6"/>
      <c r="K5" s="6"/>
      <c r="L5" s="6"/>
      <c r="M5" s="6"/>
      <c r="P5" s="6"/>
      <c r="Q5" s="6"/>
    </row>
    <row r="6" spans="2:17" ht="13.5" customHeight="1">
      <c r="B6" s="6"/>
      <c r="C6" s="6"/>
      <c r="D6" s="6"/>
      <c r="E6" s="6"/>
      <c r="F6" s="1505"/>
      <c r="G6" s="1505"/>
      <c r="H6" s="1505"/>
      <c r="I6" s="1505"/>
      <c r="J6" s="6"/>
      <c r="K6" s="6"/>
      <c r="L6" s="6"/>
      <c r="M6" s="6"/>
      <c r="P6" s="6"/>
      <c r="Q6" s="6"/>
    </row>
    <row r="7" spans="2:17" ht="13.5" customHeight="1">
      <c r="B7" s="6"/>
      <c r="C7" s="6"/>
      <c r="D7" s="6"/>
      <c r="E7" s="6"/>
      <c r="F7" s="1505"/>
      <c r="G7" s="1505"/>
      <c r="H7" s="1505"/>
      <c r="I7" s="1505"/>
      <c r="J7" s="6"/>
      <c r="K7" s="6"/>
      <c r="L7" s="6"/>
      <c r="M7" s="6"/>
      <c r="P7" s="6"/>
      <c r="Q7" s="6"/>
    </row>
    <row r="8" spans="2:17" ht="13.5" customHeight="1">
      <c r="B8" s="6"/>
      <c r="C8" s="6"/>
      <c r="D8" s="6"/>
      <c r="E8" s="6"/>
      <c r="F8" s="1505"/>
      <c r="G8" s="1505"/>
      <c r="H8" s="1505"/>
      <c r="I8" s="1505"/>
      <c r="J8" s="6"/>
      <c r="K8" s="6"/>
      <c r="L8" s="6"/>
      <c r="M8" s="6"/>
      <c r="P8" s="6"/>
      <c r="Q8" s="6"/>
    </row>
    <row r="9" spans="2:17" ht="13.5" customHeight="1">
      <c r="B9" s="6"/>
      <c r="C9" s="6"/>
      <c r="D9" s="6"/>
      <c r="E9" s="6"/>
      <c r="F9" s="1505"/>
      <c r="G9" s="1505"/>
      <c r="H9" s="1505"/>
      <c r="I9" s="1505"/>
      <c r="J9" s="6"/>
      <c r="K9" s="6"/>
      <c r="L9" s="6"/>
      <c r="M9" s="6"/>
      <c r="P9" s="6"/>
      <c r="Q9" s="6"/>
    </row>
    <row r="10" spans="2:17" ht="13.5" customHeight="1"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P10" s="6"/>
      <c r="Q10" s="6"/>
    </row>
    <row r="11" spans="2:17" ht="13.5" customHeight="1">
      <c r="C11" s="6" t="s">
        <v>94</v>
      </c>
      <c r="D11" s="6"/>
      <c r="E11" s="6"/>
      <c r="F11" s="6"/>
      <c r="G11" s="6"/>
      <c r="H11" s="6"/>
      <c r="I11" s="6"/>
      <c r="J11" s="62"/>
      <c r="K11" s="6"/>
      <c r="L11" s="6"/>
      <c r="M11" s="6"/>
      <c r="P11" s="6"/>
      <c r="Q11" s="6"/>
    </row>
    <row r="12" spans="2:17" ht="13.5" customHeight="1">
      <c r="C12" s="6" t="s">
        <v>96</v>
      </c>
      <c r="D12" s="6"/>
      <c r="E12" s="6"/>
      <c r="F12" s="6"/>
      <c r="G12" s="6"/>
      <c r="H12" s="6"/>
      <c r="I12" s="6"/>
      <c r="J12" s="6"/>
      <c r="K12" s="6"/>
      <c r="L12" s="6"/>
      <c r="M12" s="6"/>
      <c r="P12" s="6"/>
      <c r="Q12" s="6"/>
    </row>
    <row r="13" spans="2:17" ht="13.5" customHeight="1">
      <c r="C13" s="6" t="s">
        <v>97</v>
      </c>
      <c r="D13" s="6"/>
      <c r="E13" s="6"/>
      <c r="F13" s="6"/>
      <c r="G13" s="6"/>
      <c r="H13" s="6"/>
      <c r="I13" s="6"/>
      <c r="J13" s="6"/>
      <c r="K13" s="6"/>
      <c r="L13" s="6"/>
      <c r="M13" s="6"/>
      <c r="P13" s="6"/>
      <c r="Q13" s="6"/>
    </row>
    <row r="14" spans="2:17" ht="13.5" customHeight="1">
      <c r="C14" s="6" t="s">
        <v>98</v>
      </c>
      <c r="D14" s="6"/>
      <c r="E14" s="6"/>
      <c r="F14" s="6"/>
      <c r="G14" s="6"/>
      <c r="H14" s="6"/>
      <c r="I14" s="6"/>
      <c r="J14" s="62"/>
      <c r="K14" s="6"/>
      <c r="L14" s="6"/>
      <c r="M14" s="6"/>
      <c r="P14" s="6"/>
      <c r="Q14" s="6"/>
    </row>
    <row r="15" spans="2:17" ht="13.5" customHeight="1">
      <c r="C15" s="6" t="s">
        <v>100</v>
      </c>
      <c r="D15" s="6"/>
      <c r="E15" s="6"/>
      <c r="F15" s="6"/>
      <c r="G15" s="6"/>
      <c r="H15" s="6"/>
      <c r="I15" s="6"/>
      <c r="J15" s="6"/>
      <c r="K15" s="6"/>
      <c r="L15" s="6"/>
      <c r="M15" s="6"/>
      <c r="P15" s="6"/>
      <c r="Q15" s="6"/>
    </row>
    <row r="16" spans="2:17" ht="13.5" customHeight="1">
      <c r="C16" s="6" t="s">
        <v>101</v>
      </c>
      <c r="D16" s="6"/>
      <c r="E16" s="6"/>
      <c r="F16" s="6"/>
      <c r="G16" s="6"/>
      <c r="H16" s="6"/>
      <c r="I16" s="6"/>
      <c r="J16" s="62"/>
      <c r="K16" s="6"/>
      <c r="L16" s="6"/>
      <c r="M16" s="6"/>
      <c r="O16" s="62"/>
      <c r="P16" s="6"/>
      <c r="Q16" s="6"/>
    </row>
    <row r="17" spans="3:28" ht="13.5" customHeight="1">
      <c r="C17" s="6" t="s">
        <v>104</v>
      </c>
      <c r="D17" s="6"/>
      <c r="E17" s="6"/>
      <c r="F17" s="6"/>
      <c r="G17" s="6"/>
      <c r="H17" s="6"/>
      <c r="I17" s="6"/>
      <c r="J17" s="62"/>
      <c r="K17" s="6"/>
      <c r="L17" s="6"/>
      <c r="M17" s="6"/>
      <c r="P17" s="6"/>
      <c r="Q17" s="6"/>
    </row>
    <row r="18" spans="3:28" ht="13.5" customHeight="1">
      <c r="C18" s="6" t="s">
        <v>106</v>
      </c>
      <c r="D18" s="6"/>
      <c r="E18" s="6"/>
      <c r="F18" s="6"/>
      <c r="G18" s="6"/>
      <c r="H18" s="6"/>
      <c r="I18" s="6"/>
      <c r="J18" s="62"/>
      <c r="K18" s="6"/>
      <c r="L18" s="6"/>
      <c r="M18" s="6"/>
      <c r="P18" s="6"/>
      <c r="Q18" s="6"/>
    </row>
    <row r="19" spans="3:28" ht="13.5" customHeight="1">
      <c r="C19" s="6" t="s">
        <v>108</v>
      </c>
      <c r="D19" s="6"/>
      <c r="E19" s="6"/>
      <c r="F19" s="6"/>
      <c r="G19" s="6"/>
      <c r="H19" s="6"/>
      <c r="I19" s="6"/>
      <c r="J19" s="62"/>
      <c r="K19" s="6"/>
      <c r="L19" s="6"/>
      <c r="M19" s="6"/>
      <c r="P19" s="6"/>
      <c r="Q19" s="6"/>
    </row>
    <row r="20" spans="3:28" ht="13.5" customHeight="1">
      <c r="C20" s="6" t="s">
        <v>110</v>
      </c>
      <c r="D20" s="6"/>
      <c r="E20" s="6"/>
      <c r="F20" s="6"/>
      <c r="G20" s="6"/>
      <c r="H20" s="6"/>
      <c r="I20" s="6"/>
      <c r="J20" s="6"/>
      <c r="K20" s="6"/>
      <c r="L20" s="6"/>
      <c r="M20" s="6"/>
      <c r="P20" s="6"/>
      <c r="Q20" s="6"/>
    </row>
    <row r="21" spans="3:28" ht="13.5" customHeight="1">
      <c r="C21" s="1508" t="s">
        <v>1949</v>
      </c>
      <c r="D21" s="1509"/>
      <c r="E21" s="6"/>
      <c r="F21" s="6"/>
      <c r="G21" s="6"/>
      <c r="H21" s="6"/>
      <c r="I21" s="6"/>
      <c r="J21" s="6"/>
      <c r="K21" s="6"/>
      <c r="L21" s="6"/>
      <c r="M21" s="6"/>
      <c r="P21" s="6"/>
      <c r="Q21" s="6"/>
    </row>
    <row r="22" spans="3:28" ht="13.5" customHeight="1">
      <c r="C22" s="1508" t="s">
        <v>1950</v>
      </c>
      <c r="D22" s="1509"/>
      <c r="E22" s="6"/>
      <c r="F22" s="6"/>
      <c r="G22" s="6"/>
      <c r="H22" s="6"/>
      <c r="I22" s="6"/>
      <c r="J22" s="6"/>
      <c r="K22" s="6"/>
      <c r="L22" s="6"/>
      <c r="M22" s="6"/>
      <c r="P22" s="6"/>
      <c r="Q22" s="6"/>
    </row>
    <row r="23" spans="3:28" ht="13.5" customHeight="1">
      <c r="C23" s="1508" t="s">
        <v>1951</v>
      </c>
      <c r="D23" s="1509"/>
      <c r="E23" s="6"/>
      <c r="F23" s="6"/>
      <c r="G23" s="6"/>
      <c r="H23" s="6"/>
      <c r="I23" s="6"/>
      <c r="J23" s="6"/>
      <c r="K23" s="6"/>
      <c r="L23" s="6"/>
      <c r="M23" s="6"/>
      <c r="P23" s="6"/>
      <c r="Q23" s="6"/>
    </row>
    <row r="24" spans="3:28" ht="13.5" customHeight="1">
      <c r="C24" s="1508" t="s">
        <v>1952</v>
      </c>
      <c r="D24" s="1509"/>
      <c r="E24" s="6"/>
      <c r="F24" s="6"/>
      <c r="G24" s="6"/>
      <c r="H24" s="6"/>
      <c r="I24" s="6"/>
      <c r="J24" s="62"/>
      <c r="K24" s="6"/>
      <c r="L24" s="6"/>
      <c r="M24" s="6"/>
      <c r="P24" s="6"/>
      <c r="Q24" s="6"/>
      <c r="R24" s="62"/>
      <c r="S24" s="6"/>
    </row>
    <row r="25" spans="3:28" ht="13.5" customHeight="1">
      <c r="C25" s="6" t="s">
        <v>1953</v>
      </c>
      <c r="D25" s="6"/>
      <c r="E25" s="6"/>
      <c r="F25" s="6"/>
      <c r="G25" s="6"/>
      <c r="H25" s="6"/>
      <c r="I25" s="6"/>
      <c r="J25" s="6"/>
      <c r="K25" s="6"/>
      <c r="L25" s="6"/>
      <c r="M25" s="6"/>
      <c r="P25" s="6"/>
      <c r="Q25" s="6"/>
      <c r="R25" s="6"/>
      <c r="S25" s="6"/>
      <c r="AB25" t="s">
        <v>1937</v>
      </c>
    </row>
    <row r="26" spans="3:28" ht="13.5" customHeight="1">
      <c r="C26" s="6" t="s">
        <v>112</v>
      </c>
      <c r="D26" s="6"/>
      <c r="E26" s="6"/>
      <c r="F26" s="6"/>
      <c r="G26" s="6"/>
      <c r="H26" s="6"/>
      <c r="I26" s="6"/>
      <c r="J26" s="62"/>
      <c r="K26" s="6"/>
      <c r="L26" s="6"/>
      <c r="M26" s="6"/>
      <c r="P26" s="6"/>
      <c r="Q26" s="6"/>
      <c r="R26" s="62"/>
      <c r="S26" s="6"/>
      <c r="AB26" t="s">
        <v>1938</v>
      </c>
    </row>
    <row r="27" spans="3:28" ht="13.5" customHeight="1">
      <c r="C27" s="6" t="s">
        <v>113</v>
      </c>
      <c r="D27" s="6"/>
      <c r="E27" s="6"/>
      <c r="F27" s="6"/>
      <c r="G27" s="6"/>
      <c r="H27" s="6"/>
      <c r="I27" s="6"/>
      <c r="J27" s="62"/>
      <c r="K27" s="6"/>
      <c r="L27" s="6"/>
      <c r="M27" s="6"/>
      <c r="P27" s="6"/>
      <c r="Q27" s="6"/>
      <c r="R27" s="62"/>
      <c r="S27" s="6"/>
      <c r="AB27" t="s">
        <v>1939</v>
      </c>
    </row>
    <row r="28" spans="3:28" ht="13.5" customHeight="1">
      <c r="C28" s="6" t="s">
        <v>114</v>
      </c>
      <c r="D28" s="6"/>
      <c r="E28" s="6"/>
      <c r="F28" s="6"/>
      <c r="G28" s="6"/>
      <c r="H28" s="6"/>
      <c r="I28" s="6"/>
      <c r="J28" s="62"/>
      <c r="K28" s="6"/>
      <c r="L28" s="6"/>
      <c r="M28" s="6"/>
      <c r="P28" s="6"/>
      <c r="Q28" s="6"/>
      <c r="R28" s="62"/>
      <c r="S28" s="6"/>
      <c r="AB28" t="s">
        <v>1940</v>
      </c>
    </row>
    <row r="29" spans="3:28" ht="13.5" customHeight="1"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P29" s="6"/>
      <c r="Q29" s="6"/>
      <c r="R29" s="6"/>
      <c r="S29" s="6"/>
      <c r="V29" s="6"/>
      <c r="W29" s="6"/>
      <c r="AB29" t="s">
        <v>1941</v>
      </c>
    </row>
    <row r="30" spans="3:28" ht="13.5" customHeight="1">
      <c r="C30" s="63" t="s">
        <v>115</v>
      </c>
      <c r="D30" s="6"/>
      <c r="E30" s="6"/>
      <c r="F30" s="6"/>
      <c r="G30" s="6"/>
      <c r="H30" s="6"/>
      <c r="I30" s="6"/>
      <c r="J30" s="62"/>
      <c r="K30" s="6"/>
      <c r="L30" s="6"/>
      <c r="M30" s="6"/>
      <c r="P30" s="6"/>
      <c r="Q30" s="6"/>
      <c r="R30" s="6"/>
      <c r="S30" s="6"/>
      <c r="V30" s="6"/>
      <c r="W30" s="6"/>
      <c r="AB30" t="s">
        <v>1942</v>
      </c>
    </row>
    <row r="31" spans="3:28" ht="13.5" customHeight="1">
      <c r="C31" s="6"/>
      <c r="D31" s="6"/>
      <c r="E31" s="6"/>
      <c r="F31" s="6"/>
      <c r="G31" s="6"/>
      <c r="H31" s="6"/>
      <c r="I31" s="6"/>
      <c r="J31" s="62"/>
      <c r="K31" s="6"/>
      <c r="L31" s="6"/>
      <c r="M31" s="6"/>
      <c r="P31" s="62" t="s">
        <v>95</v>
      </c>
      <c r="Q31" s="6"/>
      <c r="R31" s="6"/>
      <c r="S31" s="6"/>
      <c r="V31" s="6"/>
      <c r="W31" s="6"/>
      <c r="AB31" t="s">
        <v>1943</v>
      </c>
    </row>
    <row r="32" spans="3:28" ht="13.5" customHeight="1">
      <c r="C32" s="6"/>
      <c r="D32" s="6"/>
      <c r="E32" s="6"/>
      <c r="F32" s="6"/>
      <c r="G32" s="6"/>
      <c r="H32" s="6"/>
      <c r="I32" s="6"/>
      <c r="J32" s="62"/>
      <c r="K32" s="6"/>
      <c r="L32" s="6"/>
      <c r="M32" s="6"/>
      <c r="P32" s="6"/>
      <c r="Q32" s="6"/>
      <c r="R32" s="6"/>
      <c r="S32" s="6"/>
      <c r="V32" s="6"/>
      <c r="W32" s="6"/>
      <c r="AB32" t="s">
        <v>1944</v>
      </c>
    </row>
    <row r="33" spans="3:28" ht="13.5" customHeight="1">
      <c r="C33" s="684" t="s">
        <v>1053</v>
      </c>
      <c r="D33" s="684"/>
      <c r="E33" s="684"/>
      <c r="F33" s="684"/>
      <c r="G33" s="684"/>
      <c r="H33" s="684"/>
      <c r="I33" s="684"/>
      <c r="P33" s="6"/>
      <c r="Q33" s="6"/>
      <c r="R33" s="6"/>
      <c r="S33" s="6"/>
      <c r="V33" s="6"/>
      <c r="W33" s="6"/>
      <c r="AB33" t="s">
        <v>1945</v>
      </c>
    </row>
    <row r="34" spans="3:28" ht="13.5" customHeight="1">
      <c r="C34" s="547" t="s">
        <v>1054</v>
      </c>
      <c r="D34" s="547"/>
      <c r="E34" s="685">
        <v>0</v>
      </c>
      <c r="F34" s="685">
        <v>0</v>
      </c>
      <c r="G34" s="685">
        <v>0</v>
      </c>
      <c r="H34" s="685">
        <v>0</v>
      </c>
      <c r="I34" s="685">
        <v>0</v>
      </c>
      <c r="P34" s="62" t="s">
        <v>99</v>
      </c>
      <c r="Q34" s="6"/>
      <c r="R34" s="6"/>
      <c r="S34" s="6"/>
      <c r="V34" s="6"/>
      <c r="W34" s="6"/>
    </row>
    <row r="35" spans="3:28" ht="13.5" customHeight="1">
      <c r="C35" s="547" t="s">
        <v>1055</v>
      </c>
      <c r="D35" s="547"/>
      <c r="E35" s="685">
        <v>0</v>
      </c>
      <c r="F35" s="685">
        <v>0</v>
      </c>
      <c r="G35" s="685">
        <v>0</v>
      </c>
      <c r="H35" s="685">
        <v>0</v>
      </c>
      <c r="I35" s="685">
        <v>0</v>
      </c>
      <c r="P35" s="6"/>
      <c r="Q35" s="6"/>
      <c r="R35" s="6"/>
      <c r="S35" s="6"/>
      <c r="V35" s="6"/>
      <c r="W35" s="6"/>
    </row>
    <row r="36" spans="3:28" ht="13.5" customHeight="1">
      <c r="C36" s="547" t="s">
        <v>1056</v>
      </c>
      <c r="D36" s="547"/>
      <c r="E36" s="685">
        <v>0</v>
      </c>
      <c r="F36" s="685">
        <v>0</v>
      </c>
      <c r="G36" s="685">
        <v>0</v>
      </c>
      <c r="H36" s="685">
        <v>0</v>
      </c>
      <c r="I36" s="685">
        <v>0</v>
      </c>
      <c r="P36" s="62" t="s">
        <v>102</v>
      </c>
      <c r="Q36" s="6"/>
      <c r="R36" s="6"/>
      <c r="S36" s="6"/>
      <c r="U36" s="62" t="s">
        <v>103</v>
      </c>
      <c r="V36" s="6"/>
      <c r="W36" s="6"/>
    </row>
    <row r="37" spans="3:28" ht="13.5" customHeight="1">
      <c r="C37" s="547"/>
      <c r="D37" s="547"/>
      <c r="E37" s="685"/>
      <c r="F37" s="685"/>
      <c r="G37" s="685"/>
      <c r="H37" s="685"/>
      <c r="I37" s="685"/>
      <c r="P37" s="62" t="s">
        <v>105</v>
      </c>
      <c r="Q37" s="6"/>
      <c r="R37" s="6"/>
      <c r="S37" s="6"/>
      <c r="V37" s="6"/>
      <c r="W37" s="6"/>
    </row>
    <row r="38" spans="3:28" ht="13.5" customHeight="1">
      <c r="C38" s="547"/>
      <c r="D38" s="547"/>
      <c r="E38" s="547"/>
      <c r="F38" s="547"/>
      <c r="G38" s="547"/>
      <c r="H38" s="547"/>
      <c r="I38" s="547"/>
      <c r="P38" s="62" t="s">
        <v>107</v>
      </c>
      <c r="Q38" s="6"/>
      <c r="R38" s="6"/>
      <c r="S38" s="6"/>
      <c r="V38" s="6"/>
      <c r="W38" s="6"/>
    </row>
    <row r="39" spans="3:28" ht="13.5" customHeight="1">
      <c r="C39" s="684" t="s">
        <v>1057</v>
      </c>
      <c r="D39" s="684"/>
      <c r="E39" s="684"/>
      <c r="F39" s="684"/>
      <c r="G39" s="684"/>
      <c r="H39" s="684"/>
      <c r="I39" s="684"/>
      <c r="P39" s="62" t="s">
        <v>109</v>
      </c>
      <c r="Q39" s="6"/>
      <c r="R39" s="6"/>
      <c r="S39" s="6"/>
      <c r="V39" s="6"/>
      <c r="W39" s="6"/>
    </row>
    <row r="40" spans="3:28" ht="13.5" customHeight="1">
      <c r="C40" s="571" t="s">
        <v>1058</v>
      </c>
      <c r="D40" s="571"/>
      <c r="E40" s="686">
        <v>0</v>
      </c>
      <c r="F40" s="686">
        <v>0</v>
      </c>
      <c r="G40" s="686">
        <v>0</v>
      </c>
      <c r="H40" s="686">
        <v>0</v>
      </c>
      <c r="I40" s="686">
        <v>0</v>
      </c>
      <c r="P40" s="6" t="s">
        <v>111</v>
      </c>
      <c r="Q40" s="6"/>
      <c r="R40" s="6"/>
      <c r="S40" s="6"/>
      <c r="V40" s="6"/>
      <c r="W40" s="6"/>
    </row>
    <row r="41" spans="3:28" ht="13.5" customHeight="1">
      <c r="C41" s="571" t="s">
        <v>1059</v>
      </c>
      <c r="D41" s="571"/>
      <c r="E41" s="686">
        <v>0</v>
      </c>
      <c r="F41" s="686">
        <v>0</v>
      </c>
      <c r="G41" s="686">
        <v>0</v>
      </c>
      <c r="H41" s="686">
        <v>0</v>
      </c>
      <c r="I41" s="686">
        <v>0</v>
      </c>
      <c r="P41" s="62"/>
      <c r="Q41" s="6"/>
      <c r="R41" s="6"/>
      <c r="S41" s="6"/>
      <c r="V41" s="6"/>
      <c r="W41" s="6"/>
      <c r="X41" s="62"/>
      <c r="Y41" s="6"/>
    </row>
    <row r="42" spans="3:28" ht="13.5" customHeight="1">
      <c r="C42" s="571" t="s">
        <v>1060</v>
      </c>
      <c r="D42" s="571"/>
      <c r="E42" s="686">
        <v>0</v>
      </c>
      <c r="F42" s="686">
        <v>0</v>
      </c>
      <c r="G42" s="686">
        <v>0</v>
      </c>
      <c r="H42" s="686">
        <v>0</v>
      </c>
      <c r="I42" s="686">
        <v>0</v>
      </c>
    </row>
    <row r="43" spans="3:28" ht="13.5" customHeight="1">
      <c r="C43" s="571" t="s">
        <v>1061</v>
      </c>
      <c r="D43" s="571"/>
      <c r="E43" s="686">
        <v>0</v>
      </c>
      <c r="F43" s="686">
        <v>0</v>
      </c>
      <c r="G43" s="686">
        <v>0</v>
      </c>
      <c r="H43" s="686">
        <v>0</v>
      </c>
      <c r="I43" s="686">
        <v>0</v>
      </c>
    </row>
    <row r="44" spans="3:28" ht="13.5" customHeight="1">
      <c r="C44" s="571" t="s">
        <v>1062</v>
      </c>
      <c r="D44" s="571"/>
      <c r="E44" s="686">
        <v>0</v>
      </c>
      <c r="F44" s="686">
        <v>0</v>
      </c>
      <c r="G44" s="686">
        <v>0</v>
      </c>
      <c r="H44" s="686">
        <v>0</v>
      </c>
      <c r="I44" s="686">
        <v>0</v>
      </c>
    </row>
    <row r="45" spans="3:28" ht="13.5" customHeight="1">
      <c r="C45" s="571" t="s">
        <v>1063</v>
      </c>
      <c r="D45" s="571"/>
      <c r="E45" s="686">
        <v>0</v>
      </c>
      <c r="F45" s="686">
        <v>0</v>
      </c>
      <c r="G45" s="686">
        <v>0</v>
      </c>
      <c r="H45" s="686">
        <v>0</v>
      </c>
      <c r="I45" s="686">
        <v>0</v>
      </c>
    </row>
    <row r="46" spans="3:28" ht="13.5" customHeight="1">
      <c r="C46" s="571" t="s">
        <v>1064</v>
      </c>
      <c r="D46" s="571"/>
      <c r="E46" s="686">
        <v>0</v>
      </c>
      <c r="F46" s="686">
        <v>0</v>
      </c>
      <c r="G46" s="686">
        <v>0</v>
      </c>
      <c r="H46" s="686">
        <v>0</v>
      </c>
      <c r="I46" s="686">
        <v>0</v>
      </c>
    </row>
    <row r="47" spans="3:28" ht="13.5" customHeight="1">
      <c r="C47" s="571" t="s">
        <v>1065</v>
      </c>
      <c r="D47" s="571"/>
      <c r="E47" s="686">
        <v>0</v>
      </c>
      <c r="F47" s="686">
        <v>0</v>
      </c>
      <c r="G47" s="686">
        <v>0</v>
      </c>
      <c r="H47" s="686">
        <v>0</v>
      </c>
      <c r="I47" s="686">
        <v>0</v>
      </c>
    </row>
    <row r="48" spans="3:28" ht="13.5" customHeight="1">
      <c r="C48" s="571" t="s">
        <v>1066</v>
      </c>
      <c r="D48" s="571"/>
      <c r="E48" s="686">
        <f>E43+E45</f>
        <v>0</v>
      </c>
      <c r="F48" s="686">
        <f t="shared" ref="F48:I48" si="0">F43+F45</f>
        <v>0</v>
      </c>
      <c r="G48" s="686">
        <f t="shared" si="0"/>
        <v>0</v>
      </c>
      <c r="H48" s="686">
        <f t="shared" si="0"/>
        <v>0</v>
      </c>
      <c r="I48" s="686">
        <f t="shared" si="0"/>
        <v>0</v>
      </c>
    </row>
    <row r="49" spans="3:9" ht="13.5" customHeight="1">
      <c r="C49" s="571" t="s">
        <v>1067</v>
      </c>
      <c r="D49" s="571"/>
      <c r="E49" s="686">
        <f>E48-E47</f>
        <v>0</v>
      </c>
      <c r="F49" s="686">
        <f t="shared" ref="F49:I49" si="1">F48-F47</f>
        <v>0</v>
      </c>
      <c r="G49" s="686">
        <f t="shared" si="1"/>
        <v>0</v>
      </c>
      <c r="H49" s="686">
        <f t="shared" si="1"/>
        <v>0</v>
      </c>
      <c r="I49" s="686">
        <f t="shared" si="1"/>
        <v>0</v>
      </c>
    </row>
    <row r="50" spans="3:9" ht="13.5" customHeight="1">
      <c r="C50" s="571" t="s">
        <v>1068</v>
      </c>
      <c r="D50" s="571"/>
      <c r="E50" s="686">
        <v>0</v>
      </c>
      <c r="F50" s="686">
        <v>0</v>
      </c>
      <c r="G50" s="686">
        <v>0</v>
      </c>
      <c r="H50" s="686">
        <v>0</v>
      </c>
      <c r="I50" s="686">
        <v>0</v>
      </c>
    </row>
    <row r="51" spans="3:9" ht="13.5" customHeight="1">
      <c r="C51" s="547" t="s">
        <v>1069</v>
      </c>
      <c r="D51" s="547"/>
      <c r="E51" s="685">
        <v>0</v>
      </c>
      <c r="F51" s="685">
        <v>0</v>
      </c>
      <c r="G51" s="685">
        <v>0</v>
      </c>
      <c r="H51" s="685">
        <v>0</v>
      </c>
      <c r="I51" s="685">
        <v>0</v>
      </c>
    </row>
    <row r="52" spans="3:9" ht="13.5" customHeight="1">
      <c r="C52" s="547"/>
      <c r="D52" s="547"/>
      <c r="E52" s="685"/>
      <c r="F52" s="685"/>
      <c r="G52" s="685"/>
      <c r="H52" s="685"/>
      <c r="I52" s="685"/>
    </row>
    <row r="53" spans="3:9" ht="13.5" customHeight="1">
      <c r="C53" s="547"/>
      <c r="D53" s="547"/>
      <c r="E53" s="685"/>
      <c r="F53" s="685"/>
      <c r="G53" s="685"/>
      <c r="H53" s="685"/>
      <c r="I53" s="685"/>
    </row>
    <row r="54" spans="3:9" ht="13.5" customHeight="1">
      <c r="C54" s="684" t="s">
        <v>1070</v>
      </c>
      <c r="D54" s="684"/>
      <c r="E54" s="684"/>
      <c r="F54" s="684"/>
      <c r="G54" s="684"/>
      <c r="H54" s="684"/>
      <c r="I54" s="684"/>
    </row>
    <row r="55" spans="3:9" ht="13.5" customHeight="1">
      <c r="C55" s="547" t="s">
        <v>1071</v>
      </c>
      <c r="D55" s="547"/>
      <c r="E55" s="687">
        <v>0</v>
      </c>
      <c r="F55" s="687">
        <v>0</v>
      </c>
      <c r="G55" s="687">
        <v>0</v>
      </c>
      <c r="H55" s="687">
        <v>0</v>
      </c>
      <c r="I55" s="687">
        <v>0</v>
      </c>
    </row>
    <row r="56" spans="3:9" ht="13.5" customHeight="1">
      <c r="C56" s="547" t="s">
        <v>1072</v>
      </c>
      <c r="D56" s="547"/>
      <c r="E56" s="687">
        <v>0</v>
      </c>
      <c r="F56" s="687">
        <v>0</v>
      </c>
      <c r="G56" s="687">
        <v>0</v>
      </c>
      <c r="H56" s="687">
        <v>0</v>
      </c>
      <c r="I56" s="687">
        <v>0</v>
      </c>
    </row>
    <row r="57" spans="3:9" ht="13.5" customHeight="1">
      <c r="C57" s="547"/>
      <c r="D57" s="547"/>
      <c r="E57" s="687"/>
      <c r="F57" s="687"/>
      <c r="G57" s="687"/>
      <c r="H57" s="687"/>
      <c r="I57" s="687"/>
    </row>
    <row r="58" spans="3:9" ht="13.5" customHeight="1">
      <c r="C58" s="547"/>
      <c r="D58" s="547"/>
      <c r="E58" s="687"/>
      <c r="F58" s="687"/>
      <c r="G58" s="687"/>
      <c r="H58" s="687"/>
      <c r="I58" s="687"/>
    </row>
    <row r="59" spans="3:9" ht="13.5" customHeight="1">
      <c r="C59" s="684" t="s">
        <v>1073</v>
      </c>
      <c r="D59" s="684"/>
      <c r="E59" s="684"/>
      <c r="F59" s="684"/>
      <c r="G59" s="684"/>
      <c r="H59" s="684"/>
      <c r="I59" s="684"/>
    </row>
    <row r="60" spans="3:9" ht="13.5" customHeight="1">
      <c r="C60" s="547" t="s">
        <v>1074</v>
      </c>
      <c r="D60" s="547"/>
      <c r="E60" s="687">
        <v>0</v>
      </c>
      <c r="F60" s="687">
        <v>0</v>
      </c>
      <c r="G60" s="687">
        <v>0</v>
      </c>
      <c r="H60" s="687">
        <v>0</v>
      </c>
      <c r="I60" s="687">
        <v>0</v>
      </c>
    </row>
    <row r="61" spans="3:9" ht="13.5" customHeight="1">
      <c r="C61" s="547" t="s">
        <v>1075</v>
      </c>
      <c r="D61" s="547"/>
      <c r="E61" s="687">
        <v>0</v>
      </c>
      <c r="F61" s="687">
        <v>0</v>
      </c>
      <c r="G61" s="687">
        <v>0</v>
      </c>
      <c r="H61" s="687">
        <v>0</v>
      </c>
      <c r="I61" s="687">
        <v>0</v>
      </c>
    </row>
    <row r="62" spans="3:9" ht="13.5" customHeight="1">
      <c r="C62" s="547" t="s">
        <v>1076</v>
      </c>
      <c r="D62" s="547"/>
      <c r="E62" s="687">
        <v>0</v>
      </c>
      <c r="F62" s="687">
        <v>0</v>
      </c>
      <c r="G62" s="687">
        <v>0</v>
      </c>
      <c r="H62" s="687">
        <v>0</v>
      </c>
      <c r="I62" s="687">
        <v>0</v>
      </c>
    </row>
    <row r="63" spans="3:9" ht="13.5" customHeight="1">
      <c r="C63" s="547" t="s">
        <v>1077</v>
      </c>
      <c r="D63" s="547"/>
      <c r="E63" s="688">
        <v>0</v>
      </c>
      <c r="F63" s="688">
        <v>0</v>
      </c>
      <c r="G63" s="688">
        <v>0</v>
      </c>
      <c r="H63" s="688">
        <v>0</v>
      </c>
      <c r="I63" s="688">
        <v>0</v>
      </c>
    </row>
    <row r="64" spans="3:9" ht="13.5" customHeight="1">
      <c r="C64" s="547"/>
      <c r="D64" s="547"/>
      <c r="E64" s="688"/>
      <c r="F64" s="688"/>
      <c r="G64" s="688"/>
      <c r="H64" s="688"/>
      <c r="I64" s="688"/>
    </row>
    <row r="65" spans="3:9" ht="13.5" customHeight="1">
      <c r="C65" s="547"/>
      <c r="D65" s="547"/>
      <c r="E65" s="547"/>
      <c r="F65" s="547"/>
      <c r="G65" s="547"/>
      <c r="H65" s="547"/>
      <c r="I65" s="547"/>
    </row>
    <row r="66" spans="3:9" ht="13.5" customHeight="1">
      <c r="C66" s="684" t="s">
        <v>1078</v>
      </c>
      <c r="D66" s="684"/>
      <c r="E66" s="684"/>
      <c r="F66" s="684"/>
      <c r="G66" s="684"/>
      <c r="H66" s="684"/>
      <c r="I66" s="684"/>
    </row>
    <row r="67" spans="3:9" ht="13.5" customHeight="1">
      <c r="C67" s="547" t="s">
        <v>1079</v>
      </c>
      <c r="D67" s="547"/>
      <c r="E67" s="688">
        <v>0</v>
      </c>
      <c r="F67" s="688">
        <v>0</v>
      </c>
      <c r="G67" s="688">
        <v>0</v>
      </c>
      <c r="H67" s="688">
        <v>0</v>
      </c>
      <c r="I67" s="688">
        <v>0</v>
      </c>
    </row>
    <row r="68" spans="3:9" ht="13.5" customHeight="1"/>
    <row r="69" spans="3:9" ht="13.5" customHeight="1"/>
    <row r="70" spans="3:9" ht="13.5" customHeight="1">
      <c r="C70" s="884" t="s">
        <v>1344</v>
      </c>
      <c r="D70" s="885"/>
      <c r="E70" s="885"/>
      <c r="F70" s="885"/>
      <c r="G70" s="885"/>
      <c r="H70" s="888"/>
    </row>
    <row r="71" spans="3:9" ht="13.5" customHeight="1">
      <c r="C71" s="882" t="s">
        <v>1071</v>
      </c>
      <c r="D71" s="903" t="s">
        <v>1345</v>
      </c>
      <c r="E71" s="885"/>
      <c r="F71" s="889" t="e">
        <v>#DIV/0!</v>
      </c>
      <c r="G71" s="889" t="e">
        <v>#DIV/0!</v>
      </c>
      <c r="H71" s="904" t="e">
        <v>#DIV/0!</v>
      </c>
    </row>
    <row r="72" spans="3:9" ht="13.5" customHeight="1">
      <c r="C72" s="882" t="s">
        <v>1346</v>
      </c>
      <c r="D72" s="903" t="s">
        <v>1347</v>
      </c>
      <c r="E72" s="885"/>
      <c r="F72" s="889" t="e">
        <v>#DIV/0!</v>
      </c>
      <c r="G72" s="889" t="e">
        <v>#DIV/0!</v>
      </c>
      <c r="H72" s="904" t="e">
        <v>#DIV/0!</v>
      </c>
    </row>
    <row r="73" spans="3:9" ht="13.5" customHeight="1">
      <c r="C73" s="886" t="s">
        <v>1348</v>
      </c>
      <c r="D73" s="905" t="s">
        <v>1349</v>
      </c>
      <c r="E73" s="887"/>
      <c r="F73" s="906" t="e">
        <v>#DIV/0!</v>
      </c>
      <c r="G73" s="906" t="e">
        <v>#DIV/0!</v>
      </c>
      <c r="H73" s="904" t="e">
        <v>#DIV/0!</v>
      </c>
    </row>
    <row r="74" spans="3:9" ht="13.5" customHeight="1">
      <c r="C74" s="884" t="s">
        <v>1350</v>
      </c>
      <c r="D74" s="903"/>
      <c r="E74" s="885"/>
      <c r="F74" s="889"/>
      <c r="G74" s="889"/>
      <c r="H74" s="907"/>
    </row>
    <row r="75" spans="3:9" ht="13.5" customHeight="1">
      <c r="C75" s="882" t="s">
        <v>1351</v>
      </c>
      <c r="D75" s="903" t="s">
        <v>1352</v>
      </c>
      <c r="E75" s="885"/>
      <c r="F75" s="889" t="e">
        <v>#DIV/0!</v>
      </c>
      <c r="G75" s="889" t="e">
        <v>#DIV/0!</v>
      </c>
      <c r="H75" s="904" t="e">
        <v>#DIV/0!</v>
      </c>
    </row>
    <row r="76" spans="3:9" ht="13.5" customHeight="1">
      <c r="C76" s="882" t="s">
        <v>1353</v>
      </c>
      <c r="D76" s="903" t="s">
        <v>1354</v>
      </c>
      <c r="E76" s="885"/>
      <c r="F76" s="889" t="e">
        <v>#DIV/0!</v>
      </c>
      <c r="G76" s="889" t="e">
        <v>#DIV/0!</v>
      </c>
      <c r="H76" s="904" t="e">
        <v>#DIV/0!</v>
      </c>
    </row>
    <row r="77" spans="3:9" ht="13.5" customHeight="1">
      <c r="C77" s="882" t="s">
        <v>1355</v>
      </c>
      <c r="D77" s="903" t="s">
        <v>1356</v>
      </c>
      <c r="E77" s="885"/>
      <c r="F77" s="889" t="e">
        <v>#DIV/0!</v>
      </c>
      <c r="G77" s="889" t="e">
        <v>#DIV/0!</v>
      </c>
      <c r="H77" s="904" t="e">
        <v>#DIV/0!</v>
      </c>
    </row>
    <row r="78" spans="3:9" ht="13.5" customHeight="1">
      <c r="C78" s="882" t="s">
        <v>1357</v>
      </c>
      <c r="D78" s="903" t="s">
        <v>1358</v>
      </c>
      <c r="E78" s="885"/>
      <c r="F78" s="889" t="e">
        <v>#DIV/0!</v>
      </c>
      <c r="G78" s="889" t="e">
        <v>#DIV/0!</v>
      </c>
      <c r="H78" s="904" t="e">
        <v>#DIV/0!</v>
      </c>
    </row>
    <row r="79" spans="3:9" ht="13.5" customHeight="1">
      <c r="C79" s="886" t="s">
        <v>1359</v>
      </c>
      <c r="D79" s="905" t="s">
        <v>1360</v>
      </c>
      <c r="E79" s="887"/>
      <c r="F79" s="906" t="e">
        <v>#DIV/0!</v>
      </c>
      <c r="G79" s="906" t="e">
        <v>#DIV/0!</v>
      </c>
      <c r="H79" s="908" t="e">
        <v>#DIV/0!</v>
      </c>
    </row>
    <row r="80" spans="3:9" ht="13.5" customHeight="1">
      <c r="C80" s="884" t="s">
        <v>1361</v>
      </c>
      <c r="D80" s="903"/>
      <c r="E80" s="885"/>
      <c r="F80" s="889"/>
      <c r="G80" s="889"/>
      <c r="H80" s="904"/>
    </row>
    <row r="81" spans="3:8" ht="13.5" customHeight="1">
      <c r="C81" s="882" t="s">
        <v>1060</v>
      </c>
      <c r="D81" s="903" t="s">
        <v>1362</v>
      </c>
      <c r="E81" s="885"/>
      <c r="F81" s="889" t="e">
        <v>#DIV/0!</v>
      </c>
      <c r="G81" s="889" t="e">
        <v>#DIV/0!</v>
      </c>
      <c r="H81" s="904" t="e">
        <v>#DIV/0!</v>
      </c>
    </row>
    <row r="82" spans="3:8" ht="13.5" customHeight="1">
      <c r="C82" s="882" t="s">
        <v>1363</v>
      </c>
      <c r="D82" s="903" t="s">
        <v>1364</v>
      </c>
      <c r="E82" s="885"/>
      <c r="F82" s="889" t="e">
        <f t="shared" ref="F82:H82" si="2">365/F81</f>
        <v>#DIV/0!</v>
      </c>
      <c r="G82" s="889" t="e">
        <f t="shared" si="2"/>
        <v>#DIV/0!</v>
      </c>
      <c r="H82" s="904" t="e">
        <f t="shared" si="2"/>
        <v>#DIV/0!</v>
      </c>
    </row>
    <row r="83" spans="3:8" ht="13.5" customHeight="1">
      <c r="C83" s="882" t="s">
        <v>1365</v>
      </c>
      <c r="D83" s="903" t="s">
        <v>1366</v>
      </c>
      <c r="E83" s="885"/>
      <c r="F83" s="889" t="e">
        <v>#DIV/0!</v>
      </c>
      <c r="G83" s="889" t="e">
        <v>#DIV/0!</v>
      </c>
      <c r="H83" s="904" t="e">
        <v>#DIV/0!</v>
      </c>
    </row>
    <row r="84" spans="3:8" ht="13.5" customHeight="1">
      <c r="C84" s="882" t="s">
        <v>1367</v>
      </c>
      <c r="D84" s="903" t="s">
        <v>1368</v>
      </c>
      <c r="E84" s="885"/>
      <c r="F84" s="889" t="e">
        <f t="shared" ref="F84:H84" si="3">365/F83</f>
        <v>#DIV/0!</v>
      </c>
      <c r="G84" s="889" t="e">
        <f t="shared" si="3"/>
        <v>#DIV/0!</v>
      </c>
      <c r="H84" s="904" t="e">
        <f t="shared" si="3"/>
        <v>#DIV/0!</v>
      </c>
    </row>
    <row r="85" spans="3:8" ht="13.5" customHeight="1">
      <c r="C85" s="882" t="s">
        <v>1064</v>
      </c>
      <c r="D85" s="903" t="s">
        <v>1369</v>
      </c>
      <c r="E85" s="885"/>
      <c r="F85" s="889" t="e">
        <v>#DIV/0!</v>
      </c>
      <c r="G85" s="889" t="e">
        <v>#DIV/0!</v>
      </c>
      <c r="H85" s="904" t="e">
        <v>#DIV/0!</v>
      </c>
    </row>
    <row r="86" spans="3:8" ht="13.5" customHeight="1">
      <c r="C86" s="882" t="s">
        <v>1370</v>
      </c>
      <c r="D86" s="903" t="s">
        <v>1371</v>
      </c>
      <c r="E86" s="885"/>
      <c r="F86" s="889" t="e">
        <f t="shared" ref="F86:H86" si="4">365/F85</f>
        <v>#DIV/0!</v>
      </c>
      <c r="G86" s="889" t="e">
        <f t="shared" si="4"/>
        <v>#DIV/0!</v>
      </c>
      <c r="H86" s="904" t="e">
        <f t="shared" si="4"/>
        <v>#DIV/0!</v>
      </c>
    </row>
    <row r="87" spans="3:8" ht="13.5" customHeight="1">
      <c r="C87" s="882" t="s">
        <v>1058</v>
      </c>
      <c r="D87" s="903" t="s">
        <v>1372</v>
      </c>
      <c r="E87" s="885"/>
      <c r="F87" s="889" t="e">
        <v>#DIV/0!</v>
      </c>
      <c r="G87" s="889" t="e">
        <v>#DIV/0!</v>
      </c>
      <c r="H87" s="904" t="e">
        <v>#DIV/0!</v>
      </c>
    </row>
    <row r="88" spans="3:8" ht="13.5" customHeight="1">
      <c r="C88" s="886" t="s">
        <v>1373</v>
      </c>
      <c r="D88" s="905" t="s">
        <v>1374</v>
      </c>
      <c r="E88" s="887"/>
      <c r="F88" s="906" t="e">
        <f t="shared" ref="F88:H88" si="5">1/F87</f>
        <v>#DIV/0!</v>
      </c>
      <c r="G88" s="906" t="e">
        <f t="shared" si="5"/>
        <v>#DIV/0!</v>
      </c>
      <c r="H88" s="904" t="e">
        <f t="shared" si="5"/>
        <v>#DIV/0!</v>
      </c>
    </row>
    <row r="89" spans="3:8" ht="13.5" customHeight="1">
      <c r="C89" s="884" t="s">
        <v>1375</v>
      </c>
      <c r="D89" s="903"/>
      <c r="E89" s="885"/>
      <c r="F89" s="885"/>
      <c r="G89" s="885"/>
      <c r="H89" s="909"/>
    </row>
    <row r="90" spans="3:8" ht="13.5" customHeight="1">
      <c r="C90" s="882" t="s">
        <v>1376</v>
      </c>
      <c r="D90" s="903" t="s">
        <v>1377</v>
      </c>
      <c r="E90" s="885"/>
      <c r="F90" s="890" t="e">
        <v>#DIV/0!</v>
      </c>
      <c r="G90" s="890" t="e">
        <v>#DIV/0!</v>
      </c>
      <c r="H90" s="910" t="e">
        <v>#DIV/0!</v>
      </c>
    </row>
    <row r="91" spans="3:8" ht="13.5" customHeight="1">
      <c r="C91" s="882" t="s">
        <v>1378</v>
      </c>
      <c r="D91" s="903" t="s">
        <v>1379</v>
      </c>
      <c r="E91" s="885"/>
      <c r="F91" s="890" t="e">
        <v>#DIV/0!</v>
      </c>
      <c r="G91" s="890" t="e">
        <v>#DIV/0!</v>
      </c>
      <c r="H91" s="910" t="e">
        <v>#DIV/0!</v>
      </c>
    </row>
    <row r="92" spans="3:8" ht="13.5" customHeight="1">
      <c r="C92" s="886" t="s">
        <v>1380</v>
      </c>
      <c r="D92" s="905" t="s">
        <v>1381</v>
      </c>
      <c r="E92" s="887"/>
      <c r="F92" s="911" t="e">
        <v>#DIV/0!</v>
      </c>
      <c r="G92" s="911" t="e">
        <v>#DIV/0!</v>
      </c>
      <c r="H92" s="912" t="e">
        <v>#DIV/0!</v>
      </c>
    </row>
    <row r="93" spans="3:8" ht="13.5" customHeight="1">
      <c r="C93" s="884" t="s">
        <v>1382</v>
      </c>
      <c r="D93" s="903"/>
      <c r="E93" s="885"/>
      <c r="F93" s="885"/>
      <c r="G93" s="885"/>
      <c r="H93" s="888"/>
    </row>
    <row r="94" spans="3:8" ht="13.5" customHeight="1">
      <c r="C94" s="882" t="s">
        <v>1383</v>
      </c>
      <c r="D94" s="903" t="s">
        <v>1384</v>
      </c>
      <c r="E94" s="885"/>
      <c r="F94" s="889" t="e">
        <v>#DIV/0!</v>
      </c>
      <c r="G94" s="889" t="e">
        <v>#DIV/0!</v>
      </c>
      <c r="H94" s="904" t="e">
        <v>#DIV/0!</v>
      </c>
    </row>
    <row r="95" spans="3:8" ht="13.5" customHeight="1">
      <c r="C95" s="882" t="s">
        <v>1385</v>
      </c>
      <c r="D95" s="903" t="s">
        <v>1386</v>
      </c>
      <c r="E95" s="885"/>
      <c r="F95" s="889" t="e">
        <v>#DIV/0!</v>
      </c>
      <c r="G95" s="889" t="e">
        <v>#DIV/0!</v>
      </c>
      <c r="H95" s="904" t="e">
        <v>#DIV/0!</v>
      </c>
    </row>
    <row r="96" spans="3:8" ht="13.5" customHeight="1">
      <c r="C96" s="882" t="s">
        <v>1387</v>
      </c>
      <c r="D96" s="903" t="s">
        <v>1388</v>
      </c>
      <c r="E96" s="885"/>
      <c r="F96" s="889" t="e">
        <v>#DIV/0!</v>
      </c>
      <c r="G96" s="889" t="e">
        <v>#DIV/0!</v>
      </c>
      <c r="H96" s="904" t="e">
        <v>#DIV/0!</v>
      </c>
    </row>
    <row r="97" spans="3:8" ht="13.5" customHeight="1">
      <c r="C97" s="882" t="s">
        <v>1389</v>
      </c>
      <c r="D97" s="903" t="s">
        <v>1390</v>
      </c>
      <c r="E97" s="885"/>
      <c r="F97" s="889" t="e">
        <v>#DIV/0!</v>
      </c>
      <c r="G97" s="889" t="e">
        <v>#DIV/0!</v>
      </c>
      <c r="H97" s="904" t="e">
        <v>#DIV/0!</v>
      </c>
    </row>
    <row r="98" spans="3:8" ht="13.5" customHeight="1">
      <c r="C98" s="882" t="s">
        <v>1391</v>
      </c>
      <c r="D98" s="903" t="s">
        <v>1392</v>
      </c>
      <c r="E98" s="885"/>
      <c r="F98" s="889" t="e">
        <v>#DIV/0!</v>
      </c>
      <c r="G98" s="889" t="e">
        <v>#DIV/0!</v>
      </c>
      <c r="H98" s="904" t="e">
        <v>#DIV/0!</v>
      </c>
    </row>
    <row r="99" spans="3:8" ht="13.5" customHeight="1">
      <c r="C99" s="882" t="s">
        <v>1393</v>
      </c>
      <c r="D99" s="903" t="s">
        <v>1394</v>
      </c>
      <c r="E99" s="885"/>
      <c r="F99" s="913">
        <v>0</v>
      </c>
      <c r="G99" s="913">
        <v>0</v>
      </c>
      <c r="H99" s="914">
        <v>0</v>
      </c>
    </row>
    <row r="100" spans="3:8" ht="13.5" customHeight="1">
      <c r="C100" s="882" t="s">
        <v>0</v>
      </c>
      <c r="D100" s="903" t="s">
        <v>1395</v>
      </c>
      <c r="E100" s="885"/>
      <c r="F100" s="913">
        <v>0</v>
      </c>
      <c r="G100" s="913">
        <v>0</v>
      </c>
      <c r="H100" s="914">
        <v>0</v>
      </c>
    </row>
    <row r="101" spans="3:8" ht="13.5" customHeight="1">
      <c r="C101" s="886" t="s">
        <v>1396</v>
      </c>
      <c r="D101" s="905" t="s">
        <v>781</v>
      </c>
      <c r="E101" s="887"/>
      <c r="F101" s="906" t="e">
        <v>#DIV/0!</v>
      </c>
      <c r="G101" s="906" t="e">
        <v>#DIV/0!</v>
      </c>
      <c r="H101" s="904" t="e">
        <v>#DIV/0!</v>
      </c>
    </row>
    <row r="102" spans="3:8" ht="13.5" customHeight="1">
      <c r="C102" s="884" t="s">
        <v>1397</v>
      </c>
      <c r="D102" s="903"/>
      <c r="E102" s="885"/>
      <c r="F102" s="885"/>
      <c r="G102" s="885"/>
      <c r="H102" s="909"/>
    </row>
    <row r="103" spans="3:8" ht="13.5" customHeight="1">
      <c r="C103" s="882" t="s">
        <v>1398</v>
      </c>
      <c r="D103" s="903" t="s">
        <v>1381</v>
      </c>
      <c r="E103" s="885"/>
      <c r="F103" s="890" t="e">
        <v>#DIV/0!</v>
      </c>
      <c r="G103" s="890" t="e">
        <v>#DIV/0!</v>
      </c>
      <c r="H103" s="910" t="e">
        <v>#DIV/0!</v>
      </c>
    </row>
    <row r="104" spans="3:8" ht="13.5" customHeight="1">
      <c r="C104" s="886" t="s">
        <v>97</v>
      </c>
      <c r="D104" s="905" t="s">
        <v>1399</v>
      </c>
      <c r="E104" s="887"/>
      <c r="F104" s="911" t="e">
        <f t="shared" ref="F104:H104" si="6">F90*F87*F77</f>
        <v>#DIV/0!</v>
      </c>
      <c r="G104" s="911" t="e">
        <f t="shared" si="6"/>
        <v>#DIV/0!</v>
      </c>
      <c r="H104" s="912" t="e">
        <f t="shared" si="6"/>
        <v>#DIV/0!</v>
      </c>
    </row>
    <row r="105" spans="3:8" ht="13.5" customHeight="1">
      <c r="C105" s="884" t="s">
        <v>1400</v>
      </c>
      <c r="D105" s="903"/>
      <c r="E105" s="885"/>
      <c r="F105" s="885"/>
      <c r="G105" s="885"/>
      <c r="H105" s="888"/>
    </row>
    <row r="106" spans="3:8" ht="13.5" customHeight="1">
      <c r="C106" s="882" t="s">
        <v>1401</v>
      </c>
      <c r="D106" s="903" t="s">
        <v>1402</v>
      </c>
      <c r="E106" s="885"/>
      <c r="F106" s="885" t="e">
        <v>#DIV/0!</v>
      </c>
      <c r="G106" s="885" t="e">
        <v>#DIV/0!</v>
      </c>
      <c r="H106" s="888" t="e">
        <v>#DIV/0!</v>
      </c>
    </row>
    <row r="107" spans="3:8" ht="13.5" customHeight="1">
      <c r="C107" s="882" t="s">
        <v>1403</v>
      </c>
      <c r="D107" s="903" t="s">
        <v>1404</v>
      </c>
      <c r="E107" s="885"/>
      <c r="F107" s="885" t="e">
        <f t="shared" ref="F107:H107" si="7">1-F106</f>
        <v>#DIV/0!</v>
      </c>
      <c r="G107" s="885" t="e">
        <f t="shared" si="7"/>
        <v>#DIV/0!</v>
      </c>
      <c r="H107" s="888" t="e">
        <f t="shared" si="7"/>
        <v>#DIV/0!</v>
      </c>
    </row>
    <row r="108" spans="3:8" ht="13.5" customHeight="1">
      <c r="C108" s="882" t="s">
        <v>1405</v>
      </c>
      <c r="D108" s="903" t="s">
        <v>1406</v>
      </c>
      <c r="E108" s="885"/>
      <c r="F108" s="890" t="e">
        <f t="shared" ref="F108:H108" si="8">SUM(SUM(F91*F106)/SUM(1-SUM(F91*F106)))</f>
        <v>#DIV/0!</v>
      </c>
      <c r="G108" s="890" t="e">
        <f t="shared" si="8"/>
        <v>#DIV/0!</v>
      </c>
      <c r="H108" s="910" t="e">
        <f t="shared" si="8"/>
        <v>#DIV/0!</v>
      </c>
    </row>
    <row r="109" spans="3:8" ht="13.5" customHeight="1" thickBot="1">
      <c r="C109" s="891" t="s">
        <v>1407</v>
      </c>
      <c r="D109" s="915" t="s">
        <v>1408</v>
      </c>
      <c r="E109" s="892"/>
      <c r="F109" s="893" t="e">
        <f t="shared" ref="F109:H109" si="9">SUM(SUM(F92*F106)/SUM(1-SUM(F92*F106)))</f>
        <v>#DIV/0!</v>
      </c>
      <c r="G109" s="893" t="e">
        <f t="shared" si="9"/>
        <v>#DIV/0!</v>
      </c>
      <c r="H109" s="916" t="e">
        <f t="shared" si="9"/>
        <v>#DIV/0!</v>
      </c>
    </row>
    <row r="110" spans="3:8" ht="13.5" customHeight="1" thickTop="1"/>
    <row r="111" spans="3:8" ht="13.5" customHeight="1"/>
    <row r="112" spans="3:8" ht="13.5" customHeight="1"/>
    <row r="113" spans="3:16" ht="13.5" customHeight="1"/>
    <row r="114" spans="3:16" ht="13.5" customHeight="1"/>
    <row r="115" spans="3:16" ht="13.5" customHeight="1"/>
    <row r="116" spans="3:16" ht="13.5" customHeight="1"/>
    <row r="117" spans="3:16" ht="13.5" customHeight="1"/>
    <row r="118" spans="3:16" ht="13.5" customHeight="1">
      <c r="C118" s="813" t="s">
        <v>1231</v>
      </c>
    </row>
    <row r="119" spans="3:16" ht="13.5" customHeight="1"/>
    <row r="120" spans="3:16" ht="13.5" customHeight="1" thickBot="1">
      <c r="C120" s="814" t="s">
        <v>213</v>
      </c>
    </row>
    <row r="121" spans="3:16" ht="13.5" customHeight="1">
      <c r="C121" s="815"/>
      <c r="D121" s="815"/>
      <c r="E121" s="815"/>
      <c r="F121" s="815"/>
      <c r="G121" s="815"/>
      <c r="H121" s="815"/>
      <c r="I121" s="816"/>
      <c r="J121" s="816" t="s">
        <v>230</v>
      </c>
      <c r="K121" s="817" t="s">
        <v>1201</v>
      </c>
      <c r="L121" s="818" t="s">
        <v>1200</v>
      </c>
      <c r="M121" s="819"/>
      <c r="N121" s="819"/>
      <c r="O121" s="819"/>
      <c r="P121" s="820"/>
    </row>
    <row r="122" spans="3:16" ht="13.5" customHeight="1">
      <c r="C122" s="821" t="s">
        <v>231</v>
      </c>
      <c r="D122" s="822"/>
      <c r="E122" s="822"/>
      <c r="F122" s="822"/>
      <c r="G122" s="822"/>
      <c r="H122" s="822"/>
      <c r="I122" s="823"/>
      <c r="J122" s="823">
        <f>K122-1</f>
        <v>-1</v>
      </c>
      <c r="K122" s="823">
        <v>0</v>
      </c>
      <c r="L122" s="823">
        <f>K122+1</f>
        <v>1</v>
      </c>
      <c r="M122" s="823">
        <f>L122+1</f>
        <v>2</v>
      </c>
      <c r="N122" s="823">
        <f>M122+1</f>
        <v>3</v>
      </c>
      <c r="O122" s="823">
        <f>N122+1</f>
        <v>4</v>
      </c>
      <c r="P122" s="821" t="s">
        <v>1198</v>
      </c>
    </row>
    <row r="123" spans="3:16" ht="13.5" customHeight="1"/>
    <row r="124" spans="3:16" ht="13.5" customHeight="1">
      <c r="D124" s="824" t="s">
        <v>1224</v>
      </c>
      <c r="J124" s="825"/>
      <c r="K124" s="825"/>
      <c r="L124" s="825"/>
      <c r="M124" s="825"/>
      <c r="N124" s="825"/>
      <c r="O124" s="825"/>
      <c r="P124" s="824" t="s">
        <v>1232</v>
      </c>
    </row>
    <row r="125" spans="3:16" ht="13.5" customHeight="1">
      <c r="D125" s="824" t="s">
        <v>1223</v>
      </c>
      <c r="J125" s="826"/>
      <c r="K125" s="826"/>
      <c r="L125" s="826"/>
      <c r="M125" s="826"/>
      <c r="N125" s="826"/>
      <c r="O125" s="826"/>
      <c r="P125" s="824" t="s">
        <v>1232</v>
      </c>
    </row>
    <row r="126" spans="3:16" ht="13.5" customHeight="1">
      <c r="D126" s="824" t="s">
        <v>338</v>
      </c>
      <c r="J126" s="826"/>
      <c r="K126" s="826"/>
      <c r="L126" s="826"/>
      <c r="M126" s="826"/>
      <c r="N126" s="826"/>
      <c r="O126" s="826"/>
      <c r="P126" s="824" t="s">
        <v>1232</v>
      </c>
    </row>
    <row r="127" spans="3:16" ht="13.5" customHeight="1">
      <c r="D127" s="824" t="s">
        <v>340</v>
      </c>
      <c r="J127" s="827"/>
      <c r="K127" s="827"/>
      <c r="L127" s="827"/>
      <c r="M127" s="827"/>
      <c r="N127" s="827"/>
      <c r="O127" s="827"/>
      <c r="P127" s="824" t="s">
        <v>1232</v>
      </c>
    </row>
    <row r="128" spans="3:16" ht="13.5" customHeight="1">
      <c r="C128" s="824" t="s">
        <v>670</v>
      </c>
      <c r="J128" s="825"/>
      <c r="K128" s="825"/>
      <c r="L128" s="825"/>
      <c r="M128" s="825"/>
      <c r="N128" s="825"/>
      <c r="O128" s="825"/>
      <c r="P128" s="824" t="s">
        <v>1233</v>
      </c>
    </row>
    <row r="129" spans="3:16" ht="13.5" customHeight="1">
      <c r="D129" s="824" t="s">
        <v>1234</v>
      </c>
      <c r="J129" s="828"/>
      <c r="K129" s="828"/>
      <c r="L129" s="828"/>
      <c r="M129" s="828"/>
      <c r="N129" s="828"/>
      <c r="O129" s="828"/>
      <c r="P129" s="824" t="s">
        <v>1235</v>
      </c>
    </row>
    <row r="130" spans="3:16" ht="13.5" customHeight="1">
      <c r="C130" s="824" t="s">
        <v>1236</v>
      </c>
      <c r="J130" s="825"/>
      <c r="K130" s="825"/>
      <c r="L130" s="825"/>
      <c r="M130" s="825"/>
      <c r="N130" s="825"/>
      <c r="O130" s="825"/>
      <c r="P130" s="824" t="s">
        <v>1208</v>
      </c>
    </row>
    <row r="131" spans="3:16" ht="13.5" customHeight="1">
      <c r="D131" s="824" t="s">
        <v>1237</v>
      </c>
      <c r="J131" s="829"/>
      <c r="K131" s="829"/>
      <c r="L131" s="829"/>
      <c r="M131" s="829"/>
      <c r="N131" s="829"/>
      <c r="O131" s="829"/>
      <c r="P131" s="824" t="s">
        <v>1238</v>
      </c>
    </row>
    <row r="132" spans="3:16" ht="13.5" customHeight="1">
      <c r="D132" s="824" t="s">
        <v>1239</v>
      </c>
      <c r="J132" s="828"/>
      <c r="K132" s="828"/>
      <c r="L132" s="828"/>
      <c r="M132" s="828"/>
      <c r="N132" s="828"/>
      <c r="O132" s="828"/>
      <c r="P132" s="824" t="s">
        <v>1235</v>
      </c>
    </row>
    <row r="133" spans="3:16" ht="13.5" customHeight="1">
      <c r="C133" s="824" t="s">
        <v>1240</v>
      </c>
      <c r="J133" s="825"/>
      <c r="K133" s="825"/>
      <c r="L133" s="825"/>
      <c r="M133" s="825"/>
      <c r="N133" s="825"/>
      <c r="O133" s="825"/>
      <c r="P133" s="824" t="s">
        <v>1241</v>
      </c>
    </row>
    <row r="134" spans="3:16" ht="13.5" customHeight="1">
      <c r="C134" s="824" t="s">
        <v>1242</v>
      </c>
      <c r="J134" s="826"/>
      <c r="K134" s="826"/>
      <c r="L134" s="826"/>
      <c r="M134" s="826"/>
      <c r="N134" s="826"/>
      <c r="O134" s="826"/>
      <c r="P134" s="824" t="s">
        <v>1243</v>
      </c>
    </row>
    <row r="135" spans="3:16" ht="13.5" customHeight="1">
      <c r="C135" s="824"/>
      <c r="J135" s="830"/>
      <c r="K135" s="830"/>
      <c r="L135" s="830"/>
      <c r="M135" s="830"/>
      <c r="N135" s="830"/>
      <c r="O135" s="830"/>
    </row>
    <row r="136" spans="3:16" ht="13.5" customHeight="1">
      <c r="C136" s="824" t="s">
        <v>267</v>
      </c>
      <c r="J136" s="825"/>
      <c r="K136" s="825"/>
      <c r="L136" s="825"/>
      <c r="M136" s="825"/>
      <c r="N136" s="825"/>
      <c r="O136" s="825"/>
      <c r="P136" s="824" t="s">
        <v>1244</v>
      </c>
    </row>
    <row r="137" spans="3:16" ht="13.5" customHeight="1">
      <c r="C137" s="824" t="s">
        <v>199</v>
      </c>
      <c r="J137" s="826"/>
      <c r="K137" s="826"/>
      <c r="L137" s="826"/>
      <c r="M137" s="826"/>
      <c r="N137" s="826"/>
      <c r="O137" s="826"/>
      <c r="P137" s="824" t="s">
        <v>1244</v>
      </c>
    </row>
    <row r="138" spans="3:16" ht="13.5" customHeight="1">
      <c r="C138" s="824" t="s">
        <v>1245</v>
      </c>
      <c r="J138" s="826"/>
      <c r="K138" s="826"/>
      <c r="L138" s="826"/>
      <c r="M138" s="826"/>
      <c r="N138" s="826"/>
      <c r="O138" s="826"/>
      <c r="P138" s="824" t="s">
        <v>1203</v>
      </c>
    </row>
    <row r="139" spans="3:16" ht="13.5" customHeight="1">
      <c r="C139" s="824" t="s">
        <v>1246</v>
      </c>
      <c r="J139" s="826"/>
      <c r="K139" s="826"/>
      <c r="L139" s="826"/>
      <c r="M139" s="826"/>
      <c r="N139" s="826"/>
      <c r="O139" s="826"/>
      <c r="P139" s="824" t="s">
        <v>1247</v>
      </c>
    </row>
    <row r="140" spans="3:16" ht="13.5" customHeight="1">
      <c r="C140" s="824" t="s">
        <v>1248</v>
      </c>
      <c r="J140" s="826"/>
      <c r="K140" s="826"/>
      <c r="L140" s="826"/>
      <c r="M140" s="826"/>
      <c r="N140" s="826"/>
      <c r="O140" s="826"/>
      <c r="P140" s="824" t="s">
        <v>1247</v>
      </c>
    </row>
    <row r="141" spans="3:16" ht="13.5" customHeight="1">
      <c r="C141" s="824" t="s">
        <v>308</v>
      </c>
      <c r="J141" s="826"/>
      <c r="K141" s="826"/>
      <c r="L141" s="826"/>
      <c r="M141" s="826"/>
      <c r="N141" s="826"/>
      <c r="O141" s="826"/>
      <c r="P141" s="824" t="s">
        <v>1235</v>
      </c>
    </row>
    <row r="142" spans="3:16" ht="13.5" customHeight="1"/>
    <row r="143" spans="3:16" ht="13.5" customHeight="1">
      <c r="C143" s="831" t="s">
        <v>1249</v>
      </c>
    </row>
    <row r="144" spans="3:16" ht="13.5" customHeight="1">
      <c r="C144" s="824" t="s">
        <v>1250</v>
      </c>
      <c r="J144" s="832"/>
      <c r="K144" s="833"/>
      <c r="L144" s="832"/>
      <c r="M144" s="832"/>
      <c r="N144" s="832"/>
      <c r="O144" s="832"/>
      <c r="P144" s="824" t="s">
        <v>1251</v>
      </c>
    </row>
    <row r="145" spans="3:16" ht="13.5" customHeight="1">
      <c r="C145" s="824" t="s">
        <v>1252</v>
      </c>
      <c r="J145" s="832"/>
      <c r="K145" s="832"/>
      <c r="L145" s="832"/>
      <c r="M145" s="832"/>
      <c r="N145" s="832"/>
      <c r="O145" s="832"/>
      <c r="P145" s="824" t="s">
        <v>1251</v>
      </c>
    </row>
    <row r="146" spans="3:16" ht="13.5" customHeight="1">
      <c r="C146" s="824" t="s">
        <v>1253</v>
      </c>
      <c r="J146" s="832"/>
      <c r="K146" s="832"/>
      <c r="L146" s="832"/>
      <c r="M146" s="832"/>
      <c r="N146" s="832"/>
      <c r="O146" s="832"/>
      <c r="P146" s="824" t="s">
        <v>1251</v>
      </c>
    </row>
    <row r="147" spans="3:16" ht="13.5" customHeight="1">
      <c r="C147" s="824" t="s">
        <v>1254</v>
      </c>
      <c r="J147" s="832"/>
      <c r="K147" s="832"/>
      <c r="L147" s="832"/>
      <c r="M147" s="832"/>
      <c r="N147" s="832"/>
      <c r="O147" s="832"/>
      <c r="P147" s="824" t="s">
        <v>1251</v>
      </c>
    </row>
    <row r="148" spans="3:16" ht="13.5" customHeight="1">
      <c r="C148" s="824" t="s">
        <v>1255</v>
      </c>
      <c r="J148" s="832"/>
      <c r="K148" s="832"/>
      <c r="L148" s="832"/>
      <c r="M148" s="832"/>
      <c r="N148" s="832"/>
      <c r="O148" s="832"/>
      <c r="P148" s="824" t="s">
        <v>1251</v>
      </c>
    </row>
    <row r="149" spans="3:16" ht="13.5" customHeight="1">
      <c r="J149" s="834"/>
      <c r="K149" s="834"/>
      <c r="L149" s="834"/>
      <c r="M149" s="834"/>
      <c r="N149" s="834"/>
      <c r="O149" s="834"/>
    </row>
    <row r="150" spans="3:16" ht="13.5" customHeight="1">
      <c r="C150" s="824" t="s">
        <v>1256</v>
      </c>
      <c r="J150" s="832"/>
      <c r="K150" s="833"/>
      <c r="L150" s="832"/>
      <c r="M150" s="832"/>
      <c r="N150" s="832"/>
      <c r="O150" s="832"/>
      <c r="P150" s="824" t="s">
        <v>1251</v>
      </c>
    </row>
    <row r="151" spans="3:16" ht="13.5" customHeight="1">
      <c r="C151" s="824" t="s">
        <v>1257</v>
      </c>
      <c r="J151" s="832"/>
      <c r="K151" s="832"/>
      <c r="L151" s="832"/>
      <c r="M151" s="832"/>
      <c r="N151" s="832"/>
      <c r="O151" s="832"/>
      <c r="P151" s="824" t="s">
        <v>1251</v>
      </c>
    </row>
    <row r="152" spans="3:16" ht="13.5" customHeight="1">
      <c r="J152" s="834"/>
      <c r="K152" s="834"/>
      <c r="L152" s="834"/>
      <c r="M152" s="834"/>
      <c r="N152" s="834"/>
      <c r="O152" s="834"/>
    </row>
    <row r="153" spans="3:16" ht="13.5" customHeight="1">
      <c r="C153" s="824" t="s">
        <v>1258</v>
      </c>
      <c r="J153" s="832"/>
      <c r="K153" s="833"/>
      <c r="L153" s="832"/>
      <c r="M153" s="832"/>
      <c r="N153" s="832"/>
      <c r="O153" s="832"/>
      <c r="P153" s="824" t="s">
        <v>1251</v>
      </c>
    </row>
    <row r="154" spans="3:16" ht="13.5" customHeight="1">
      <c r="C154" s="824" t="s">
        <v>1259</v>
      </c>
      <c r="J154" s="832"/>
      <c r="K154" s="832"/>
      <c r="L154" s="832"/>
      <c r="M154" s="832"/>
      <c r="N154" s="832"/>
      <c r="O154" s="832"/>
      <c r="P154" s="824" t="s">
        <v>1251</v>
      </c>
    </row>
    <row r="155" spans="3:16" ht="13.5" customHeight="1">
      <c r="J155" s="834"/>
      <c r="K155" s="834"/>
      <c r="L155" s="834"/>
      <c r="M155" s="834"/>
      <c r="N155" s="834"/>
      <c r="O155" s="834"/>
    </row>
    <row r="156" spans="3:16" ht="13.5" customHeight="1">
      <c r="C156" s="824" t="s">
        <v>1260</v>
      </c>
      <c r="J156" s="835"/>
      <c r="K156" s="836"/>
      <c r="L156" s="835"/>
      <c r="M156" s="835"/>
      <c r="N156" s="835"/>
      <c r="O156" s="835"/>
      <c r="P156" s="837" t="s">
        <v>1251</v>
      </c>
    </row>
    <row r="157" spans="3:16" ht="13.5" customHeight="1">
      <c r="C157" s="837" t="s">
        <v>1261</v>
      </c>
      <c r="D157" s="448"/>
      <c r="E157" s="448"/>
      <c r="F157" s="448"/>
      <c r="G157" s="448"/>
      <c r="H157" s="448"/>
      <c r="I157" s="448"/>
      <c r="J157" s="838"/>
      <c r="K157" s="838"/>
      <c r="L157" s="838"/>
      <c r="M157" s="838"/>
      <c r="N157" s="838"/>
      <c r="O157" s="838"/>
      <c r="P157" s="837" t="s">
        <v>1251</v>
      </c>
    </row>
    <row r="158" spans="3:16" ht="13.5" customHeight="1">
      <c r="C158" s="837"/>
      <c r="D158" s="448"/>
      <c r="E158" s="448"/>
      <c r="F158" s="448"/>
      <c r="G158" s="448"/>
      <c r="H158" s="448"/>
      <c r="I158" s="448"/>
      <c r="J158" s="838"/>
      <c r="K158" s="838"/>
      <c r="L158" s="838"/>
      <c r="M158" s="838"/>
      <c r="N158" s="838"/>
      <c r="O158" s="838"/>
      <c r="P158" s="837"/>
    </row>
    <row r="159" spans="3:16" ht="13.5" customHeight="1">
      <c r="C159" s="839" t="s">
        <v>1262</v>
      </c>
      <c r="D159" s="448"/>
      <c r="E159" s="448"/>
      <c r="F159" s="448"/>
      <c r="G159" s="448"/>
      <c r="H159" s="448"/>
      <c r="I159" s="448"/>
      <c r="J159" s="838"/>
      <c r="K159" s="838"/>
      <c r="L159" s="838"/>
      <c r="M159" s="838"/>
      <c r="N159" s="838"/>
      <c r="O159" s="838"/>
      <c r="P159" s="837" t="s">
        <v>1251</v>
      </c>
    </row>
    <row r="160" spans="3:16" ht="13.5" customHeight="1"/>
    <row r="161" spans="3:16" ht="13.5" customHeight="1">
      <c r="C161" s="824" t="s">
        <v>1263</v>
      </c>
      <c r="J161" s="835"/>
      <c r="K161" s="835"/>
      <c r="L161" s="835"/>
      <c r="M161" s="835"/>
      <c r="N161" s="835"/>
      <c r="O161" s="835"/>
      <c r="P161" s="837" t="s">
        <v>1251</v>
      </c>
    </row>
    <row r="162" spans="3:16" ht="13.5" customHeight="1">
      <c r="C162" s="840" t="s">
        <v>1264</v>
      </c>
      <c r="D162" s="841"/>
      <c r="E162" s="841"/>
      <c r="F162" s="841"/>
      <c r="G162" s="841"/>
      <c r="H162" s="841"/>
      <c r="I162" s="841"/>
      <c r="J162" s="842"/>
      <c r="K162" s="842"/>
      <c r="L162" s="842"/>
      <c r="M162" s="842"/>
      <c r="N162" s="842"/>
      <c r="O162" s="842"/>
      <c r="P162" s="840" t="s">
        <v>1251</v>
      </c>
    </row>
    <row r="163" spans="3:16" ht="13.5" customHeight="1"/>
    <row r="164" spans="3:16" ht="13.5" customHeight="1">
      <c r="C164" s="843" t="s">
        <v>1265</v>
      </c>
    </row>
    <row r="165" spans="3:16" ht="13.5" customHeight="1">
      <c r="C165" s="844" t="s">
        <v>397</v>
      </c>
    </row>
    <row r="166" spans="3:16" ht="13.5" customHeight="1">
      <c r="C166" s="844"/>
    </row>
    <row r="167" spans="3:16" ht="13.5" customHeight="1">
      <c r="C167" s="844"/>
    </row>
    <row r="168" spans="3:16" ht="13.5" customHeight="1">
      <c r="C168" s="845"/>
      <c r="D168" s="845"/>
      <c r="E168" s="845"/>
      <c r="F168" s="845"/>
      <c r="G168" s="845"/>
      <c r="H168" s="845"/>
      <c r="I168" s="846" t="s">
        <v>1266</v>
      </c>
      <c r="J168" s="847"/>
      <c r="K168" s="847"/>
      <c r="L168" s="847"/>
      <c r="M168" s="847"/>
      <c r="N168" s="848"/>
      <c r="O168" s="848"/>
    </row>
    <row r="169" spans="3:16" ht="13.5" customHeight="1">
      <c r="C169" s="845"/>
      <c r="D169" s="845"/>
      <c r="E169" s="845"/>
      <c r="F169" s="845"/>
      <c r="G169" s="845"/>
      <c r="H169" s="845"/>
      <c r="I169" s="849" t="s">
        <v>1267</v>
      </c>
      <c r="J169" s="850" t="s">
        <v>1268</v>
      </c>
      <c r="K169" s="850" t="s">
        <v>1269</v>
      </c>
      <c r="L169" s="850" t="s">
        <v>1270</v>
      </c>
      <c r="M169" s="850" t="s">
        <v>1271</v>
      </c>
      <c r="N169" s="850" t="s">
        <v>1272</v>
      </c>
      <c r="O169" s="851" t="s">
        <v>1273</v>
      </c>
    </row>
    <row r="170" spans="3:16" ht="13.5" customHeight="1">
      <c r="C170" s="845"/>
      <c r="D170" s="852"/>
      <c r="E170" s="852"/>
      <c r="F170" s="852"/>
      <c r="G170" s="852"/>
      <c r="H170" s="853">
        <f>K122</f>
        <v>0</v>
      </c>
      <c r="I170" s="854"/>
      <c r="J170" s="855"/>
      <c r="K170" s="855"/>
      <c r="L170" s="855"/>
      <c r="M170" s="855"/>
      <c r="N170" s="855"/>
      <c r="O170" s="856"/>
    </row>
    <row r="171" spans="3:16" ht="13.5" customHeight="1">
      <c r="C171" s="824" t="s">
        <v>1274</v>
      </c>
      <c r="H171" s="834">
        <f>K153</f>
        <v>0</v>
      </c>
      <c r="I171" s="857">
        <v>23.8</v>
      </c>
      <c r="J171" s="858">
        <v>13.6</v>
      </c>
      <c r="K171" s="858">
        <v>6.9</v>
      </c>
      <c r="L171" s="858">
        <v>4.2</v>
      </c>
      <c r="M171" s="858">
        <v>2.2999999999999998</v>
      </c>
      <c r="N171" s="858">
        <v>0.9</v>
      </c>
      <c r="O171" s="859">
        <v>0.4</v>
      </c>
    </row>
    <row r="172" spans="3:16" ht="13.5" customHeight="1">
      <c r="C172" s="824" t="s">
        <v>1275</v>
      </c>
      <c r="H172" s="834">
        <f>K150</f>
        <v>0</v>
      </c>
      <c r="I172" s="857">
        <v>25.3</v>
      </c>
      <c r="J172" s="858">
        <v>17.100000000000001</v>
      </c>
      <c r="K172" s="858">
        <v>9.4</v>
      </c>
      <c r="L172" s="858">
        <v>5.9</v>
      </c>
      <c r="M172" s="858">
        <v>3.1</v>
      </c>
      <c r="N172" s="858">
        <v>1.6</v>
      </c>
      <c r="O172" s="859">
        <v>0.9</v>
      </c>
    </row>
    <row r="173" spans="3:16" ht="13.5" customHeight="1">
      <c r="C173" s="824" t="s">
        <v>1250</v>
      </c>
      <c r="H173" s="834">
        <f>K144</f>
        <v>0</v>
      </c>
      <c r="I173" s="857">
        <v>0.2</v>
      </c>
      <c r="J173" s="858">
        <v>1.1000000000000001</v>
      </c>
      <c r="K173" s="858">
        <v>1.7</v>
      </c>
      <c r="L173" s="858">
        <v>2.4</v>
      </c>
      <c r="M173" s="858">
        <v>3.8</v>
      </c>
      <c r="N173" s="858">
        <v>5.6</v>
      </c>
      <c r="O173" s="859">
        <v>7.4</v>
      </c>
    </row>
    <row r="174" spans="3:16" ht="13.5" customHeight="1">
      <c r="C174" s="824" t="s">
        <v>1276</v>
      </c>
      <c r="H174" s="860">
        <f>K156</f>
        <v>0</v>
      </c>
      <c r="I174" s="861">
        <v>6.2E-2</v>
      </c>
      <c r="J174" s="862">
        <v>0.34799999999999998</v>
      </c>
      <c r="K174" s="862">
        <v>0.39799999999999996</v>
      </c>
      <c r="L174" s="862">
        <v>0.45600000000000002</v>
      </c>
      <c r="M174" s="862">
        <v>0.57200000000000006</v>
      </c>
      <c r="N174" s="862">
        <v>0.74199999999999999</v>
      </c>
      <c r="O174" s="863">
        <v>1.012</v>
      </c>
    </row>
    <row r="175" spans="3:16" ht="13.5" customHeight="1"/>
    <row r="176" spans="3:1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</sheetData>
  <pageMargins left="0.7" right="0.7" top="0.75" bottom="0.75" header="0" footer="0"/>
  <pageSetup scale="41"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2:R970"/>
  <sheetViews>
    <sheetView showGridLines="0" zoomScale="74" workbookViewId="0">
      <selection activeCell="D40" sqref="D40"/>
    </sheetView>
  </sheetViews>
  <sheetFormatPr defaultColWidth="12.5703125" defaultRowHeight="15" customHeight="1"/>
  <cols>
    <col min="1" max="2" width="3.42578125" customWidth="1"/>
    <col min="3" max="3" width="34.5703125" customWidth="1"/>
    <col min="4" max="7" width="12" customWidth="1"/>
    <col min="8" max="16" width="12.42578125" customWidth="1"/>
    <col min="17" max="17" width="12" customWidth="1"/>
    <col min="18" max="18" width="10.7109375" customWidth="1"/>
    <col min="19" max="19" width="8.5703125" customWidth="1"/>
    <col min="20" max="20" width="16.85546875" customWidth="1"/>
  </cols>
  <sheetData>
    <row r="2" spans="3:11" ht="15" customHeight="1">
      <c r="C2" s="623" t="s">
        <v>984</v>
      </c>
      <c r="G2" s="625">
        <f>'Control Panel'!Z5</f>
        <v>2024</v>
      </c>
      <c r="H2" s="625">
        <f>'Control Panel'!AA5</f>
        <v>2025</v>
      </c>
      <c r="I2" s="625">
        <f>'Control Panel'!AB5</f>
        <v>2026</v>
      </c>
      <c r="J2" s="625">
        <f>'Control Panel'!AC5</f>
        <v>2027</v>
      </c>
      <c r="K2" s="625">
        <f>'Control Panel'!AD5</f>
        <v>2028</v>
      </c>
    </row>
    <row r="3" spans="3:11" ht="15" customHeight="1">
      <c r="G3" s="622"/>
    </row>
    <row r="5" spans="3:11" ht="15" customHeight="1">
      <c r="C5" s="587" t="s">
        <v>982</v>
      </c>
      <c r="D5" s="589"/>
      <c r="E5" s="590"/>
      <c r="F5" s="590"/>
      <c r="G5" s="591">
        <f t="array" ref="G5">INDEX(G7:G9,$D$7)</f>
        <v>0.03</v>
      </c>
      <c r="H5" s="592">
        <f t="array" ref="H5">INDEX(H7:H9,$D$7)</f>
        <v>0.02</v>
      </c>
      <c r="I5" s="592">
        <f t="array" ref="I5">INDEX(I7:I9,$D$7)</f>
        <v>0.02</v>
      </c>
      <c r="J5" s="592">
        <f t="array" ref="J5">INDEX(J7:J9,$D$7)</f>
        <v>1.4999999999999999E-2</v>
      </c>
      <c r="K5" s="592">
        <f t="array" ref="K5">INDEX(K7:K9,$D$7)</f>
        <v>1.4999999999999999E-2</v>
      </c>
    </row>
    <row r="6" spans="3:11" ht="15" customHeight="1">
      <c r="C6" s="589"/>
      <c r="D6" s="593"/>
      <c r="E6" s="593"/>
      <c r="F6" s="593"/>
      <c r="G6" s="594"/>
      <c r="H6" s="595"/>
      <c r="I6" s="596"/>
      <c r="J6" s="597"/>
      <c r="K6" s="597"/>
    </row>
    <row r="7" spans="3:11" ht="15" customHeight="1">
      <c r="C7" s="593" t="s">
        <v>981</v>
      </c>
      <c r="D7" s="598"/>
      <c r="E7" s="593"/>
      <c r="F7" s="593"/>
      <c r="G7" s="599">
        <v>0.03</v>
      </c>
      <c r="H7" s="600">
        <v>0.02</v>
      </c>
      <c r="I7" s="600">
        <v>0.02</v>
      </c>
      <c r="J7" s="600">
        <v>1.4999999999999999E-2</v>
      </c>
      <c r="K7" s="600">
        <v>1.4999999999999999E-2</v>
      </c>
    </row>
    <row r="8" spans="3:11" ht="15" customHeight="1">
      <c r="C8" s="593" t="s">
        <v>980</v>
      </c>
      <c r="D8" s="593"/>
      <c r="E8" s="593"/>
      <c r="F8" s="593"/>
      <c r="G8" s="601">
        <v>0.02</v>
      </c>
      <c r="H8" s="602">
        <v>0.01</v>
      </c>
      <c r="I8" s="602">
        <v>0.01</v>
      </c>
      <c r="J8" s="602">
        <v>5.0000000000000001E-3</v>
      </c>
      <c r="K8" s="602">
        <v>5.0000000000000001E-3</v>
      </c>
    </row>
    <row r="9" spans="3:11" ht="15" customHeight="1">
      <c r="C9" s="593" t="s">
        <v>983</v>
      </c>
      <c r="D9" s="593"/>
      <c r="E9" s="593"/>
      <c r="F9" s="593"/>
      <c r="G9" s="603">
        <v>0.01</v>
      </c>
      <c r="H9" s="604">
        <v>0.01</v>
      </c>
      <c r="I9" s="604">
        <v>5.0000000000000001E-3</v>
      </c>
      <c r="J9" s="604">
        <v>5.0000000000000001E-3</v>
      </c>
      <c r="K9" s="604">
        <v>5.0000000000000001E-3</v>
      </c>
    </row>
    <row r="10" spans="3:11" ht="15" customHeight="1">
      <c r="C10" s="605"/>
      <c r="D10" s="605"/>
      <c r="E10" s="605"/>
      <c r="F10" s="605"/>
      <c r="G10" s="605"/>
      <c r="H10" s="605"/>
      <c r="I10" s="605"/>
      <c r="J10" s="605"/>
      <c r="K10" s="605"/>
    </row>
    <row r="11" spans="3:11" ht="15" customHeight="1">
      <c r="C11" s="626" t="s">
        <v>985</v>
      </c>
      <c r="D11" s="605"/>
      <c r="E11" s="605"/>
      <c r="F11" s="605"/>
      <c r="G11" s="591">
        <f t="array" ref="G11">INDEX(G13:G15,$D$7)</f>
        <v>0.03</v>
      </c>
      <c r="H11" s="592">
        <f t="array" ref="H11">INDEX(H13:H15,$D$7)</f>
        <v>0.02</v>
      </c>
      <c r="I11" s="592">
        <f t="array" ref="I11">INDEX(I13:I15,$D$7)</f>
        <v>0.02</v>
      </c>
      <c r="J11" s="592">
        <f t="array" ref="J11">INDEX(J13:J15,$D$7)</f>
        <v>1.4999999999999999E-2</v>
      </c>
      <c r="K11" s="592">
        <f t="array" ref="K11">INDEX(K13:K15,$D$7)</f>
        <v>1.4999999999999999E-2</v>
      </c>
    </row>
    <row r="12" spans="3:11" ht="15" customHeight="1">
      <c r="C12" s="605"/>
      <c r="D12" s="605"/>
      <c r="E12" s="605"/>
      <c r="F12" s="605"/>
      <c r="G12" s="605"/>
      <c r="H12" s="605"/>
      <c r="I12" s="605"/>
      <c r="J12" s="605"/>
      <c r="K12" s="605"/>
    </row>
    <row r="13" spans="3:11" ht="15" customHeight="1">
      <c r="C13" s="593" t="s">
        <v>981</v>
      </c>
      <c r="D13" s="598"/>
      <c r="E13" s="593"/>
      <c r="F13" s="593"/>
      <c r="G13" s="599">
        <v>0.03</v>
      </c>
      <c r="H13" s="600">
        <v>0.02</v>
      </c>
      <c r="I13" s="600">
        <v>0.02</v>
      </c>
      <c r="J13" s="600">
        <v>1.4999999999999999E-2</v>
      </c>
      <c r="K13" s="600">
        <v>1.4999999999999999E-2</v>
      </c>
    </row>
    <row r="14" spans="3:11" ht="15" customHeight="1">
      <c r="C14" s="593" t="s">
        <v>980</v>
      </c>
      <c r="D14" s="593"/>
      <c r="E14" s="593"/>
      <c r="F14" s="593"/>
      <c r="G14" s="601">
        <v>0.02</v>
      </c>
      <c r="H14" s="602">
        <v>0.01</v>
      </c>
      <c r="I14" s="602">
        <v>0.01</v>
      </c>
      <c r="J14" s="602">
        <v>5.0000000000000001E-3</v>
      </c>
      <c r="K14" s="602">
        <v>5.0000000000000001E-3</v>
      </c>
    </row>
    <row r="15" spans="3:11" ht="15" customHeight="1">
      <c r="C15" s="593" t="s">
        <v>983</v>
      </c>
      <c r="D15" s="593"/>
      <c r="E15" s="593"/>
      <c r="F15" s="593"/>
      <c r="G15" s="603">
        <v>0.01</v>
      </c>
      <c r="H15" s="604">
        <v>0.01</v>
      </c>
      <c r="I15" s="604">
        <v>5.0000000000000001E-3</v>
      </c>
      <c r="J15" s="604">
        <v>5.0000000000000001E-3</v>
      </c>
      <c r="K15" s="604">
        <v>5.0000000000000001E-3</v>
      </c>
    </row>
    <row r="16" spans="3:11" ht="15" customHeight="1">
      <c r="C16" s="605"/>
      <c r="D16" s="605"/>
      <c r="E16" s="605"/>
      <c r="F16" s="605"/>
      <c r="G16" s="605"/>
      <c r="H16" s="605"/>
      <c r="I16" s="605"/>
      <c r="J16" s="605"/>
      <c r="K16" s="605"/>
    </row>
    <row r="17" spans="3:17" ht="15" customHeight="1">
      <c r="C17" s="605"/>
      <c r="D17" s="605"/>
      <c r="E17" s="605"/>
      <c r="F17" s="605"/>
      <c r="G17" s="605"/>
      <c r="H17" s="605"/>
      <c r="I17" s="605"/>
      <c r="J17" s="605"/>
      <c r="K17" s="605"/>
    </row>
    <row r="18" spans="3:17" ht="15" customHeight="1">
      <c r="C18" s="587" t="s">
        <v>978</v>
      </c>
      <c r="D18" s="598"/>
      <c r="E18" s="598"/>
      <c r="F18" s="598"/>
      <c r="G18" s="606">
        <f t="array" ref="G18">INDEX(G20:G22,$E$19)</f>
        <v>4000</v>
      </c>
      <c r="H18" s="607">
        <f t="array" ref="H18">INDEX(H20:H22,$E$19)</f>
        <v>4300</v>
      </c>
      <c r="I18" s="607">
        <f t="array" ref="I18">INDEX(I20:I22,$E$19)</f>
        <v>4400</v>
      </c>
      <c r="J18" s="607">
        <f t="array" ref="J18">INDEX(J20:J22,$E$19)</f>
        <v>4600</v>
      </c>
      <c r="K18" s="607">
        <f t="array" ref="K18">INDEX(K20:K22,$E$19)</f>
        <v>4800</v>
      </c>
    </row>
    <row r="19" spans="3:17" ht="15" customHeight="1">
      <c r="C19" s="587"/>
      <c r="D19" s="598"/>
      <c r="E19" s="598"/>
      <c r="F19" s="598"/>
      <c r="G19" s="608"/>
      <c r="H19" s="609"/>
      <c r="I19" s="610"/>
      <c r="J19" s="611"/>
      <c r="K19" s="611"/>
    </row>
    <row r="20" spans="3:17" ht="15" customHeight="1">
      <c r="C20" s="593" t="s">
        <v>981</v>
      </c>
      <c r="D20" s="593"/>
      <c r="E20" s="593"/>
      <c r="F20" s="593"/>
      <c r="G20" s="612">
        <v>4000</v>
      </c>
      <c r="H20" s="613">
        <v>4300</v>
      </c>
      <c r="I20" s="613">
        <v>4400</v>
      </c>
      <c r="J20" s="613">
        <v>4600</v>
      </c>
      <c r="K20" s="613">
        <v>4800</v>
      </c>
    </row>
    <row r="21" spans="3:17" ht="15" customHeight="1">
      <c r="C21" s="593" t="s">
        <v>980</v>
      </c>
      <c r="D21" s="593"/>
      <c r="E21" s="593"/>
      <c r="F21" s="593"/>
      <c r="G21" s="614">
        <v>4550</v>
      </c>
      <c r="H21" s="615">
        <v>4700</v>
      </c>
      <c r="I21" s="615">
        <v>4850</v>
      </c>
      <c r="J21" s="615">
        <v>5000</v>
      </c>
      <c r="K21" s="615">
        <v>5125</v>
      </c>
    </row>
    <row r="22" spans="3:17" ht="15" customHeight="1">
      <c r="C22" s="593" t="s">
        <v>979</v>
      </c>
      <c r="D22" s="593"/>
      <c r="E22" s="593"/>
      <c r="F22" s="593"/>
      <c r="G22" s="616">
        <v>5000</v>
      </c>
      <c r="H22" s="617">
        <v>5200</v>
      </c>
      <c r="I22" s="617">
        <v>5400</v>
      </c>
      <c r="J22" s="617">
        <v>5500</v>
      </c>
      <c r="K22" s="617">
        <v>5600</v>
      </c>
    </row>
    <row r="23" spans="3:17" ht="15" customHeight="1">
      <c r="C23" s="588"/>
      <c r="D23" s="618"/>
      <c r="E23" s="618"/>
      <c r="F23" s="618"/>
      <c r="G23" s="618"/>
      <c r="H23" s="618"/>
      <c r="I23" s="618"/>
      <c r="J23" s="619"/>
      <c r="K23" s="618"/>
    </row>
    <row r="24" spans="3:17" ht="15" customHeight="1">
      <c r="C24" s="618"/>
      <c r="D24" s="618"/>
      <c r="E24" s="618"/>
      <c r="F24" s="618"/>
      <c r="G24" s="618"/>
      <c r="H24" s="618"/>
      <c r="I24" s="618"/>
      <c r="J24" s="619"/>
      <c r="K24" s="618"/>
    </row>
    <row r="25" spans="3:17" ht="13.5" customHeight="1">
      <c r="C25" s="587" t="s">
        <v>126</v>
      </c>
      <c r="D25" s="598"/>
      <c r="E25" s="598"/>
      <c r="F25" s="598"/>
      <c r="G25" s="620">
        <v>3.5000000000000003E-2</v>
      </c>
      <c r="H25" s="621">
        <v>0.03</v>
      </c>
      <c r="I25" s="621">
        <v>0.03</v>
      </c>
      <c r="J25" s="621">
        <v>2.5000000000000001E-2</v>
      </c>
      <c r="K25" s="621">
        <v>2.5000000000000001E-2</v>
      </c>
      <c r="P25" s="2"/>
    </row>
    <row r="26" spans="3:17" ht="13.5" customHeight="1">
      <c r="Q26" s="2"/>
    </row>
    <row r="27" spans="3:17" ht="13.5" customHeight="1">
      <c r="C27" s="71" t="s">
        <v>122</v>
      </c>
      <c r="D27" s="72"/>
      <c r="E27" s="73"/>
      <c r="F27" s="73"/>
      <c r="G27" s="73"/>
      <c r="H27" s="73"/>
      <c r="I27" s="73"/>
      <c r="J27" s="73"/>
      <c r="K27" s="73"/>
      <c r="L27" s="72"/>
      <c r="Q27" s="2"/>
    </row>
    <row r="28" spans="3:17" ht="13.5" customHeight="1">
      <c r="C28" s="74" t="s">
        <v>123</v>
      </c>
      <c r="D28" s="72"/>
      <c r="E28" s="73"/>
      <c r="F28" s="73"/>
      <c r="G28" s="75">
        <v>45</v>
      </c>
      <c r="H28" s="76">
        <v>45</v>
      </c>
      <c r="I28" s="76">
        <v>45</v>
      </c>
      <c r="J28" s="76">
        <v>45</v>
      </c>
      <c r="K28" s="77">
        <v>45</v>
      </c>
      <c r="L28" s="72"/>
      <c r="Q28" s="2"/>
    </row>
    <row r="29" spans="3:17" ht="13.5" customHeight="1">
      <c r="C29" s="74" t="s">
        <v>47</v>
      </c>
      <c r="D29" s="72"/>
      <c r="E29" s="73"/>
      <c r="F29" s="73"/>
      <c r="G29" s="78">
        <v>25</v>
      </c>
      <c r="H29" s="79">
        <v>25</v>
      </c>
      <c r="I29" s="79">
        <v>25</v>
      </c>
      <c r="J29" s="79">
        <v>25</v>
      </c>
      <c r="K29" s="80">
        <v>25</v>
      </c>
      <c r="L29" s="72"/>
      <c r="Q29" s="2"/>
    </row>
    <row r="30" spans="3:17" ht="13.5" customHeight="1">
      <c r="C30" s="74" t="s">
        <v>124</v>
      </c>
      <c r="D30" s="72"/>
      <c r="E30" s="73"/>
      <c r="F30" s="73"/>
      <c r="G30" s="81">
        <v>40</v>
      </c>
      <c r="H30" s="82">
        <v>40</v>
      </c>
      <c r="I30" s="82">
        <v>40</v>
      </c>
      <c r="J30" s="82">
        <v>40</v>
      </c>
      <c r="K30" s="83">
        <v>40</v>
      </c>
      <c r="L30" s="72"/>
      <c r="Q30" s="2"/>
    </row>
    <row r="31" spans="3:17" ht="13.5" customHeight="1">
      <c r="C31" s="72"/>
      <c r="D31" s="72"/>
      <c r="E31" s="73"/>
      <c r="F31" s="73"/>
      <c r="G31" s="73"/>
      <c r="H31" s="73"/>
      <c r="I31" s="73"/>
      <c r="J31" s="73"/>
      <c r="K31" s="73"/>
      <c r="L31" s="72"/>
      <c r="Q31" s="2"/>
    </row>
    <row r="32" spans="3:17" ht="13.5" customHeight="1">
      <c r="C32" s="72"/>
      <c r="D32" s="72"/>
      <c r="E32" s="84"/>
      <c r="F32" s="84"/>
      <c r="G32" s="73"/>
      <c r="H32" s="73"/>
      <c r="I32" s="73"/>
      <c r="J32" s="73"/>
      <c r="K32" s="73"/>
      <c r="L32" s="72"/>
      <c r="Q32" s="2"/>
    </row>
    <row r="33" spans="3:18" ht="13.5" customHeight="1">
      <c r="C33" s="71" t="s">
        <v>125</v>
      </c>
      <c r="D33" s="72"/>
      <c r="E33" s="73"/>
      <c r="F33" s="73"/>
      <c r="G33" s="73"/>
      <c r="H33" s="73"/>
      <c r="I33" s="73"/>
      <c r="J33" s="73"/>
      <c r="K33" s="73"/>
      <c r="L33" s="73"/>
      <c r="M33" s="72"/>
      <c r="R33" s="2"/>
    </row>
    <row r="34" spans="3:18" ht="13.5" customHeight="1">
      <c r="C34" s="74" t="s">
        <v>126</v>
      </c>
      <c r="D34" s="72"/>
      <c r="E34" s="84"/>
      <c r="F34" s="84"/>
      <c r="G34" s="85">
        <v>3.5000000000000003E-2</v>
      </c>
      <c r="H34" s="86">
        <v>0.03</v>
      </c>
      <c r="I34" s="86">
        <v>0.03</v>
      </c>
      <c r="J34" s="86">
        <v>2.5000000000000001E-2</v>
      </c>
      <c r="K34" s="87">
        <v>2.5000000000000001E-2</v>
      </c>
      <c r="L34" s="73"/>
      <c r="M34" s="72"/>
      <c r="R34" s="2"/>
    </row>
    <row r="35" spans="3:18" ht="13.5" customHeight="1">
      <c r="C35" s="74" t="s">
        <v>127</v>
      </c>
      <c r="D35" s="72"/>
      <c r="E35" s="84"/>
      <c r="F35" s="84"/>
      <c r="G35" s="78">
        <v>-4000</v>
      </c>
      <c r="H35" s="79">
        <v>-4000</v>
      </c>
      <c r="I35" s="79">
        <v>-4000</v>
      </c>
      <c r="J35" s="79">
        <v>-4000</v>
      </c>
      <c r="K35" s="80">
        <v>-4000</v>
      </c>
      <c r="L35" s="72"/>
      <c r="M35" s="72"/>
      <c r="R35" s="2"/>
    </row>
    <row r="36" spans="3:18" ht="13.5" customHeight="1">
      <c r="C36" s="74" t="s">
        <v>128</v>
      </c>
      <c r="D36" s="72"/>
      <c r="E36" s="84"/>
      <c r="F36" s="84"/>
      <c r="G36" s="81">
        <v>-1000</v>
      </c>
      <c r="H36" s="82">
        <v>-1000</v>
      </c>
      <c r="I36" s="82">
        <v>-1000</v>
      </c>
      <c r="J36" s="82">
        <v>-1000</v>
      </c>
      <c r="K36" s="83">
        <v>-1000</v>
      </c>
      <c r="L36" s="72"/>
      <c r="M36" s="72"/>
      <c r="R36" s="2"/>
    </row>
    <row r="37" spans="3:18" ht="13.5" customHeight="1">
      <c r="C37" s="74"/>
      <c r="D37" s="72"/>
      <c r="E37" s="84"/>
      <c r="F37" s="84"/>
      <c r="G37" s="628"/>
      <c r="H37" s="628"/>
      <c r="I37" s="628"/>
      <c r="J37" s="628"/>
      <c r="K37" s="628"/>
      <c r="L37" s="72"/>
      <c r="M37" s="72"/>
      <c r="R37" s="2"/>
    </row>
    <row r="38" spans="3:18" ht="13.5" customHeight="1">
      <c r="C38" s="74"/>
      <c r="D38" s="72"/>
      <c r="E38" s="84"/>
      <c r="F38" s="84"/>
      <c r="G38" s="628"/>
      <c r="H38" s="628"/>
      <c r="I38" s="628"/>
      <c r="J38" s="628"/>
      <c r="K38" s="628"/>
      <c r="L38" s="72"/>
      <c r="M38" s="72"/>
      <c r="R38" s="2"/>
    </row>
    <row r="39" spans="3:18" ht="13.5" customHeight="1">
      <c r="C39" s="74"/>
      <c r="D39" s="72"/>
      <c r="E39" s="84"/>
      <c r="F39" s="84"/>
      <c r="G39" s="628"/>
      <c r="H39" s="628"/>
      <c r="I39" s="628"/>
      <c r="J39" s="628"/>
      <c r="K39" s="628"/>
      <c r="L39" s="72"/>
      <c r="M39" s="72"/>
      <c r="R39" s="2"/>
    </row>
    <row r="40" spans="3:18" ht="13.5" customHeight="1">
      <c r="C40" s="627"/>
      <c r="D40" s="88"/>
      <c r="E40" s="73"/>
      <c r="F40" s="73"/>
      <c r="G40" s="73"/>
      <c r="H40" s="73"/>
      <c r="I40" s="73"/>
      <c r="J40" s="73"/>
      <c r="K40" s="73"/>
      <c r="L40" s="73"/>
      <c r="M40" s="72"/>
      <c r="R40" s="2"/>
    </row>
    <row r="41" spans="3:18" ht="13.5" customHeight="1">
      <c r="C41" s="89"/>
      <c r="D41" s="89"/>
      <c r="E41" s="89"/>
      <c r="F41" s="89"/>
      <c r="R41" s="2"/>
    </row>
    <row r="42" spans="3:18" ht="13.5" customHeight="1">
      <c r="C42" s="90" t="s">
        <v>129</v>
      </c>
      <c r="D42" s="91"/>
      <c r="E42" s="91"/>
      <c r="F42" s="91"/>
      <c r="R42" s="2"/>
    </row>
    <row r="43" spans="3:18" ht="13.5" customHeight="1">
      <c r="C43" s="92" t="s">
        <v>130</v>
      </c>
      <c r="D43" s="93"/>
      <c r="E43" s="93"/>
      <c r="F43" s="93"/>
      <c r="R43" s="2"/>
    </row>
    <row r="44" spans="3:18" ht="13.5" customHeight="1">
      <c r="C44" s="94" t="s">
        <v>131</v>
      </c>
      <c r="D44" s="95"/>
      <c r="E44" s="95"/>
      <c r="F44" s="96" t="s">
        <v>132</v>
      </c>
      <c r="R44" s="2"/>
    </row>
    <row r="45" spans="3:18" ht="13.5" customHeight="1">
      <c r="C45" s="94" t="s">
        <v>133</v>
      </c>
      <c r="D45" s="95"/>
      <c r="E45" s="95"/>
      <c r="F45" s="96" t="s">
        <v>132</v>
      </c>
      <c r="R45" s="2"/>
    </row>
    <row r="46" spans="3:18" ht="13.5" customHeight="1">
      <c r="C46" s="95"/>
      <c r="D46" s="97"/>
      <c r="E46" s="97"/>
      <c r="F46" s="97"/>
      <c r="R46" s="2"/>
    </row>
    <row r="47" spans="3:18" ht="13.5" customHeight="1">
      <c r="C47" s="95"/>
      <c r="D47" s="97"/>
      <c r="E47" s="97"/>
      <c r="F47" s="97"/>
      <c r="R47" s="2"/>
    </row>
    <row r="48" spans="3:18" ht="13.5" customHeight="1">
      <c r="R48" s="2"/>
    </row>
    <row r="49" spans="18:18" ht="13.5" customHeight="1">
      <c r="R49" s="2"/>
    </row>
    <row r="50" spans="18:18" ht="13.5" customHeight="1">
      <c r="R50" s="2"/>
    </row>
    <row r="51" spans="18:18" ht="13.5" customHeight="1">
      <c r="R51" s="2"/>
    </row>
    <row r="52" spans="18:18" ht="13.5" customHeight="1">
      <c r="R52" s="2"/>
    </row>
    <row r="53" spans="18:18" ht="13.5" customHeight="1">
      <c r="R53" s="2"/>
    </row>
    <row r="54" spans="18:18" ht="13.5" customHeight="1">
      <c r="R54" s="2"/>
    </row>
    <row r="55" spans="18:18" ht="13.5" customHeight="1">
      <c r="R55" s="2"/>
    </row>
    <row r="56" spans="18:18" ht="13.5" customHeight="1">
      <c r="R56" s="2"/>
    </row>
    <row r="57" spans="18:18" ht="13.5" customHeight="1">
      <c r="R57" s="2"/>
    </row>
    <row r="58" spans="18:18" ht="13.5" customHeight="1">
      <c r="R58" s="2"/>
    </row>
    <row r="59" spans="18:18" ht="13.5" customHeight="1">
      <c r="R59" s="2"/>
    </row>
    <row r="60" spans="18:18" ht="13.5" customHeight="1">
      <c r="R60" s="2"/>
    </row>
    <row r="61" spans="18:18" ht="13.5" customHeight="1">
      <c r="R61" s="2"/>
    </row>
    <row r="62" spans="18:18" ht="13.5" customHeight="1">
      <c r="R62" s="2"/>
    </row>
    <row r="63" spans="18:18" ht="13.5" customHeight="1">
      <c r="R63" s="2"/>
    </row>
    <row r="64" spans="18:18" ht="13.5" customHeight="1">
      <c r="R64" s="2"/>
    </row>
    <row r="65" spans="18:18" ht="13.5" customHeight="1">
      <c r="R65" s="2"/>
    </row>
    <row r="66" spans="18:18" ht="13.5" customHeight="1">
      <c r="R66" s="2"/>
    </row>
    <row r="67" spans="18:18" ht="13.5" customHeight="1">
      <c r="R67" s="2"/>
    </row>
    <row r="68" spans="18:18" ht="13.5" customHeight="1">
      <c r="R68" s="2"/>
    </row>
    <row r="69" spans="18:18" ht="13.5" customHeight="1">
      <c r="R69" s="2"/>
    </row>
    <row r="70" spans="18:18" ht="13.5" customHeight="1">
      <c r="R70" s="2"/>
    </row>
    <row r="71" spans="18:18" ht="13.5" customHeight="1">
      <c r="R71" s="2"/>
    </row>
    <row r="72" spans="18:18" ht="13.5" customHeight="1">
      <c r="R72" s="2"/>
    </row>
    <row r="73" spans="18:18" ht="13.5" customHeight="1">
      <c r="R73" s="2"/>
    </row>
    <row r="74" spans="18:18" ht="13.5" customHeight="1">
      <c r="R74" s="2"/>
    </row>
    <row r="75" spans="18:18" ht="13.5" customHeight="1">
      <c r="R75" s="2"/>
    </row>
    <row r="76" spans="18:18" ht="13.5" customHeight="1">
      <c r="R76" s="2"/>
    </row>
    <row r="77" spans="18:18" ht="13.5" customHeight="1">
      <c r="R77" s="2"/>
    </row>
    <row r="78" spans="18:18" ht="13.5" customHeight="1">
      <c r="R78" s="2"/>
    </row>
    <row r="79" spans="18:18" ht="13.5" customHeight="1">
      <c r="R79" s="2"/>
    </row>
    <row r="80" spans="18:18" ht="13.5" customHeight="1">
      <c r="R80" s="2"/>
    </row>
    <row r="81" spans="18:18" ht="13.5" customHeight="1">
      <c r="R81" s="2"/>
    </row>
    <row r="82" spans="18:18" ht="13.5" customHeight="1">
      <c r="R82" s="2"/>
    </row>
    <row r="83" spans="18:18" ht="13.5" customHeight="1">
      <c r="R83" s="2"/>
    </row>
    <row r="84" spans="18:18" ht="13.5" customHeight="1">
      <c r="R84" s="2"/>
    </row>
    <row r="85" spans="18:18" ht="13.5" customHeight="1">
      <c r="R85" s="2"/>
    </row>
    <row r="86" spans="18:18" ht="13.5" customHeight="1">
      <c r="R86" s="2"/>
    </row>
    <row r="87" spans="18:18" ht="13.5" customHeight="1">
      <c r="R87" s="2"/>
    </row>
    <row r="88" spans="18:18" ht="13.5" customHeight="1">
      <c r="R88" s="2"/>
    </row>
    <row r="89" spans="18:18" ht="13.5" customHeight="1">
      <c r="R89" s="2"/>
    </row>
    <row r="90" spans="18:18" ht="13.5" customHeight="1">
      <c r="R90" s="2"/>
    </row>
    <row r="91" spans="18:18" ht="13.5" customHeight="1">
      <c r="R91" s="2"/>
    </row>
    <row r="92" spans="18:18" ht="13.5" customHeight="1">
      <c r="R92" s="2"/>
    </row>
    <row r="93" spans="18:18" ht="13.5" customHeight="1">
      <c r="R93" s="2"/>
    </row>
    <row r="94" spans="18:18" ht="13.5" customHeight="1">
      <c r="R94" s="2"/>
    </row>
    <row r="95" spans="18:18" ht="13.5" customHeight="1">
      <c r="R95" s="2"/>
    </row>
    <row r="96" spans="18:18" ht="13.5" customHeight="1">
      <c r="R96" s="2"/>
    </row>
    <row r="97" spans="18:18" ht="13.5" customHeight="1">
      <c r="R97" s="2"/>
    </row>
    <row r="98" spans="18:18" ht="13.5" customHeight="1">
      <c r="R98" s="2"/>
    </row>
    <row r="99" spans="18:18" ht="13.5" customHeight="1">
      <c r="R99" s="2"/>
    </row>
    <row r="100" spans="18:18" ht="13.5" customHeight="1">
      <c r="R100" s="2"/>
    </row>
    <row r="101" spans="18:18" ht="13.5" customHeight="1">
      <c r="R101" s="2"/>
    </row>
    <row r="102" spans="18:18" ht="13.5" customHeight="1">
      <c r="R102" s="2"/>
    </row>
    <row r="103" spans="18:18" ht="13.5" customHeight="1">
      <c r="R103" s="2"/>
    </row>
    <row r="104" spans="18:18" ht="13.5" customHeight="1">
      <c r="R104" s="2"/>
    </row>
    <row r="105" spans="18:18" ht="13.5" customHeight="1">
      <c r="R105" s="2"/>
    </row>
    <row r="106" spans="18:18" ht="13.5" customHeight="1">
      <c r="R106" s="2"/>
    </row>
    <row r="107" spans="18:18" ht="13.5" customHeight="1">
      <c r="R107" s="2"/>
    </row>
    <row r="108" spans="18:18" ht="13.5" customHeight="1">
      <c r="R108" s="2"/>
    </row>
    <row r="109" spans="18:18" ht="13.5" customHeight="1">
      <c r="R109" s="2"/>
    </row>
    <row r="110" spans="18:18" ht="13.5" customHeight="1">
      <c r="R110" s="2"/>
    </row>
    <row r="111" spans="18:18" ht="13.5" customHeight="1">
      <c r="R111" s="2"/>
    </row>
    <row r="112" spans="18:18" ht="13.5" customHeight="1">
      <c r="R112" s="2"/>
    </row>
    <row r="113" spans="18:18" ht="13.5" customHeight="1">
      <c r="R113" s="2"/>
    </row>
    <row r="114" spans="18:18" ht="13.5" customHeight="1">
      <c r="R114" s="2"/>
    </row>
    <row r="115" spans="18:18" ht="13.5" customHeight="1">
      <c r="R115" s="2"/>
    </row>
    <row r="116" spans="18:18" ht="13.5" customHeight="1">
      <c r="R116" s="2"/>
    </row>
    <row r="117" spans="18:18" ht="13.5" customHeight="1">
      <c r="R117" s="2"/>
    </row>
    <row r="118" spans="18:18" ht="13.5" customHeight="1">
      <c r="R118" s="2"/>
    </row>
    <row r="119" spans="18:18" ht="13.5" customHeight="1">
      <c r="R119" s="2"/>
    </row>
    <row r="120" spans="18:18" ht="13.5" customHeight="1">
      <c r="R120" s="2"/>
    </row>
    <row r="121" spans="18:18" ht="13.5" customHeight="1">
      <c r="R121" s="2"/>
    </row>
    <row r="122" spans="18:18" ht="13.5" customHeight="1">
      <c r="R122" s="2"/>
    </row>
    <row r="123" spans="18:18" ht="13.5" customHeight="1">
      <c r="R123" s="2"/>
    </row>
    <row r="124" spans="18:18" ht="13.5" customHeight="1">
      <c r="R124" s="2"/>
    </row>
    <row r="125" spans="18:18" ht="13.5" customHeight="1">
      <c r="R125" s="2"/>
    </row>
    <row r="126" spans="18:18" ht="13.5" customHeight="1">
      <c r="R126" s="2"/>
    </row>
    <row r="127" spans="18:18" ht="13.5" customHeight="1">
      <c r="R127" s="2"/>
    </row>
    <row r="128" spans="18:18" ht="13.5" customHeight="1">
      <c r="R128" s="2"/>
    </row>
    <row r="129" spans="18:18" ht="13.5" customHeight="1">
      <c r="R129" s="2"/>
    </row>
    <row r="130" spans="18:18" ht="13.5" customHeight="1">
      <c r="R130" s="2"/>
    </row>
    <row r="131" spans="18:18" ht="13.5" customHeight="1">
      <c r="R131" s="2"/>
    </row>
    <row r="132" spans="18:18" ht="13.5" customHeight="1">
      <c r="R132" s="2"/>
    </row>
    <row r="133" spans="18:18" ht="13.5" customHeight="1">
      <c r="R133" s="2"/>
    </row>
    <row r="134" spans="18:18" ht="13.5" customHeight="1">
      <c r="R134" s="2"/>
    </row>
    <row r="135" spans="18:18" ht="13.5" customHeight="1">
      <c r="R135" s="2"/>
    </row>
    <row r="136" spans="18:18" ht="13.5" customHeight="1">
      <c r="R136" s="2"/>
    </row>
    <row r="137" spans="18:18" ht="13.5" customHeight="1">
      <c r="R137" s="2"/>
    </row>
    <row r="138" spans="18:18" ht="13.5" customHeight="1">
      <c r="R138" s="2"/>
    </row>
    <row r="139" spans="18:18" ht="13.5" customHeight="1">
      <c r="R139" s="2"/>
    </row>
    <row r="140" spans="18:18" ht="13.5" customHeight="1">
      <c r="R140" s="2"/>
    </row>
    <row r="141" spans="18:18" ht="13.5" customHeight="1">
      <c r="R141" s="2"/>
    </row>
    <row r="142" spans="18:18" ht="13.5" customHeight="1">
      <c r="R142" s="2"/>
    </row>
    <row r="143" spans="18:18" ht="13.5" customHeight="1">
      <c r="R143" s="2"/>
    </row>
    <row r="144" spans="18:18" ht="13.5" customHeight="1">
      <c r="R144" s="2"/>
    </row>
    <row r="145" spans="18:18" ht="13.5" customHeight="1">
      <c r="R145" s="2"/>
    </row>
    <row r="146" spans="18:18" ht="13.5" customHeight="1">
      <c r="R146" s="2"/>
    </row>
    <row r="147" spans="18:18" ht="13.5" customHeight="1">
      <c r="R147" s="2"/>
    </row>
    <row r="148" spans="18:18" ht="13.5" customHeight="1">
      <c r="R148" s="2"/>
    </row>
    <row r="149" spans="18:18" ht="13.5" customHeight="1">
      <c r="R149" s="2"/>
    </row>
    <row r="150" spans="18:18" ht="13.5" customHeight="1">
      <c r="R150" s="2"/>
    </row>
    <row r="151" spans="18:18" ht="13.5" customHeight="1">
      <c r="R151" s="2"/>
    </row>
    <row r="152" spans="18:18" ht="13.5" customHeight="1">
      <c r="R152" s="2"/>
    </row>
    <row r="153" spans="18:18" ht="13.5" customHeight="1">
      <c r="R153" s="2"/>
    </row>
    <row r="154" spans="18:18" ht="13.5" customHeight="1">
      <c r="R154" s="2"/>
    </row>
    <row r="155" spans="18:18" ht="13.5" customHeight="1">
      <c r="R155" s="2"/>
    </row>
    <row r="156" spans="18:18" ht="13.5" customHeight="1">
      <c r="R156" s="2"/>
    </row>
    <row r="157" spans="18:18" ht="13.5" customHeight="1">
      <c r="R157" s="2"/>
    </row>
    <row r="158" spans="18:18" ht="13.5" customHeight="1">
      <c r="R158" s="2"/>
    </row>
    <row r="159" spans="18:18" ht="13.5" customHeight="1">
      <c r="R159" s="2"/>
    </row>
    <row r="160" spans="18:18" ht="13.5" customHeight="1">
      <c r="R160" s="2"/>
    </row>
    <row r="161" spans="18:18" ht="13.5" customHeight="1">
      <c r="R161" s="2"/>
    </row>
    <row r="162" spans="18:18" ht="13.5" customHeight="1">
      <c r="R162" s="2"/>
    </row>
    <row r="163" spans="18:18" ht="13.5" customHeight="1">
      <c r="R163" s="2"/>
    </row>
    <row r="164" spans="18:18" ht="13.5" customHeight="1">
      <c r="R164" s="2"/>
    </row>
    <row r="165" spans="18:18" ht="13.5" customHeight="1">
      <c r="R165" s="2"/>
    </row>
    <row r="166" spans="18:18" ht="13.5" customHeight="1">
      <c r="R166" s="2"/>
    </row>
    <row r="167" spans="18:18" ht="13.5" customHeight="1">
      <c r="R167" s="2"/>
    </row>
    <row r="168" spans="18:18" ht="13.5" customHeight="1">
      <c r="R168" s="2"/>
    </row>
    <row r="169" spans="18:18" ht="13.5" customHeight="1">
      <c r="R169" s="2"/>
    </row>
    <row r="170" spans="18:18" ht="13.5" customHeight="1">
      <c r="R170" s="2"/>
    </row>
    <row r="171" spans="18:18" ht="13.5" customHeight="1">
      <c r="R171" s="2"/>
    </row>
    <row r="172" spans="18:18" ht="13.5" customHeight="1">
      <c r="R172" s="2"/>
    </row>
    <row r="173" spans="18:18" ht="13.5" customHeight="1">
      <c r="R173" s="2"/>
    </row>
    <row r="174" spans="18:18" ht="13.5" customHeight="1">
      <c r="R174" s="2"/>
    </row>
    <row r="175" spans="18:18" ht="13.5" customHeight="1">
      <c r="R175" s="2"/>
    </row>
    <row r="176" spans="18:18" ht="13.5" customHeight="1">
      <c r="R176" s="2"/>
    </row>
    <row r="177" spans="18:18" ht="13.5" customHeight="1">
      <c r="R177" s="2"/>
    </row>
    <row r="178" spans="18:18" ht="13.5" customHeight="1">
      <c r="R178" s="2"/>
    </row>
    <row r="179" spans="18:18" ht="13.5" customHeight="1">
      <c r="R179" s="2"/>
    </row>
    <row r="180" spans="18:18" ht="13.5" customHeight="1">
      <c r="R180" s="2"/>
    </row>
    <row r="181" spans="18:18" ht="13.5" customHeight="1">
      <c r="R181" s="2"/>
    </row>
    <row r="182" spans="18:18" ht="13.5" customHeight="1">
      <c r="R182" s="2"/>
    </row>
    <row r="183" spans="18:18" ht="13.5" customHeight="1">
      <c r="R183" s="2"/>
    </row>
    <row r="184" spans="18:18" ht="13.5" customHeight="1">
      <c r="R184" s="2"/>
    </row>
    <row r="185" spans="18:18" ht="13.5" customHeight="1">
      <c r="R185" s="2"/>
    </row>
    <row r="186" spans="18:18" ht="13.5" customHeight="1">
      <c r="R186" s="2"/>
    </row>
    <row r="187" spans="18:18" ht="13.5" customHeight="1">
      <c r="R187" s="2"/>
    </row>
    <row r="188" spans="18:18" ht="13.5" customHeight="1">
      <c r="R188" s="2"/>
    </row>
    <row r="189" spans="18:18" ht="13.5" customHeight="1">
      <c r="R189" s="2"/>
    </row>
    <row r="190" spans="18:18" ht="13.5" customHeight="1">
      <c r="R190" s="2"/>
    </row>
    <row r="191" spans="18:18" ht="13.5" customHeight="1">
      <c r="R191" s="2"/>
    </row>
    <row r="192" spans="18:18" ht="13.5" customHeight="1">
      <c r="R192" s="2"/>
    </row>
    <row r="193" spans="18:18" ht="13.5" customHeight="1">
      <c r="R193" s="2"/>
    </row>
    <row r="194" spans="18:18" ht="13.5" customHeight="1">
      <c r="R194" s="2"/>
    </row>
    <row r="195" spans="18:18" ht="13.5" customHeight="1">
      <c r="R195" s="2"/>
    </row>
    <row r="196" spans="18:18" ht="13.5" customHeight="1">
      <c r="R196" s="2"/>
    </row>
    <row r="197" spans="18:18" ht="13.5" customHeight="1">
      <c r="R197" s="2"/>
    </row>
    <row r="198" spans="18:18" ht="13.5" customHeight="1">
      <c r="R198" s="2"/>
    </row>
    <row r="199" spans="18:18" ht="13.5" customHeight="1">
      <c r="R199" s="2"/>
    </row>
    <row r="200" spans="18:18" ht="13.5" customHeight="1">
      <c r="R200" s="2"/>
    </row>
    <row r="201" spans="18:18" ht="13.5" customHeight="1">
      <c r="R201" s="2"/>
    </row>
    <row r="202" spans="18:18" ht="13.5" customHeight="1">
      <c r="R202" s="2"/>
    </row>
    <row r="203" spans="18:18" ht="13.5" customHeight="1">
      <c r="R203" s="2"/>
    </row>
    <row r="204" spans="18:18" ht="13.5" customHeight="1">
      <c r="R204" s="2"/>
    </row>
    <row r="205" spans="18:18" ht="13.5" customHeight="1">
      <c r="R205" s="2"/>
    </row>
    <row r="206" spans="18:18" ht="13.5" customHeight="1">
      <c r="R206" s="2"/>
    </row>
    <row r="207" spans="18:18" ht="13.5" customHeight="1">
      <c r="R207" s="2"/>
    </row>
    <row r="208" spans="18:18" ht="13.5" customHeight="1">
      <c r="R208" s="2"/>
    </row>
    <row r="209" spans="18:18" ht="13.5" customHeight="1">
      <c r="R209" s="2"/>
    </row>
    <row r="210" spans="18:18" ht="13.5" customHeight="1">
      <c r="R210" s="2"/>
    </row>
    <row r="211" spans="18:18" ht="13.5" customHeight="1">
      <c r="R211" s="2"/>
    </row>
    <row r="212" spans="18:18" ht="13.5" customHeight="1">
      <c r="R212" s="2"/>
    </row>
    <row r="213" spans="18:18" ht="13.5" customHeight="1">
      <c r="R213" s="2"/>
    </row>
    <row r="214" spans="18:18" ht="13.5" customHeight="1">
      <c r="R214" s="2"/>
    </row>
    <row r="215" spans="18:18" ht="13.5" customHeight="1">
      <c r="R215" s="2"/>
    </row>
    <row r="216" spans="18:18" ht="13.5" customHeight="1">
      <c r="R216" s="2"/>
    </row>
    <row r="217" spans="18:18" ht="13.5" customHeight="1">
      <c r="R217" s="2"/>
    </row>
    <row r="218" spans="18:18" ht="13.5" customHeight="1">
      <c r="R218" s="2"/>
    </row>
    <row r="219" spans="18:18" ht="13.5" customHeight="1">
      <c r="R219" s="2"/>
    </row>
    <row r="220" spans="18:18" ht="13.5" customHeight="1">
      <c r="R220" s="2"/>
    </row>
    <row r="221" spans="18:18" ht="13.5" customHeight="1">
      <c r="R221" s="2"/>
    </row>
    <row r="222" spans="18:18" ht="13.5" customHeight="1">
      <c r="R222" s="2"/>
    </row>
    <row r="223" spans="18:18" ht="13.5" customHeight="1">
      <c r="R223" s="2"/>
    </row>
    <row r="224" spans="18:18" ht="13.5" customHeight="1">
      <c r="R224" s="2"/>
    </row>
    <row r="225" spans="18:18" ht="13.5" customHeight="1">
      <c r="R225" s="2"/>
    </row>
    <row r="226" spans="18:18" ht="13.5" customHeight="1">
      <c r="R226" s="2"/>
    </row>
    <row r="227" spans="18:18" ht="13.5" customHeight="1">
      <c r="R227" s="2"/>
    </row>
    <row r="228" spans="18:18" ht="13.5" customHeight="1">
      <c r="R228" s="2"/>
    </row>
    <row r="229" spans="18:18" ht="13.5" customHeight="1">
      <c r="R229" s="2"/>
    </row>
    <row r="230" spans="18:18" ht="13.5" customHeight="1">
      <c r="R230" s="2"/>
    </row>
    <row r="231" spans="18:18" ht="13.5" customHeight="1">
      <c r="R231" s="2"/>
    </row>
    <row r="232" spans="18:18" ht="13.5" customHeight="1">
      <c r="R232" s="2"/>
    </row>
    <row r="233" spans="18:18" ht="13.5" customHeight="1">
      <c r="R233" s="2"/>
    </row>
    <row r="234" spans="18:18" ht="13.5" customHeight="1">
      <c r="R234" s="2"/>
    </row>
    <row r="235" spans="18:18" ht="13.5" customHeight="1">
      <c r="R235" s="2"/>
    </row>
    <row r="236" spans="18:18" ht="13.5" customHeight="1">
      <c r="R236" s="2"/>
    </row>
    <row r="237" spans="18:18" ht="13.5" customHeight="1">
      <c r="R237" s="2"/>
    </row>
    <row r="238" spans="18:18" ht="13.5" customHeight="1">
      <c r="R238" s="2"/>
    </row>
    <row r="239" spans="18:18" ht="13.5" customHeight="1">
      <c r="R239" s="2"/>
    </row>
    <row r="240" spans="18:18" ht="13.5" customHeight="1">
      <c r="R240" s="2"/>
    </row>
    <row r="241" spans="18:18" ht="13.5" customHeight="1">
      <c r="R241" s="2"/>
    </row>
    <row r="242" spans="18:18" ht="13.5" customHeight="1">
      <c r="R242" s="2"/>
    </row>
    <row r="243" spans="18:18" ht="13.5" customHeight="1">
      <c r="R243" s="2"/>
    </row>
    <row r="244" spans="18:18" ht="13.5" customHeight="1">
      <c r="R244" s="2"/>
    </row>
    <row r="245" spans="18:18" ht="13.5" customHeight="1">
      <c r="R245" s="2"/>
    </row>
    <row r="246" spans="18:18" ht="15.75" customHeight="1"/>
    <row r="247" spans="18:18" ht="15.75" customHeight="1"/>
    <row r="248" spans="18:18" ht="15.75" customHeight="1"/>
    <row r="249" spans="18:18" ht="15.75" customHeight="1"/>
    <row r="250" spans="18:18" ht="15.75" customHeight="1"/>
    <row r="251" spans="18:18" ht="15.75" customHeight="1"/>
    <row r="252" spans="18:18" ht="15.75" customHeight="1"/>
    <row r="253" spans="18:18" ht="15.75" customHeight="1"/>
    <row r="254" spans="18:18" ht="15.75" customHeight="1"/>
    <row r="255" spans="18:18" ht="15.75" customHeight="1"/>
    <row r="256" spans="18:18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</sheetData>
  <conditionalFormatting sqref="G27:K40">
    <cfRule type="containsText" dxfId="30" priority="11" operator="containsText" text="OK">
      <formula>NOT(ISERROR(SEARCH(("OK"),(G27))))</formula>
    </cfRule>
  </conditionalFormatting>
  <conditionalFormatting sqref="G28:J30">
    <cfRule type="containsText" dxfId="29" priority="12" operator="containsText" text="OK">
      <formula>NOT(ISERROR(SEARCH(("OK"),(G28))))</formula>
    </cfRule>
  </conditionalFormatting>
  <conditionalFormatting sqref="G28:J30">
    <cfRule type="containsText" dxfId="28" priority="13" operator="containsText" text="ERROR">
      <formula>NOT(ISERROR(SEARCH(("ERROR"),(G28))))</formula>
    </cfRule>
  </conditionalFormatting>
  <conditionalFormatting sqref="G32:K32 G34:K34">
    <cfRule type="containsText" dxfId="27" priority="14" operator="containsText" text="OK">
      <formula>NOT(ISERROR(SEARCH(("OK"),(G32))))</formula>
    </cfRule>
  </conditionalFormatting>
  <conditionalFormatting sqref="G32:K32 G34:K34">
    <cfRule type="containsText" dxfId="26" priority="15" operator="containsText" text="ERROR">
      <formula>NOT(ISERROR(SEARCH(("ERROR"),(G32))))</formula>
    </cfRule>
  </conditionalFormatting>
  <conditionalFormatting sqref="G27:K40">
    <cfRule type="containsText" dxfId="25" priority="16" operator="containsText" text="ERROR">
      <formula>NOT(ISERROR(SEARCH(("ERROR"),(G27))))</formula>
    </cfRule>
  </conditionalFormatting>
  <conditionalFormatting sqref="C43:F45 D46:F47">
    <cfRule type="containsText" dxfId="24" priority="17" operator="containsText" text="OK">
      <formula>NOT(ISERROR(SEARCH(("OK"),(C43))))</formula>
    </cfRule>
  </conditionalFormatting>
  <conditionalFormatting sqref="C43:F45 D46:F47">
    <cfRule type="containsText" dxfId="23" priority="18" operator="containsText" text="ERROR">
      <formula>NOT(ISERROR(SEARCH(("ERROR"),(C43))))</formula>
    </cfRule>
  </conditionalFormatting>
  <conditionalFormatting sqref="G25:J25">
    <cfRule type="containsText" dxfId="22" priority="7" operator="containsText" text="OK">
      <formula>NOT(ISERROR(SEARCH("OK",G25)))</formula>
    </cfRule>
    <cfRule type="containsText" dxfId="21" priority="8" operator="containsText" text="ERROR">
      <formula>NOT(ISERROR(SEARCH("ERROR",G25)))</formula>
    </cfRule>
  </conditionalFormatting>
  <conditionalFormatting sqref="G18:J22 G23:K25">
    <cfRule type="containsText" dxfId="20" priority="9" operator="containsText" text="OK">
      <formula>NOT(ISERROR(SEARCH("OK",G18)))</formula>
    </cfRule>
    <cfRule type="containsText" dxfId="19" priority="10" operator="containsText" text="ERROR">
      <formula>NOT(ISERROR(SEARCH("ERROR",G18)))</formula>
    </cfRule>
  </conditionalFormatting>
  <conditionalFormatting sqref="G5:J9">
    <cfRule type="containsText" dxfId="18" priority="5" operator="containsText" text="OK">
      <formula>NOT(ISERROR(SEARCH("OK",G5)))</formula>
    </cfRule>
    <cfRule type="containsText" dxfId="17" priority="6" operator="containsText" text="ERROR">
      <formula>NOT(ISERROR(SEARCH("ERROR",G5)))</formula>
    </cfRule>
  </conditionalFormatting>
  <conditionalFormatting sqref="G13:J15">
    <cfRule type="containsText" dxfId="16" priority="3" operator="containsText" text="OK">
      <formula>NOT(ISERROR(SEARCH("OK",G13)))</formula>
    </cfRule>
    <cfRule type="containsText" dxfId="15" priority="4" operator="containsText" text="ERROR">
      <formula>NOT(ISERROR(SEARCH("ERROR",G13)))</formula>
    </cfRule>
  </conditionalFormatting>
  <conditionalFormatting sqref="G11:J11">
    <cfRule type="containsText" dxfId="14" priority="1" operator="containsText" text="OK">
      <formula>NOT(ISERROR(SEARCH("OK",G11)))</formula>
    </cfRule>
    <cfRule type="containsText" dxfId="13" priority="2" operator="containsText" text="ERROR">
      <formula>NOT(ISERROR(SEARCH("ERROR",G11)))</formula>
    </cfRule>
  </conditionalFormatting>
  <pageMargins left="0.7" right="0.7" top="0.75" bottom="0.75" header="0" footer="0"/>
  <pageSetup scale="45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C00000"/>
  </sheetPr>
  <dimension ref="B2:P61"/>
  <sheetViews>
    <sheetView zoomScaleNormal="100" workbookViewId="0">
      <selection activeCell="C5" sqref="C5"/>
    </sheetView>
  </sheetViews>
  <sheetFormatPr defaultRowHeight="16.5"/>
  <cols>
    <col min="2" max="2" width="65.140625" bestFit="1" customWidth="1"/>
    <col min="3" max="4" width="11" bestFit="1" customWidth="1"/>
    <col min="5" max="6" width="11.42578125" bestFit="1" customWidth="1"/>
    <col min="9" max="9" width="39.42578125" bestFit="1" customWidth="1"/>
    <col min="10" max="10" width="29.85546875" bestFit="1" customWidth="1"/>
    <col min="14" max="16" width="5.5703125" customWidth="1"/>
  </cols>
  <sheetData>
    <row r="2" spans="2:16" ht="17.25" thickBot="1"/>
    <row r="3" spans="2:16" ht="17.25" thickBot="1">
      <c r="B3" s="142" t="s">
        <v>225</v>
      </c>
      <c r="C3" s="142" t="s">
        <v>226</v>
      </c>
      <c r="D3" s="142" t="s">
        <v>227</v>
      </c>
      <c r="E3" s="142" t="s">
        <v>228</v>
      </c>
      <c r="F3" s="142" t="s">
        <v>229</v>
      </c>
      <c r="G3" s="143"/>
      <c r="H3" s="141"/>
      <c r="I3" s="144"/>
      <c r="J3" s="144"/>
      <c r="K3" s="144"/>
      <c r="L3" s="144"/>
      <c r="M3" s="144"/>
      <c r="N3" s="1188" t="s">
        <v>230</v>
      </c>
      <c r="O3" s="1189"/>
      <c r="P3" s="1189"/>
    </row>
    <row r="4" spans="2:16">
      <c r="B4" s="2" t="s">
        <v>215</v>
      </c>
      <c r="C4" s="145">
        <v>344338000</v>
      </c>
      <c r="D4" s="145">
        <v>325438000</v>
      </c>
      <c r="E4" s="145">
        <v>374635000</v>
      </c>
      <c r="F4" s="145">
        <v>422736000</v>
      </c>
      <c r="G4" s="6"/>
      <c r="H4" s="6"/>
      <c r="I4" s="146" t="s">
        <v>231</v>
      </c>
      <c r="J4" s="147"/>
      <c r="K4" s="147"/>
      <c r="L4" s="147"/>
      <c r="M4" s="147"/>
      <c r="N4" s="148">
        <v>2003</v>
      </c>
      <c r="O4" s="149">
        <f t="shared" ref="O4:P4" si="0">N4+1</f>
        <v>2004</v>
      </c>
      <c r="P4" s="149">
        <f t="shared" si="0"/>
        <v>2005</v>
      </c>
    </row>
    <row r="5" spans="2:16">
      <c r="B5" s="2" t="s">
        <v>232</v>
      </c>
      <c r="C5" s="145">
        <v>928258000</v>
      </c>
      <c r="D5" s="145">
        <v>912643000</v>
      </c>
      <c r="E5" s="145">
        <v>1109800000</v>
      </c>
      <c r="F5" s="145">
        <v>1224262000</v>
      </c>
      <c r="G5" s="150"/>
      <c r="H5" s="6"/>
    </row>
    <row r="6" spans="2:16">
      <c r="B6" s="2" t="s">
        <v>233</v>
      </c>
      <c r="C6" s="145">
        <v>928258000</v>
      </c>
      <c r="D6" s="145">
        <v>912643000</v>
      </c>
      <c r="E6" s="145">
        <v>1109800000</v>
      </c>
      <c r="F6" s="145">
        <v>1224262000</v>
      </c>
      <c r="G6" s="7"/>
      <c r="H6" s="6"/>
      <c r="I6" s="151" t="s">
        <v>234</v>
      </c>
    </row>
    <row r="7" spans="2:16">
      <c r="B7" s="2" t="s">
        <v>235</v>
      </c>
      <c r="C7" s="145">
        <v>-583920000</v>
      </c>
      <c r="D7" s="145">
        <v>-587205000</v>
      </c>
      <c r="E7" s="145">
        <v>-735165000</v>
      </c>
      <c r="F7" s="145">
        <v>-801526000</v>
      </c>
      <c r="G7" s="7"/>
      <c r="H7" s="6"/>
      <c r="J7" s="152" t="s">
        <v>236</v>
      </c>
      <c r="M7" s="153"/>
      <c r="N7" s="154"/>
      <c r="O7" s="154"/>
      <c r="P7" s="154"/>
    </row>
    <row r="8" spans="2:16">
      <c r="B8" s="2" t="s">
        <v>237</v>
      </c>
      <c r="C8" s="2" t="s">
        <v>134</v>
      </c>
      <c r="D8" s="145">
        <v>-43900000</v>
      </c>
      <c r="E8" s="145">
        <v>-83000000</v>
      </c>
      <c r="F8" s="145">
        <v>-62200000</v>
      </c>
      <c r="G8" s="7"/>
      <c r="H8" s="6"/>
      <c r="J8" s="152" t="s">
        <v>238</v>
      </c>
      <c r="M8" s="153"/>
      <c r="N8" s="155"/>
      <c r="O8" s="155"/>
      <c r="P8" s="155"/>
    </row>
    <row r="9" spans="2:16">
      <c r="B9" s="2" t="s">
        <v>239</v>
      </c>
      <c r="C9" s="2" t="s">
        <v>134</v>
      </c>
      <c r="D9" s="145">
        <v>-404400000</v>
      </c>
      <c r="E9" s="145">
        <v>-503700000</v>
      </c>
      <c r="F9" s="145">
        <v>-578300000</v>
      </c>
      <c r="G9" s="7"/>
      <c r="H9" s="6"/>
      <c r="I9" s="156" t="str">
        <f>"Total "&amp;I6</f>
        <v>Total Revenue</v>
      </c>
      <c r="J9" s="156"/>
      <c r="K9" s="156"/>
      <c r="L9" s="156"/>
      <c r="M9" s="156"/>
      <c r="N9" s="157"/>
      <c r="O9" s="157"/>
      <c r="P9" s="157"/>
    </row>
    <row r="10" spans="2:16">
      <c r="B10" s="2" t="s">
        <v>240</v>
      </c>
      <c r="C10" s="2" t="s">
        <v>134</v>
      </c>
      <c r="D10" s="2" t="s">
        <v>134</v>
      </c>
      <c r="E10" s="145">
        <v>-48600000</v>
      </c>
      <c r="F10" s="145">
        <v>-48700000</v>
      </c>
      <c r="G10" s="7"/>
      <c r="H10" s="6"/>
      <c r="J10" s="152" t="s">
        <v>32</v>
      </c>
      <c r="N10" s="155"/>
      <c r="O10" s="155"/>
      <c r="P10" s="155"/>
    </row>
    <row r="11" spans="2:16">
      <c r="B11" s="2" t="s">
        <v>241</v>
      </c>
      <c r="C11" s="2" t="s">
        <v>134</v>
      </c>
      <c r="D11" s="145">
        <v>-91100000</v>
      </c>
      <c r="E11" s="145">
        <v>-99900000</v>
      </c>
      <c r="F11" s="145">
        <v>-112400000</v>
      </c>
      <c r="G11" s="7"/>
      <c r="H11" s="6"/>
      <c r="I11" s="151" t="s">
        <v>215</v>
      </c>
      <c r="J11" s="156"/>
      <c r="K11" s="156"/>
      <c r="L11" s="156"/>
      <c r="M11" s="156"/>
      <c r="N11" s="157"/>
      <c r="O11" s="157"/>
      <c r="P11" s="157"/>
    </row>
    <row r="12" spans="2:16">
      <c r="B12" s="2" t="s">
        <v>242</v>
      </c>
      <c r="C12" s="145">
        <v>-197047000</v>
      </c>
      <c r="D12" s="145">
        <v>-189635000</v>
      </c>
      <c r="E12" s="145">
        <v>-216534000</v>
      </c>
      <c r="F12" s="145">
        <v>-256546000</v>
      </c>
      <c r="G12" s="150"/>
      <c r="H12" s="150"/>
      <c r="J12" s="152" t="s">
        <v>243</v>
      </c>
      <c r="N12" s="155"/>
      <c r="O12" s="155"/>
      <c r="P12" s="155"/>
    </row>
    <row r="13" spans="2:16">
      <c r="B13" s="2" t="s">
        <v>244</v>
      </c>
      <c r="C13" s="145">
        <v>-181394000</v>
      </c>
      <c r="D13" s="145">
        <v>-175913000</v>
      </c>
      <c r="E13" s="145">
        <v>-204984000</v>
      </c>
      <c r="F13" s="145">
        <v>-232900000</v>
      </c>
      <c r="G13" s="150"/>
      <c r="H13" s="6"/>
      <c r="I13" s="151" t="s">
        <v>245</v>
      </c>
      <c r="J13" s="156"/>
      <c r="K13" s="156"/>
      <c r="L13" s="156"/>
      <c r="M13" s="156"/>
      <c r="N13" s="157"/>
      <c r="O13" s="157"/>
      <c r="P13" s="157"/>
    </row>
    <row r="14" spans="2:16">
      <c r="B14" s="2" t="s">
        <v>246</v>
      </c>
      <c r="C14" s="2" t="s">
        <v>134</v>
      </c>
      <c r="D14" s="145">
        <v>-104100000</v>
      </c>
      <c r="E14" s="2" t="s">
        <v>134</v>
      </c>
      <c r="F14" s="145">
        <v>-182500000</v>
      </c>
      <c r="G14" s="7"/>
      <c r="H14" s="6"/>
      <c r="I14" s="158"/>
      <c r="J14" s="152" t="s">
        <v>247</v>
      </c>
      <c r="K14" s="158"/>
      <c r="L14" s="158"/>
      <c r="M14" s="158"/>
      <c r="N14" s="153"/>
      <c r="O14" s="153"/>
      <c r="P14" s="153"/>
    </row>
    <row r="15" spans="2:16">
      <c r="B15" s="2" t="s">
        <v>248</v>
      </c>
      <c r="C15" s="145">
        <v>-128592000</v>
      </c>
      <c r="D15" s="145">
        <v>-22200000</v>
      </c>
      <c r="E15" s="145">
        <v>-151124000</v>
      </c>
      <c r="F15" s="145">
        <v>-38600000</v>
      </c>
      <c r="G15" s="7"/>
      <c r="H15" s="6"/>
      <c r="I15" s="158"/>
      <c r="J15" s="152" t="s">
        <v>249</v>
      </c>
      <c r="K15" s="158"/>
      <c r="L15" s="158"/>
      <c r="M15" s="159"/>
      <c r="N15" s="153"/>
      <c r="O15" s="153"/>
      <c r="P15" s="153"/>
    </row>
    <row r="16" spans="2:16">
      <c r="B16" s="2" t="s">
        <v>250</v>
      </c>
      <c r="C16" s="145">
        <v>-52802000</v>
      </c>
      <c r="D16" s="145">
        <v>-49613000</v>
      </c>
      <c r="E16" s="145">
        <v>-53860000</v>
      </c>
      <c r="F16" s="145">
        <v>-11800000</v>
      </c>
      <c r="G16" s="7"/>
      <c r="H16" s="6"/>
      <c r="I16" s="158"/>
      <c r="J16" s="152" t="s">
        <v>251</v>
      </c>
      <c r="K16" s="158"/>
      <c r="L16" s="158"/>
      <c r="M16" s="158"/>
      <c r="N16" s="155"/>
      <c r="O16" s="155"/>
      <c r="P16" s="155"/>
    </row>
    <row r="17" spans="2:16">
      <c r="B17" s="2" t="s">
        <v>252</v>
      </c>
      <c r="C17" s="145">
        <v>-15653000</v>
      </c>
      <c r="D17" s="145">
        <v>-13722000</v>
      </c>
      <c r="E17" s="145">
        <v>-11550000</v>
      </c>
      <c r="F17" s="145">
        <v>-23646000</v>
      </c>
      <c r="G17" s="160"/>
      <c r="H17" s="6"/>
      <c r="I17" s="151" t="s">
        <v>253</v>
      </c>
      <c r="J17" s="156"/>
      <c r="K17" s="156"/>
      <c r="L17" s="156"/>
      <c r="M17" s="156"/>
      <c r="N17" s="157"/>
      <c r="O17" s="157"/>
      <c r="P17" s="157"/>
    </row>
    <row r="18" spans="2:16">
      <c r="B18" s="2" t="s">
        <v>254</v>
      </c>
      <c r="C18" s="145">
        <v>-15653000</v>
      </c>
      <c r="D18" s="145">
        <v>-13722000</v>
      </c>
      <c r="E18" s="145">
        <v>-11550000</v>
      </c>
      <c r="F18" s="145">
        <v>-23646000</v>
      </c>
      <c r="G18" s="6"/>
      <c r="H18" s="6"/>
      <c r="J18" s="152" t="s">
        <v>255</v>
      </c>
      <c r="N18" s="153"/>
      <c r="O18" s="153"/>
      <c r="P18" s="153"/>
    </row>
    <row r="19" spans="2:16">
      <c r="B19" s="2" t="s">
        <v>256</v>
      </c>
      <c r="C19" s="145">
        <v>-15653000</v>
      </c>
      <c r="D19" s="145">
        <v>-13722000</v>
      </c>
      <c r="E19" s="145">
        <v>-11550000</v>
      </c>
      <c r="F19" s="145">
        <v>-23646000</v>
      </c>
      <c r="G19" s="7"/>
      <c r="H19" s="6"/>
      <c r="J19" s="152" t="s">
        <v>257</v>
      </c>
      <c r="M19" s="153"/>
      <c r="N19" s="155"/>
      <c r="O19" s="155"/>
      <c r="P19" s="155"/>
    </row>
    <row r="20" spans="2:16">
      <c r="B20" s="2" t="s">
        <v>258</v>
      </c>
      <c r="C20" s="145">
        <v>147291000</v>
      </c>
      <c r="D20" s="145">
        <v>135803000</v>
      </c>
      <c r="E20" s="145">
        <v>158101000</v>
      </c>
      <c r="F20" s="145">
        <v>166190000</v>
      </c>
      <c r="G20" s="7"/>
      <c r="H20" s="6"/>
      <c r="I20" s="151" t="s">
        <v>135</v>
      </c>
      <c r="J20" s="156"/>
      <c r="K20" s="156"/>
      <c r="L20" s="156"/>
      <c r="M20" s="156"/>
      <c r="N20" s="157"/>
      <c r="O20" s="157"/>
      <c r="P20" s="157"/>
    </row>
    <row r="21" spans="2:16">
      <c r="B21" s="2" t="s">
        <v>259</v>
      </c>
      <c r="C21" s="145">
        <v>-3339000</v>
      </c>
      <c r="D21" s="145">
        <v>-3117000</v>
      </c>
      <c r="E21" s="145">
        <v>6439000</v>
      </c>
      <c r="F21" s="145">
        <v>-1772000</v>
      </c>
      <c r="G21" s="7"/>
      <c r="H21" s="6"/>
    </row>
    <row r="22" spans="2:16">
      <c r="B22" s="2" t="s">
        <v>260</v>
      </c>
      <c r="C22" s="145">
        <v>-13342000</v>
      </c>
      <c r="D22" s="145">
        <v>-10665000</v>
      </c>
      <c r="E22" s="145">
        <v>-9398000</v>
      </c>
      <c r="F22" s="145">
        <v>-13540000</v>
      </c>
      <c r="G22" s="7"/>
      <c r="H22" s="6"/>
      <c r="I22" s="152"/>
      <c r="J22" s="152" t="s">
        <v>261</v>
      </c>
      <c r="N22" s="153"/>
      <c r="O22" s="153"/>
      <c r="P22" s="153"/>
    </row>
    <row r="23" spans="2:16">
      <c r="B23" s="2" t="s">
        <v>262</v>
      </c>
      <c r="C23" s="145">
        <v>-13111000</v>
      </c>
      <c r="D23" s="145">
        <v>-10539000</v>
      </c>
      <c r="E23" s="145">
        <v>-9346000</v>
      </c>
      <c r="F23" s="145">
        <v>-13540000</v>
      </c>
      <c r="G23" s="7"/>
      <c r="H23" s="6"/>
    </row>
    <row r="24" spans="2:16">
      <c r="B24" s="2" t="s">
        <v>263</v>
      </c>
      <c r="C24" s="145">
        <v>-16951000</v>
      </c>
      <c r="D24" s="145">
        <v>-14241000</v>
      </c>
      <c r="E24" s="145">
        <v>-13118000</v>
      </c>
      <c r="F24" s="145">
        <v>-18819000</v>
      </c>
      <c r="G24" s="7"/>
      <c r="H24" s="6"/>
      <c r="I24" s="151" t="s">
        <v>264</v>
      </c>
      <c r="J24" s="156"/>
      <c r="K24" s="156"/>
      <c r="L24" s="156"/>
      <c r="M24" s="156"/>
      <c r="N24" s="161"/>
      <c r="O24" s="161"/>
      <c r="P24" s="161"/>
    </row>
    <row r="25" spans="2:16">
      <c r="B25" s="2" t="s">
        <v>265</v>
      </c>
      <c r="C25" s="145">
        <v>3840000</v>
      </c>
      <c r="D25" s="145">
        <v>3702000</v>
      </c>
      <c r="E25" s="145">
        <v>3772000</v>
      </c>
      <c r="F25" s="145">
        <v>5279000</v>
      </c>
      <c r="G25" s="7"/>
      <c r="H25" s="6"/>
      <c r="O25" s="162"/>
      <c r="P25" s="162"/>
    </row>
    <row r="26" spans="2:16">
      <c r="B26" s="2" t="s">
        <v>266</v>
      </c>
      <c r="C26" s="145">
        <v>-231000</v>
      </c>
      <c r="D26" s="145">
        <v>-126000</v>
      </c>
      <c r="E26" s="145">
        <v>-52000</v>
      </c>
      <c r="F26" s="2" t="s">
        <v>134</v>
      </c>
      <c r="G26" s="7"/>
      <c r="H26" s="6"/>
      <c r="I26" s="151" t="s">
        <v>267</v>
      </c>
      <c r="J26" s="156"/>
      <c r="K26" s="156"/>
      <c r="L26" s="156"/>
      <c r="M26" s="156"/>
      <c r="N26" s="157"/>
      <c r="O26" s="157"/>
      <c r="P26" s="157"/>
    </row>
    <row r="27" spans="2:16">
      <c r="B27" s="2" t="s">
        <v>268</v>
      </c>
      <c r="C27" s="145">
        <v>-231000</v>
      </c>
      <c r="D27" s="145">
        <v>-126000</v>
      </c>
      <c r="E27" s="145">
        <v>-52000</v>
      </c>
      <c r="F27" s="2" t="s">
        <v>134</v>
      </c>
      <c r="G27" s="7"/>
      <c r="H27" s="6"/>
      <c r="I27" s="163"/>
      <c r="J27" s="164" t="s">
        <v>269</v>
      </c>
      <c r="K27" s="163"/>
      <c r="L27" s="163"/>
      <c r="M27" s="163"/>
      <c r="N27" s="165"/>
      <c r="O27" s="165"/>
      <c r="P27" s="165"/>
    </row>
    <row r="28" spans="2:16">
      <c r="B28" s="2" t="s">
        <v>270</v>
      </c>
      <c r="C28" s="145">
        <v>11100000</v>
      </c>
      <c r="D28" s="145">
        <v>5138000</v>
      </c>
      <c r="E28" s="145">
        <v>12879000</v>
      </c>
      <c r="F28" s="145">
        <v>9033000</v>
      </c>
      <c r="G28" s="7"/>
      <c r="H28" s="6"/>
    </row>
    <row r="29" spans="2:16">
      <c r="B29" s="2" t="s">
        <v>271</v>
      </c>
      <c r="C29" s="145">
        <v>7547000</v>
      </c>
      <c r="D29" s="145">
        <v>6352000</v>
      </c>
      <c r="E29" s="145">
        <v>7137000</v>
      </c>
      <c r="F29" s="145">
        <v>7991000</v>
      </c>
      <c r="G29" s="7"/>
      <c r="H29" s="6"/>
      <c r="I29" s="166" t="s">
        <v>21</v>
      </c>
    </row>
    <row r="30" spans="2:16">
      <c r="B30" s="2" t="s">
        <v>272</v>
      </c>
      <c r="C30" s="145">
        <v>3382000</v>
      </c>
      <c r="D30" s="145">
        <v>-754000</v>
      </c>
      <c r="E30" s="145">
        <v>5959000</v>
      </c>
      <c r="F30" s="145">
        <v>1042000</v>
      </c>
      <c r="G30" s="7"/>
      <c r="H30" s="6"/>
    </row>
    <row r="31" spans="2:16">
      <c r="B31" s="2" t="s">
        <v>273</v>
      </c>
      <c r="C31" s="145">
        <v>171000</v>
      </c>
      <c r="D31" s="145">
        <v>-460000</v>
      </c>
      <c r="E31" s="145">
        <v>-217000</v>
      </c>
      <c r="F31" s="145">
        <v>0</v>
      </c>
      <c r="G31" s="7"/>
      <c r="H31" s="6"/>
      <c r="I31" s="158" t="str">
        <f t="shared" ref="I31:I32" si="1">J7&amp;" Growth"</f>
        <v>Net Sales Growth</v>
      </c>
      <c r="M31" s="162"/>
      <c r="N31" s="162"/>
      <c r="O31" s="162"/>
      <c r="P31" s="162"/>
    </row>
    <row r="32" spans="2:16">
      <c r="B32" s="2" t="s">
        <v>274</v>
      </c>
      <c r="C32" s="145">
        <v>0</v>
      </c>
      <c r="D32" s="145">
        <v>0</v>
      </c>
      <c r="E32" s="2" t="s">
        <v>134</v>
      </c>
      <c r="F32" s="2" t="s">
        <v>134</v>
      </c>
      <c r="G32" s="7"/>
      <c r="H32" s="6"/>
      <c r="I32" s="158" t="str">
        <f t="shared" si="1"/>
        <v>Other Income, net Growth</v>
      </c>
      <c r="O32" s="162"/>
      <c r="P32" s="162"/>
    </row>
    <row r="33" spans="2:16">
      <c r="B33" s="2" t="s">
        <v>275</v>
      </c>
      <c r="C33" s="145">
        <v>2988000</v>
      </c>
      <c r="D33" s="145">
        <v>2410000</v>
      </c>
      <c r="E33" s="145">
        <v>2958000</v>
      </c>
      <c r="F33" s="145">
        <v>2735000</v>
      </c>
      <c r="G33" s="7"/>
      <c r="H33" s="6"/>
    </row>
    <row r="34" spans="2:16">
      <c r="B34" s="2" t="s">
        <v>276</v>
      </c>
      <c r="C34" s="145">
        <v>-4085000</v>
      </c>
      <c r="D34" s="145">
        <v>0</v>
      </c>
      <c r="E34" s="145">
        <v>0</v>
      </c>
      <c r="F34" s="2" t="s">
        <v>134</v>
      </c>
      <c r="G34" s="7"/>
      <c r="H34" s="6"/>
      <c r="I34" s="152" t="s">
        <v>277</v>
      </c>
      <c r="M34" s="162"/>
      <c r="N34" s="162"/>
      <c r="O34" s="162"/>
      <c r="P34" s="162"/>
    </row>
    <row r="35" spans="2:16">
      <c r="B35" s="2" t="s">
        <v>278</v>
      </c>
      <c r="C35" s="145">
        <v>-4085000</v>
      </c>
      <c r="D35" s="145">
        <v>0</v>
      </c>
      <c r="E35" s="145">
        <v>0</v>
      </c>
      <c r="F35" s="2" t="s">
        <v>134</v>
      </c>
      <c r="G35" s="24"/>
      <c r="H35" s="6"/>
      <c r="I35" s="152" t="s">
        <v>279</v>
      </c>
      <c r="M35" s="162"/>
      <c r="N35" s="162"/>
      <c r="O35" s="162"/>
      <c r="P35" s="162"/>
    </row>
    <row r="36" spans="2:16">
      <c r="B36" s="2" t="s">
        <v>280</v>
      </c>
      <c r="C36" s="145">
        <v>143952000</v>
      </c>
      <c r="D36" s="145">
        <v>132691000</v>
      </c>
      <c r="E36" s="145">
        <v>164540000</v>
      </c>
      <c r="F36" s="145">
        <v>164509000</v>
      </c>
      <c r="G36" s="24"/>
      <c r="H36" s="6"/>
    </row>
    <row r="37" spans="2:16">
      <c r="B37" s="2" t="s">
        <v>281</v>
      </c>
      <c r="C37" s="145">
        <v>-27183000</v>
      </c>
      <c r="D37" s="145">
        <v>-30074000</v>
      </c>
      <c r="E37" s="145">
        <v>-32439000</v>
      </c>
      <c r="F37" s="145">
        <v>-27201000</v>
      </c>
      <c r="G37" s="6"/>
      <c r="H37" s="6"/>
      <c r="I37" s="152" t="s">
        <v>282</v>
      </c>
      <c r="N37" s="162"/>
      <c r="O37" s="162"/>
      <c r="P37" s="162"/>
    </row>
    <row r="38" spans="2:16">
      <c r="B38" s="2" t="s">
        <v>283</v>
      </c>
      <c r="C38" s="145">
        <v>116769000</v>
      </c>
      <c r="D38" s="145">
        <v>102617000</v>
      </c>
      <c r="E38" s="145">
        <v>132101000</v>
      </c>
      <c r="F38" s="145">
        <v>137308000</v>
      </c>
      <c r="G38" s="24"/>
      <c r="H38" s="6"/>
    </row>
    <row r="39" spans="2:16">
      <c r="B39" s="2" t="s">
        <v>284</v>
      </c>
      <c r="C39" s="145">
        <v>116769000</v>
      </c>
      <c r="D39" s="145">
        <v>102617000</v>
      </c>
      <c r="E39" s="145">
        <v>132101000</v>
      </c>
      <c r="F39" s="145">
        <v>137308000</v>
      </c>
      <c r="G39" s="24"/>
      <c r="H39" s="6"/>
      <c r="I39" s="152" t="s">
        <v>285</v>
      </c>
      <c r="N39" s="162"/>
      <c r="O39" s="162"/>
      <c r="P39" s="162"/>
    </row>
    <row r="40" spans="2:16">
      <c r="B40" s="2" t="s">
        <v>286</v>
      </c>
      <c r="C40" s="145">
        <v>116769000</v>
      </c>
      <c r="D40" s="145">
        <v>102617000</v>
      </c>
      <c r="E40" s="145">
        <v>132101000</v>
      </c>
      <c r="F40" s="145">
        <v>137308000</v>
      </c>
      <c r="G40" s="6"/>
      <c r="H40" s="6"/>
    </row>
    <row r="41" spans="2:16">
      <c r="B41" s="2" t="s">
        <v>287</v>
      </c>
      <c r="C41" s="145">
        <v>116769000</v>
      </c>
      <c r="D41" s="145">
        <v>102617000</v>
      </c>
      <c r="E41" s="145">
        <v>132101000</v>
      </c>
      <c r="F41" s="145">
        <v>137308000</v>
      </c>
      <c r="G41" s="150"/>
      <c r="H41" s="6"/>
      <c r="I41" s="152" t="s">
        <v>288</v>
      </c>
      <c r="N41" s="154"/>
      <c r="O41" s="154"/>
      <c r="P41" s="154"/>
    </row>
    <row r="42" spans="2:16">
      <c r="B42" s="2" t="s">
        <v>289</v>
      </c>
      <c r="C42" s="145">
        <v>116769000</v>
      </c>
      <c r="D42" s="145">
        <v>102617000</v>
      </c>
      <c r="E42" s="145">
        <v>132101000</v>
      </c>
      <c r="F42" s="145">
        <v>137308000</v>
      </c>
      <c r="G42" s="6"/>
      <c r="H42" s="6"/>
      <c r="I42" s="167"/>
      <c r="J42" s="168" t="s">
        <v>290</v>
      </c>
      <c r="K42" s="167"/>
      <c r="L42" s="167"/>
      <c r="M42" s="167"/>
      <c r="N42" s="169"/>
      <c r="O42" s="169"/>
      <c r="P42" s="169"/>
    </row>
    <row r="43" spans="2:16">
      <c r="B43" s="2" t="s">
        <v>291</v>
      </c>
      <c r="C43" s="2" t="s">
        <v>134</v>
      </c>
      <c r="D43" s="2" t="s">
        <v>134</v>
      </c>
      <c r="E43" s="2" t="s">
        <v>134</v>
      </c>
      <c r="F43" s="2" t="s">
        <v>134</v>
      </c>
      <c r="G43" s="7"/>
      <c r="H43" s="6"/>
      <c r="I43" s="6"/>
      <c r="J43" s="6"/>
      <c r="K43" s="6"/>
      <c r="L43" s="6"/>
      <c r="M43" s="6"/>
      <c r="N43" s="6"/>
      <c r="O43" s="6"/>
      <c r="P43" s="6"/>
    </row>
    <row r="44" spans="2:16">
      <c r="B44" s="2" t="s">
        <v>292</v>
      </c>
      <c r="C44" s="2" t="s">
        <v>134</v>
      </c>
      <c r="D44" s="2" t="s">
        <v>134</v>
      </c>
      <c r="E44" s="2" t="s">
        <v>134</v>
      </c>
      <c r="F44" s="2" t="s">
        <v>134</v>
      </c>
      <c r="G44" s="7"/>
      <c r="H44" s="6"/>
      <c r="I44" s="6"/>
      <c r="J44" s="6"/>
      <c r="K44" s="6"/>
      <c r="L44" s="6"/>
      <c r="M44" s="62"/>
      <c r="N44" s="6"/>
      <c r="O44" s="6"/>
      <c r="P44" s="6"/>
    </row>
    <row r="45" spans="2:16">
      <c r="B45" s="2" t="s">
        <v>293</v>
      </c>
      <c r="C45" s="145">
        <v>928258000</v>
      </c>
      <c r="D45" s="145">
        <v>912643000</v>
      </c>
      <c r="E45" s="145">
        <v>1109800000</v>
      </c>
      <c r="F45" s="145">
        <v>1224262000</v>
      </c>
      <c r="G45" s="7"/>
      <c r="H45" s="6"/>
      <c r="I45" s="6"/>
      <c r="J45" s="6"/>
      <c r="K45" s="6"/>
      <c r="L45" s="6"/>
      <c r="M45" s="6"/>
      <c r="N45" s="6"/>
      <c r="O45" s="6"/>
      <c r="P45" s="6"/>
    </row>
    <row r="46" spans="2:16">
      <c r="B46" s="2" t="s">
        <v>294</v>
      </c>
      <c r="C46" s="145">
        <v>146588000</v>
      </c>
      <c r="D46" s="145">
        <v>135054000</v>
      </c>
      <c r="E46" s="145">
        <v>164060000</v>
      </c>
      <c r="F46" s="145">
        <v>167323000</v>
      </c>
      <c r="G46" s="7"/>
      <c r="H46" s="6"/>
      <c r="I46" s="6"/>
      <c r="J46" s="6"/>
      <c r="K46" s="6"/>
      <c r="L46" s="6"/>
      <c r="M46" s="6"/>
      <c r="N46" s="6"/>
      <c r="O46" s="6"/>
      <c r="P46" s="6"/>
    </row>
    <row r="47" spans="2:16">
      <c r="B47" s="2" t="s">
        <v>295</v>
      </c>
      <c r="C47" s="145">
        <v>161400000</v>
      </c>
      <c r="D47" s="145">
        <v>141700000</v>
      </c>
      <c r="E47" s="145">
        <v>174800000</v>
      </c>
      <c r="F47" s="145">
        <v>196100000</v>
      </c>
      <c r="G47" s="7"/>
      <c r="H47" s="6"/>
      <c r="I47" s="6"/>
      <c r="J47" s="6"/>
      <c r="K47" s="6"/>
      <c r="L47" s="6"/>
      <c r="M47" s="6"/>
      <c r="N47" s="6"/>
      <c r="O47" s="6"/>
      <c r="P47" s="6"/>
    </row>
    <row r="48" spans="2:16">
      <c r="B48" s="2" t="s">
        <v>296</v>
      </c>
      <c r="C48" s="145">
        <v>203800000</v>
      </c>
      <c r="D48" s="145">
        <v>187000000</v>
      </c>
      <c r="E48" s="145">
        <v>219800000</v>
      </c>
      <c r="F48" s="145">
        <v>244500000</v>
      </c>
      <c r="G48" s="7"/>
      <c r="H48" s="6"/>
      <c r="I48" s="6"/>
      <c r="J48" s="6"/>
      <c r="K48" s="6"/>
      <c r="L48" s="6"/>
      <c r="M48" s="6"/>
      <c r="N48" s="6"/>
      <c r="O48" s="6"/>
      <c r="P48" s="6"/>
    </row>
    <row r="49" spans="2:16">
      <c r="B49" s="2" t="s">
        <v>297</v>
      </c>
      <c r="C49" s="145">
        <v>2.35</v>
      </c>
      <c r="D49" s="145">
        <v>2.06</v>
      </c>
      <c r="E49" s="145">
        <v>2.7</v>
      </c>
      <c r="F49" s="145">
        <v>2.85</v>
      </c>
      <c r="G49" s="7"/>
      <c r="H49" s="6"/>
      <c r="I49" s="6"/>
      <c r="J49" s="6"/>
      <c r="K49" s="6"/>
      <c r="L49" s="6"/>
      <c r="M49" s="6"/>
      <c r="N49" s="6"/>
      <c r="O49" s="6"/>
      <c r="P49" s="6"/>
    </row>
    <row r="50" spans="2:16">
      <c r="B50" s="2" t="s">
        <v>298</v>
      </c>
      <c r="C50" s="145">
        <v>2.35</v>
      </c>
      <c r="D50" s="145">
        <v>2.06</v>
      </c>
      <c r="E50" s="145">
        <v>2.7</v>
      </c>
      <c r="F50" s="145">
        <v>2.85</v>
      </c>
      <c r="G50" s="7"/>
      <c r="H50" s="6"/>
      <c r="I50" s="6"/>
      <c r="J50" s="6"/>
      <c r="K50" s="6"/>
      <c r="L50" s="6"/>
      <c r="M50" s="6"/>
      <c r="N50" s="6"/>
      <c r="O50" s="6"/>
      <c r="P50" s="6"/>
    </row>
    <row r="51" spans="2:16">
      <c r="B51" s="2" t="s">
        <v>299</v>
      </c>
      <c r="C51" s="145">
        <v>2.2400000000000002</v>
      </c>
      <c r="D51" s="145">
        <v>1.97</v>
      </c>
      <c r="E51" s="145">
        <v>2.58</v>
      </c>
      <c r="F51" s="145">
        <v>2.7</v>
      </c>
      <c r="G51" s="7"/>
      <c r="H51" s="6"/>
      <c r="I51" s="6"/>
      <c r="J51" s="6"/>
      <c r="K51" s="6"/>
      <c r="L51" s="6"/>
      <c r="M51" s="6"/>
      <c r="N51" s="6"/>
      <c r="O51" s="6"/>
      <c r="P51" s="6"/>
    </row>
    <row r="52" spans="2:16">
      <c r="B52" s="2" t="s">
        <v>300</v>
      </c>
      <c r="C52" s="145">
        <v>2.2400000000000002</v>
      </c>
      <c r="D52" s="145">
        <v>1.97</v>
      </c>
      <c r="E52" s="145">
        <v>2.58</v>
      </c>
      <c r="F52" s="145">
        <v>2.7</v>
      </c>
      <c r="G52" s="7"/>
      <c r="H52" s="6"/>
      <c r="I52" s="6"/>
      <c r="J52" s="6"/>
      <c r="K52" s="6"/>
      <c r="L52" s="6"/>
      <c r="M52" s="6"/>
      <c r="N52" s="6"/>
      <c r="O52" s="6"/>
      <c r="P52" s="6"/>
    </row>
    <row r="53" spans="2:16">
      <c r="B53" s="2" t="s">
        <v>301</v>
      </c>
      <c r="C53" s="145">
        <v>49726636</v>
      </c>
      <c r="D53" s="145">
        <v>49765672</v>
      </c>
      <c r="E53" s="145">
        <v>48891004</v>
      </c>
      <c r="F53" s="145">
        <v>48252095</v>
      </c>
      <c r="G53" s="24"/>
      <c r="H53" s="6"/>
      <c r="I53" s="6"/>
      <c r="J53" s="6"/>
      <c r="K53" s="6"/>
      <c r="L53" s="6"/>
      <c r="M53" s="6"/>
      <c r="N53" s="6"/>
      <c r="O53" s="6"/>
      <c r="P53" s="6"/>
    </row>
    <row r="54" spans="2:16">
      <c r="B54" s="2" t="s">
        <v>302</v>
      </c>
      <c r="C54" s="145">
        <v>52036940</v>
      </c>
      <c r="D54" s="145">
        <v>52108749</v>
      </c>
      <c r="E54" s="145">
        <v>51248577</v>
      </c>
      <c r="F54" s="145">
        <v>50877769</v>
      </c>
      <c r="G54" s="24"/>
      <c r="H54" s="6"/>
      <c r="I54" s="6"/>
      <c r="J54" s="6"/>
      <c r="K54" s="6"/>
      <c r="L54" s="6"/>
      <c r="M54" s="6"/>
      <c r="N54" s="6"/>
      <c r="O54" s="6"/>
      <c r="P54" s="6"/>
    </row>
    <row r="55" spans="2:16">
      <c r="B55" s="2" t="s">
        <v>303</v>
      </c>
      <c r="C55" s="2" t="s">
        <v>134</v>
      </c>
      <c r="D55" s="145">
        <v>2.85</v>
      </c>
      <c r="E55" s="145">
        <v>3.57</v>
      </c>
      <c r="F55" s="145">
        <v>4.0599999999999996</v>
      </c>
      <c r="G55" s="7"/>
      <c r="H55" s="6"/>
      <c r="I55" s="6"/>
      <c r="J55" s="6"/>
      <c r="K55" s="6"/>
      <c r="L55" s="6"/>
      <c r="M55" s="6"/>
      <c r="N55" s="6"/>
      <c r="O55" s="6"/>
      <c r="P55" s="6"/>
    </row>
    <row r="56" spans="2:16">
      <c r="B56" s="2" t="s">
        <v>304</v>
      </c>
      <c r="C56" s="2" t="s">
        <v>134</v>
      </c>
      <c r="D56" s="145">
        <v>2.72</v>
      </c>
      <c r="E56" s="145">
        <v>3.41</v>
      </c>
      <c r="F56" s="145">
        <v>3.86</v>
      </c>
      <c r="G56" s="7"/>
      <c r="H56" s="6"/>
      <c r="I56" s="6"/>
      <c r="J56" s="6"/>
      <c r="K56" s="6"/>
      <c r="L56" s="6"/>
      <c r="M56" s="6"/>
      <c r="N56" s="6"/>
      <c r="O56" s="6"/>
      <c r="P56" s="6"/>
    </row>
    <row r="57" spans="2:16">
      <c r="B57" s="2" t="s">
        <v>297</v>
      </c>
      <c r="C57" s="145">
        <v>2.35</v>
      </c>
      <c r="D57" s="145">
        <v>2.06</v>
      </c>
      <c r="E57" s="145">
        <v>2.7</v>
      </c>
      <c r="F57" s="145">
        <v>2.85</v>
      </c>
      <c r="G57" s="7"/>
      <c r="H57" s="6"/>
      <c r="I57" s="6"/>
      <c r="J57" s="6"/>
      <c r="K57" s="6"/>
      <c r="L57" s="6"/>
      <c r="M57" s="6"/>
      <c r="N57" s="6"/>
      <c r="O57" s="6"/>
      <c r="P57" s="6"/>
    </row>
    <row r="58" spans="2:16">
      <c r="B58" s="2" t="s">
        <v>299</v>
      </c>
      <c r="C58" s="145">
        <v>2.2400000000000002</v>
      </c>
      <c r="D58" s="145">
        <v>1.97</v>
      </c>
      <c r="E58" s="145">
        <v>2.58</v>
      </c>
      <c r="F58" s="145">
        <v>2.7</v>
      </c>
      <c r="G58" s="7"/>
      <c r="H58" s="6"/>
      <c r="I58" s="6"/>
      <c r="J58" s="6"/>
      <c r="K58" s="6"/>
      <c r="L58" s="6"/>
      <c r="M58" s="6"/>
      <c r="N58" s="6"/>
      <c r="O58" s="6"/>
      <c r="P58" s="6"/>
    </row>
    <row r="59" spans="2:16">
      <c r="B59" s="2" t="s">
        <v>305</v>
      </c>
      <c r="C59" s="145">
        <v>49726636</v>
      </c>
      <c r="D59" s="145">
        <v>49765672</v>
      </c>
      <c r="E59" s="145">
        <v>48891004</v>
      </c>
      <c r="F59" s="145">
        <v>48252095</v>
      </c>
      <c r="G59" s="7"/>
      <c r="H59" s="6"/>
      <c r="I59" s="6"/>
      <c r="J59" s="6"/>
      <c r="K59" s="6"/>
      <c r="L59" s="6"/>
      <c r="M59" s="6"/>
      <c r="N59" s="6"/>
      <c r="O59" s="6"/>
      <c r="P59" s="6"/>
    </row>
    <row r="60" spans="2:16">
      <c r="B60" s="2" t="s">
        <v>306</v>
      </c>
      <c r="C60" s="145">
        <v>52036940</v>
      </c>
      <c r="D60" s="145">
        <v>52108749</v>
      </c>
      <c r="E60" s="145">
        <v>51248577</v>
      </c>
      <c r="F60" s="145">
        <v>50877769</v>
      </c>
      <c r="G60" s="7"/>
      <c r="H60" s="6"/>
      <c r="I60" s="6"/>
      <c r="J60" s="6"/>
      <c r="K60" s="6"/>
      <c r="L60" s="6"/>
      <c r="M60" s="6"/>
      <c r="N60" s="6"/>
      <c r="O60" s="6"/>
      <c r="P60" s="6"/>
    </row>
    <row r="61" spans="2:16">
      <c r="B61" s="6"/>
      <c r="C61" s="7"/>
      <c r="D61" s="7"/>
      <c r="E61" s="7"/>
      <c r="F61" s="7"/>
      <c r="G61" s="7"/>
      <c r="H61" s="6"/>
      <c r="I61" s="6"/>
      <c r="J61" s="6"/>
      <c r="K61" s="6"/>
      <c r="L61" s="6"/>
      <c r="M61" s="6"/>
      <c r="N61" s="6"/>
      <c r="O61" s="6"/>
      <c r="P61" s="6"/>
    </row>
  </sheetData>
  <mergeCells count="1">
    <mergeCell ref="N3:P3"/>
  </mergeCells>
  <conditionalFormatting sqref="M7:M8 M19 M31 M34:M35">
    <cfRule type="cellIs" dxfId="12" priority="1" operator="notEqual">
      <formula>0.6545646468</formula>
    </cfRule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C00000"/>
  </sheetPr>
  <dimension ref="B1:P163"/>
  <sheetViews>
    <sheetView topLeftCell="A13" zoomScale="70" zoomScaleNormal="70" workbookViewId="0">
      <selection activeCell="F21" sqref="F21"/>
    </sheetView>
  </sheetViews>
  <sheetFormatPr defaultRowHeight="16.5"/>
  <cols>
    <col min="2" max="2" width="74" bestFit="1" customWidth="1"/>
    <col min="3" max="4" width="15.5703125" customWidth="1"/>
    <col min="5" max="5" width="16.5703125" customWidth="1"/>
    <col min="6" max="6" width="16.140625" customWidth="1"/>
    <col min="9" max="9" width="49.5703125" bestFit="1" customWidth="1"/>
    <col min="10" max="10" width="34.5703125" bestFit="1" customWidth="1"/>
    <col min="11" max="11" width="33.42578125" bestFit="1" customWidth="1"/>
    <col min="15" max="15" width="10.5703125" bestFit="1" customWidth="1"/>
    <col min="16" max="16" width="9.42578125" bestFit="1" customWidth="1"/>
  </cols>
  <sheetData>
    <row r="1" spans="2:16">
      <c r="B1" s="422" t="s">
        <v>1038</v>
      </c>
    </row>
    <row r="2" spans="2:16" ht="17.25" thickBot="1">
      <c r="B2" s="142" t="s">
        <v>307</v>
      </c>
      <c r="C2" s="142" t="s">
        <v>226</v>
      </c>
      <c r="D2" s="142" t="s">
        <v>227</v>
      </c>
      <c r="E2" s="142" t="s">
        <v>228</v>
      </c>
      <c r="F2" s="142">
        <v>2023</v>
      </c>
      <c r="G2" s="170"/>
      <c r="H2" s="141"/>
      <c r="I2" s="141"/>
      <c r="J2" s="141"/>
      <c r="K2" s="141"/>
      <c r="L2" s="141"/>
      <c r="M2" s="141"/>
      <c r="N2" s="141"/>
      <c r="O2" s="141"/>
      <c r="P2" s="141"/>
    </row>
    <row r="3" spans="2:16">
      <c r="B3" s="2" t="s">
        <v>308</v>
      </c>
      <c r="C3" s="145">
        <v>1012329000</v>
      </c>
      <c r="D3" s="145">
        <v>1106148000</v>
      </c>
      <c r="E3" s="145">
        <v>1164492000</v>
      </c>
      <c r="F3" s="145">
        <v>1504448000</v>
      </c>
      <c r="G3" s="24"/>
      <c r="H3" s="6"/>
      <c r="I3" s="171"/>
      <c r="J3" s="171"/>
      <c r="K3" s="171"/>
      <c r="L3" s="171"/>
      <c r="M3" s="171"/>
      <c r="N3" s="171"/>
      <c r="O3" s="1190"/>
      <c r="P3" s="1191"/>
    </row>
    <row r="4" spans="2:16">
      <c r="B4" s="2" t="s">
        <v>309</v>
      </c>
      <c r="C4" s="145">
        <v>428834000</v>
      </c>
      <c r="D4" s="145">
        <v>509907000</v>
      </c>
      <c r="E4" s="145">
        <v>568090000</v>
      </c>
      <c r="F4" s="145">
        <v>504089000</v>
      </c>
      <c r="G4" s="24"/>
      <c r="H4" s="6"/>
      <c r="I4" s="146" t="s">
        <v>231</v>
      </c>
      <c r="J4" s="147"/>
      <c r="K4" s="147"/>
      <c r="L4" s="147"/>
      <c r="M4" s="147"/>
      <c r="N4" s="147"/>
      <c r="O4" s="149"/>
      <c r="P4" s="149"/>
    </row>
    <row r="5" spans="2:16">
      <c r="B5" s="2" t="s">
        <v>310</v>
      </c>
      <c r="C5" s="145">
        <v>222570000</v>
      </c>
      <c r="D5" s="145">
        <v>309309000</v>
      </c>
      <c r="E5" s="145">
        <v>319551000</v>
      </c>
      <c r="F5" s="145">
        <v>228990000</v>
      </c>
      <c r="G5" s="24"/>
      <c r="H5" s="6"/>
      <c r="I5" s="151" t="s">
        <v>311</v>
      </c>
      <c r="J5" s="158"/>
      <c r="K5" s="158"/>
      <c r="L5" s="158"/>
      <c r="M5" s="158"/>
      <c r="N5" s="158"/>
      <c r="O5" s="158"/>
      <c r="P5" s="158"/>
    </row>
    <row r="6" spans="2:16">
      <c r="B6" s="2" t="s">
        <v>312</v>
      </c>
      <c r="C6" s="145">
        <v>96929000</v>
      </c>
      <c r="D6" s="145">
        <v>105633000</v>
      </c>
      <c r="E6" s="145">
        <v>108153000</v>
      </c>
      <c r="F6" s="145">
        <v>127898000</v>
      </c>
      <c r="G6" s="24"/>
      <c r="H6" s="6"/>
      <c r="I6" s="158"/>
      <c r="J6" s="152" t="s">
        <v>313</v>
      </c>
      <c r="K6" s="158"/>
      <c r="L6" s="158"/>
      <c r="M6" s="158"/>
      <c r="N6" s="158"/>
      <c r="O6" s="158"/>
      <c r="P6" s="158"/>
    </row>
    <row r="7" spans="2:16">
      <c r="B7" s="2" t="s">
        <v>314</v>
      </c>
      <c r="C7" s="145">
        <v>57523000</v>
      </c>
      <c r="D7" s="145">
        <v>73398000</v>
      </c>
      <c r="E7" s="145">
        <v>78578000</v>
      </c>
      <c r="F7" s="145">
        <v>80162000</v>
      </c>
      <c r="G7" s="24"/>
      <c r="H7" s="6"/>
      <c r="I7" s="158"/>
      <c r="J7" s="158"/>
      <c r="K7" s="152" t="s">
        <v>315</v>
      </c>
      <c r="L7" s="158"/>
      <c r="M7" s="158"/>
      <c r="N7" s="158"/>
      <c r="O7" s="154"/>
      <c r="P7" s="154"/>
    </row>
    <row r="8" spans="2:16">
      <c r="B8" s="2" t="s">
        <v>316</v>
      </c>
      <c r="C8" s="145">
        <v>39406000</v>
      </c>
      <c r="D8" s="145">
        <v>32235000</v>
      </c>
      <c r="E8" s="145">
        <v>29575000</v>
      </c>
      <c r="F8" s="145">
        <v>47736000</v>
      </c>
      <c r="G8" s="24"/>
      <c r="H8" s="6"/>
      <c r="I8" s="158"/>
      <c r="J8" s="158"/>
      <c r="K8" s="152" t="s">
        <v>317</v>
      </c>
      <c r="L8" s="158"/>
      <c r="M8" s="158"/>
      <c r="N8" s="158"/>
      <c r="O8" s="153"/>
      <c r="P8" s="153"/>
    </row>
    <row r="9" spans="2:16">
      <c r="B9" s="2" t="s">
        <v>318</v>
      </c>
      <c r="C9" s="145">
        <v>125641000</v>
      </c>
      <c r="D9" s="145">
        <v>203676000</v>
      </c>
      <c r="E9" s="145">
        <v>211398000</v>
      </c>
      <c r="F9" s="145">
        <v>101092000</v>
      </c>
      <c r="G9" s="24"/>
      <c r="H9" s="6"/>
      <c r="I9" s="158"/>
      <c r="J9" s="158"/>
      <c r="K9" s="152" t="s">
        <v>136</v>
      </c>
      <c r="L9" s="158"/>
      <c r="M9" s="158"/>
      <c r="N9" s="158"/>
      <c r="O9" s="153"/>
      <c r="P9" s="153"/>
    </row>
    <row r="10" spans="2:16">
      <c r="B10" s="2" t="s">
        <v>319</v>
      </c>
      <c r="C10" s="145">
        <v>125641000</v>
      </c>
      <c r="D10" s="145">
        <v>203676000</v>
      </c>
      <c r="E10" s="145">
        <v>211398000</v>
      </c>
      <c r="F10" s="145">
        <v>101092000</v>
      </c>
      <c r="G10" s="7"/>
      <c r="H10" s="6"/>
      <c r="I10" s="158"/>
      <c r="J10" s="158"/>
      <c r="K10" s="152" t="s">
        <v>320</v>
      </c>
      <c r="L10" s="158"/>
      <c r="M10" s="158"/>
      <c r="N10" s="158"/>
      <c r="O10" s="155"/>
      <c r="P10" s="155"/>
    </row>
    <row r="11" spans="2:16">
      <c r="B11" s="2" t="s">
        <v>321</v>
      </c>
      <c r="C11" s="145">
        <v>15833000</v>
      </c>
      <c r="D11" s="145">
        <v>12139000</v>
      </c>
      <c r="E11" s="145">
        <v>11643000</v>
      </c>
      <c r="F11" s="145">
        <v>9411000</v>
      </c>
      <c r="G11" s="7"/>
      <c r="H11" s="6"/>
      <c r="I11" s="158"/>
      <c r="J11" s="158" t="str">
        <f>"Total "&amp;J6</f>
        <v>Total Current Assets</v>
      </c>
      <c r="K11" s="158"/>
      <c r="L11" s="158"/>
      <c r="M11" s="158"/>
      <c r="N11" s="158"/>
      <c r="O11" s="172"/>
      <c r="P11" s="172"/>
    </row>
    <row r="12" spans="2:16">
      <c r="B12" s="2" t="s">
        <v>322</v>
      </c>
      <c r="C12" s="145">
        <v>13198000</v>
      </c>
      <c r="D12" s="145">
        <v>7974000</v>
      </c>
      <c r="E12" s="145">
        <v>10351000</v>
      </c>
      <c r="F12" s="145">
        <v>6373000</v>
      </c>
      <c r="G12" s="7"/>
      <c r="H12" s="6"/>
      <c r="I12" s="158"/>
      <c r="J12" s="158"/>
      <c r="K12" s="158"/>
      <c r="L12" s="158"/>
      <c r="M12" s="158"/>
      <c r="N12" s="158"/>
      <c r="O12" s="158"/>
      <c r="P12" s="158"/>
    </row>
    <row r="13" spans="2:16">
      <c r="B13" s="2" t="s">
        <v>323</v>
      </c>
      <c r="C13" s="145">
        <v>162463000</v>
      </c>
      <c r="D13" s="145">
        <v>164315000</v>
      </c>
      <c r="E13" s="145">
        <v>207601000</v>
      </c>
      <c r="F13" s="145">
        <v>239463000</v>
      </c>
      <c r="G13" s="7"/>
      <c r="H13" s="6"/>
      <c r="I13" s="158"/>
      <c r="J13" s="152" t="s">
        <v>324</v>
      </c>
      <c r="K13" s="158"/>
      <c r="L13" s="158"/>
      <c r="M13" s="158"/>
      <c r="N13" s="158"/>
      <c r="O13" s="154"/>
      <c r="P13" s="154"/>
    </row>
    <row r="14" spans="2:16">
      <c r="B14" s="2" t="s">
        <v>325</v>
      </c>
      <c r="C14" s="145">
        <v>89772000</v>
      </c>
      <c r="D14" s="145">
        <v>83118000</v>
      </c>
      <c r="E14" s="145">
        <v>100522000</v>
      </c>
      <c r="F14" s="145">
        <v>113107000</v>
      </c>
      <c r="G14" s="7"/>
      <c r="H14" s="6"/>
      <c r="I14" s="158"/>
      <c r="J14" s="152" t="s">
        <v>326</v>
      </c>
      <c r="K14" s="158"/>
      <c r="L14" s="158"/>
      <c r="M14" s="158"/>
      <c r="N14" s="158"/>
      <c r="O14" s="153"/>
      <c r="P14" s="153"/>
    </row>
    <row r="15" spans="2:16">
      <c r="B15" s="2" t="s">
        <v>327</v>
      </c>
      <c r="C15" s="145">
        <v>91362000</v>
      </c>
      <c r="D15" s="145">
        <v>85742000</v>
      </c>
      <c r="E15" s="145">
        <v>102920000</v>
      </c>
      <c r="F15" s="145">
        <v>115052000</v>
      </c>
      <c r="G15" s="7"/>
      <c r="H15" s="6"/>
      <c r="I15" s="158"/>
      <c r="J15" s="152" t="s">
        <v>328</v>
      </c>
      <c r="K15" s="158"/>
      <c r="L15" s="158"/>
      <c r="M15" s="158"/>
      <c r="N15" s="158"/>
      <c r="O15" s="153"/>
      <c r="P15" s="153"/>
    </row>
    <row r="16" spans="2:16">
      <c r="B16" s="2" t="s">
        <v>329</v>
      </c>
      <c r="C16" s="145">
        <v>-1590000</v>
      </c>
      <c r="D16" s="145">
        <v>-2624000</v>
      </c>
      <c r="E16" s="145">
        <v>-2398000</v>
      </c>
      <c r="F16" s="145">
        <v>-1945000</v>
      </c>
      <c r="G16" s="7"/>
      <c r="H16" s="6"/>
      <c r="I16" s="158"/>
      <c r="J16" s="152" t="s">
        <v>330</v>
      </c>
      <c r="K16" s="158"/>
      <c r="L16" s="158"/>
      <c r="M16" s="158"/>
      <c r="N16" s="158"/>
      <c r="O16" s="155"/>
      <c r="P16" s="155"/>
    </row>
    <row r="17" spans="2:16">
      <c r="B17" s="2" t="s">
        <v>331</v>
      </c>
      <c r="C17" s="145">
        <v>5953000</v>
      </c>
      <c r="D17" s="145">
        <v>5997000</v>
      </c>
      <c r="E17" s="145">
        <v>8833000</v>
      </c>
      <c r="F17" s="145">
        <v>11815000</v>
      </c>
      <c r="G17" s="160"/>
      <c r="H17" s="6"/>
      <c r="I17" s="156" t="str">
        <f>"TOTAL "&amp;I5</f>
        <v>TOTAL ASSETS</v>
      </c>
      <c r="J17" s="156"/>
      <c r="K17" s="156"/>
      <c r="L17" s="156"/>
      <c r="M17" s="156"/>
      <c r="N17" s="156"/>
      <c r="O17" s="157"/>
      <c r="P17" s="157"/>
    </row>
    <row r="18" spans="2:16">
      <c r="B18" s="2" t="s">
        <v>332</v>
      </c>
      <c r="C18" s="145">
        <v>65462000</v>
      </c>
      <c r="D18" s="145">
        <v>74156000</v>
      </c>
      <c r="E18" s="145">
        <v>97201000</v>
      </c>
      <c r="F18" s="145">
        <v>112357000</v>
      </c>
      <c r="G18" s="19"/>
      <c r="H18" s="6"/>
      <c r="I18" s="158"/>
      <c r="J18" s="158"/>
      <c r="K18" s="158"/>
      <c r="L18" s="158"/>
      <c r="M18" s="158"/>
      <c r="N18" s="158"/>
      <c r="O18" s="173"/>
      <c r="P18" s="173"/>
    </row>
    <row r="19" spans="2:16">
      <c r="B19" s="2" t="s">
        <v>333</v>
      </c>
      <c r="C19" s="145">
        <v>1276000</v>
      </c>
      <c r="D19" s="145">
        <v>1044000</v>
      </c>
      <c r="E19" s="145">
        <v>1045000</v>
      </c>
      <c r="F19" s="145">
        <v>2184000</v>
      </c>
      <c r="G19" s="7"/>
      <c r="H19" s="6"/>
      <c r="I19" s="151" t="s">
        <v>334</v>
      </c>
      <c r="J19" s="158"/>
      <c r="K19" s="158"/>
      <c r="L19" s="158"/>
      <c r="M19" s="158"/>
      <c r="N19" s="158"/>
      <c r="O19" s="158"/>
      <c r="P19" s="158"/>
    </row>
    <row r="20" spans="2:16">
      <c r="B20" s="2" t="s">
        <v>335</v>
      </c>
      <c r="C20" s="145">
        <v>8890000</v>
      </c>
      <c r="D20" s="145">
        <v>11928000</v>
      </c>
      <c r="E20" s="145">
        <v>13156000</v>
      </c>
      <c r="F20" s="145">
        <v>14974000</v>
      </c>
      <c r="G20" s="19"/>
      <c r="H20" s="6"/>
      <c r="I20" s="158"/>
      <c r="J20" s="152" t="s">
        <v>336</v>
      </c>
      <c r="K20" s="158"/>
      <c r="L20" s="158"/>
      <c r="M20" s="158"/>
      <c r="N20" s="158"/>
      <c r="O20" s="158"/>
      <c r="P20" s="159"/>
    </row>
    <row r="21" spans="2:16">
      <c r="B21" s="2" t="s">
        <v>337</v>
      </c>
      <c r="C21" s="145">
        <v>5880000</v>
      </c>
      <c r="D21" s="145">
        <v>4242000</v>
      </c>
      <c r="E21" s="145">
        <v>5788000</v>
      </c>
      <c r="F21" s="145">
        <v>4878000</v>
      </c>
      <c r="G21" s="7"/>
      <c r="H21" s="6"/>
      <c r="I21" s="158"/>
      <c r="J21" s="158"/>
      <c r="K21" s="152" t="s">
        <v>338</v>
      </c>
      <c r="L21" s="158"/>
      <c r="M21" s="158"/>
      <c r="N21" s="158"/>
      <c r="O21" s="154"/>
      <c r="P21" s="154"/>
    </row>
    <row r="22" spans="2:16">
      <c r="B22" s="2" t="s">
        <v>339</v>
      </c>
      <c r="C22" s="2" t="s">
        <v>134</v>
      </c>
      <c r="D22" s="2" t="s">
        <v>134</v>
      </c>
      <c r="E22" s="2" t="s">
        <v>134</v>
      </c>
      <c r="F22" s="2" t="s">
        <v>134</v>
      </c>
      <c r="G22" s="6"/>
      <c r="H22" s="6"/>
      <c r="I22" s="158"/>
      <c r="J22" s="158"/>
      <c r="K22" s="152" t="s">
        <v>340</v>
      </c>
      <c r="L22" s="158"/>
      <c r="M22" s="158"/>
      <c r="N22" s="158"/>
      <c r="O22" s="153"/>
      <c r="P22" s="153"/>
    </row>
    <row r="23" spans="2:16">
      <c r="B23" s="2" t="s">
        <v>341</v>
      </c>
      <c r="C23" s="145">
        <v>583495000</v>
      </c>
      <c r="D23" s="145">
        <v>596241000</v>
      </c>
      <c r="E23" s="145">
        <v>596402000</v>
      </c>
      <c r="F23" s="145">
        <v>1000359000</v>
      </c>
      <c r="G23" s="150"/>
      <c r="H23" s="6"/>
      <c r="I23" s="158"/>
      <c r="J23" s="158"/>
      <c r="K23" s="152" t="s">
        <v>124</v>
      </c>
      <c r="L23" s="158"/>
      <c r="M23" s="158"/>
      <c r="N23" s="158"/>
      <c r="O23" s="153"/>
      <c r="P23" s="153"/>
    </row>
    <row r="24" spans="2:16">
      <c r="B24" s="2" t="s">
        <v>342</v>
      </c>
      <c r="C24" s="145">
        <v>216082000</v>
      </c>
      <c r="D24" s="145">
        <v>219038000</v>
      </c>
      <c r="E24" s="145">
        <v>191880000</v>
      </c>
      <c r="F24" s="145">
        <v>237911000</v>
      </c>
      <c r="G24" s="7"/>
      <c r="H24" s="6"/>
      <c r="I24" s="158"/>
      <c r="J24" s="158"/>
      <c r="K24" s="152" t="s">
        <v>343</v>
      </c>
      <c r="L24" s="158"/>
      <c r="M24" s="158"/>
      <c r="N24" s="158"/>
      <c r="O24" s="153"/>
      <c r="P24" s="153"/>
    </row>
    <row r="25" spans="2:16">
      <c r="B25" s="2" t="s">
        <v>344</v>
      </c>
      <c r="C25" s="145">
        <v>421530000</v>
      </c>
      <c r="D25" s="145">
        <v>470865000</v>
      </c>
      <c r="E25" s="145">
        <v>477430000</v>
      </c>
      <c r="F25" s="145">
        <v>543414000</v>
      </c>
      <c r="G25" s="24"/>
      <c r="H25" s="6"/>
      <c r="I25" s="158"/>
      <c r="J25" s="158"/>
      <c r="K25" s="152" t="s">
        <v>345</v>
      </c>
      <c r="L25" s="158"/>
      <c r="M25" s="158"/>
      <c r="N25" s="158"/>
      <c r="O25" s="153"/>
      <c r="P25" s="153"/>
    </row>
    <row r="26" spans="2:16">
      <c r="B26" s="2" t="s">
        <v>346</v>
      </c>
      <c r="C26" s="145">
        <v>264369000</v>
      </c>
      <c r="D26" s="145">
        <v>304854000</v>
      </c>
      <c r="E26" s="145">
        <v>302480000</v>
      </c>
      <c r="F26" s="145">
        <v>358080000</v>
      </c>
      <c r="G26" s="7"/>
      <c r="H26" s="6"/>
      <c r="I26" s="158"/>
      <c r="J26" s="158"/>
      <c r="K26" s="152" t="s">
        <v>347</v>
      </c>
      <c r="L26" s="158"/>
      <c r="M26" s="158"/>
      <c r="N26" s="158"/>
      <c r="O26" s="153"/>
      <c r="P26" s="153"/>
    </row>
    <row r="27" spans="2:16">
      <c r="B27" s="2" t="s">
        <v>348</v>
      </c>
      <c r="C27" s="145">
        <v>9602000</v>
      </c>
      <c r="D27" s="145">
        <v>9733000</v>
      </c>
      <c r="E27" s="145">
        <v>9591000</v>
      </c>
      <c r="F27" s="145">
        <v>9289000</v>
      </c>
      <c r="G27" s="24"/>
      <c r="H27" s="6"/>
      <c r="I27" s="158"/>
      <c r="J27" s="158"/>
      <c r="K27" s="152" t="s">
        <v>349</v>
      </c>
      <c r="L27" s="158"/>
      <c r="M27" s="158"/>
      <c r="N27" s="158"/>
      <c r="O27" s="155"/>
      <c r="P27" s="155"/>
    </row>
    <row r="28" spans="2:16">
      <c r="B28" s="2" t="s">
        <v>350</v>
      </c>
      <c r="C28" s="145">
        <v>254767000</v>
      </c>
      <c r="D28" s="145">
        <v>295121000</v>
      </c>
      <c r="E28" s="145">
        <v>292889000</v>
      </c>
      <c r="F28" s="145">
        <v>348791000</v>
      </c>
      <c r="G28" s="7"/>
      <c r="H28" s="6"/>
      <c r="I28" s="158"/>
      <c r="J28" s="158" t="str">
        <f>"Total "&amp;J20</f>
        <v>Total Current Liabilities</v>
      </c>
      <c r="K28" s="158"/>
      <c r="L28" s="158"/>
      <c r="M28" s="158"/>
      <c r="N28" s="158"/>
      <c r="O28" s="172"/>
      <c r="P28" s="172"/>
    </row>
    <row r="29" spans="2:16">
      <c r="B29" s="2" t="s">
        <v>351</v>
      </c>
      <c r="C29" s="145">
        <v>154178000</v>
      </c>
      <c r="D29" s="145">
        <v>164739000</v>
      </c>
      <c r="E29" s="145">
        <v>171853000</v>
      </c>
      <c r="F29" s="145">
        <v>169346000</v>
      </c>
      <c r="G29" s="7"/>
      <c r="H29" s="6"/>
      <c r="I29" s="158"/>
      <c r="J29" s="158"/>
      <c r="K29" s="158"/>
      <c r="L29" s="158"/>
      <c r="M29" s="158"/>
      <c r="N29" s="158"/>
      <c r="O29" s="158"/>
      <c r="P29" s="158"/>
    </row>
    <row r="30" spans="2:16">
      <c r="B30" s="2" t="s">
        <v>352</v>
      </c>
      <c r="C30" s="145">
        <v>152825000</v>
      </c>
      <c r="D30" s="145">
        <v>163224000</v>
      </c>
      <c r="E30" s="145">
        <v>170256000</v>
      </c>
      <c r="F30" s="145">
        <v>167808000</v>
      </c>
      <c r="G30" s="7"/>
      <c r="H30" s="6"/>
      <c r="I30" s="158"/>
      <c r="J30" s="152" t="s">
        <v>353</v>
      </c>
      <c r="K30" s="158"/>
      <c r="L30" s="158"/>
      <c r="M30" s="158"/>
      <c r="N30" s="158"/>
      <c r="O30" s="154"/>
      <c r="P30" s="154"/>
    </row>
    <row r="31" spans="2:16">
      <c r="B31" s="2" t="s">
        <v>354</v>
      </c>
      <c r="C31" s="145">
        <v>1353000</v>
      </c>
      <c r="D31" s="145">
        <v>1515000</v>
      </c>
      <c r="E31" s="145">
        <v>1597000</v>
      </c>
      <c r="F31" s="145">
        <v>1538000</v>
      </c>
      <c r="G31" s="7"/>
      <c r="H31" s="6"/>
      <c r="I31" s="158"/>
      <c r="J31" s="152" t="s">
        <v>355</v>
      </c>
      <c r="K31" s="158"/>
      <c r="L31" s="158"/>
      <c r="M31" s="158"/>
      <c r="N31" s="158"/>
      <c r="O31" s="153"/>
      <c r="P31" s="153"/>
    </row>
    <row r="32" spans="2:16">
      <c r="B32" s="2" t="s">
        <v>356</v>
      </c>
      <c r="C32" s="145">
        <v>2951000</v>
      </c>
      <c r="D32" s="145">
        <v>1247000</v>
      </c>
      <c r="E32" s="145">
        <v>3073000</v>
      </c>
      <c r="F32" s="145">
        <v>15965000</v>
      </c>
      <c r="G32" s="7"/>
      <c r="H32" s="6"/>
      <c r="I32" s="158"/>
      <c r="J32" s="152" t="s">
        <v>357</v>
      </c>
      <c r="K32" s="158"/>
      <c r="L32" s="158"/>
      <c r="M32" s="158"/>
      <c r="N32" s="158"/>
      <c r="O32" s="153"/>
      <c r="P32" s="153"/>
    </row>
    <row r="33" spans="2:16">
      <c r="B33" s="2" t="s">
        <v>358</v>
      </c>
      <c r="C33" s="145">
        <v>32000</v>
      </c>
      <c r="D33" s="145">
        <v>25000</v>
      </c>
      <c r="E33" s="145">
        <v>24000</v>
      </c>
      <c r="F33" s="145">
        <v>23000</v>
      </c>
      <c r="G33" s="24"/>
      <c r="H33" s="6"/>
      <c r="I33" s="158"/>
      <c r="J33" s="152" t="s">
        <v>257</v>
      </c>
      <c r="K33" s="158"/>
      <c r="L33" s="158"/>
      <c r="M33" s="158"/>
      <c r="N33" s="158"/>
      <c r="O33" s="155"/>
      <c r="P33" s="155"/>
    </row>
    <row r="34" spans="2:16">
      <c r="B34" s="2" t="s">
        <v>359</v>
      </c>
      <c r="C34" s="145">
        <v>-205448000</v>
      </c>
      <c r="D34" s="145">
        <v>-251827000</v>
      </c>
      <c r="E34" s="145">
        <v>-285550000</v>
      </c>
      <c r="F34" s="145">
        <v>-305503000</v>
      </c>
      <c r="G34" s="7"/>
      <c r="H34" s="6"/>
      <c r="I34" s="156" t="str">
        <f>"TOTAL "&amp;I19</f>
        <v>TOTAL LIABILITIES</v>
      </c>
      <c r="J34" s="156"/>
      <c r="K34" s="156"/>
      <c r="L34" s="156"/>
      <c r="M34" s="156"/>
      <c r="N34" s="156"/>
      <c r="O34" s="157"/>
      <c r="P34" s="157"/>
    </row>
    <row r="35" spans="2:16">
      <c r="B35" s="2" t="s">
        <v>360</v>
      </c>
      <c r="C35" s="145">
        <v>-205448000</v>
      </c>
      <c r="D35" s="145">
        <v>-251827000</v>
      </c>
      <c r="E35" s="145">
        <v>-285550000</v>
      </c>
      <c r="F35" s="145">
        <v>-305503000</v>
      </c>
      <c r="G35" s="7"/>
      <c r="H35" s="6"/>
      <c r="I35" s="158"/>
      <c r="J35" s="158"/>
      <c r="K35" s="158"/>
      <c r="L35" s="158"/>
      <c r="M35" s="158"/>
      <c r="N35" s="158"/>
      <c r="O35" s="158"/>
      <c r="P35" s="158"/>
    </row>
    <row r="36" spans="2:16">
      <c r="B36" s="2" t="s">
        <v>361</v>
      </c>
      <c r="C36" s="145">
        <v>-80687000</v>
      </c>
      <c r="D36" s="145">
        <v>-117010000</v>
      </c>
      <c r="E36" s="145">
        <v>-143641000</v>
      </c>
      <c r="F36" s="145">
        <v>-167314000</v>
      </c>
      <c r="G36" s="7"/>
      <c r="H36" s="6"/>
      <c r="I36" s="151" t="s">
        <v>362</v>
      </c>
      <c r="J36" s="158"/>
      <c r="K36" s="158"/>
      <c r="L36" s="158"/>
      <c r="M36" s="158"/>
      <c r="N36" s="158"/>
      <c r="O36" s="158"/>
      <c r="P36" s="158"/>
    </row>
    <row r="37" spans="2:16">
      <c r="B37" s="2" t="s">
        <v>363</v>
      </c>
      <c r="C37" s="145">
        <v>-5385000</v>
      </c>
      <c r="D37" s="145">
        <v>-5945000</v>
      </c>
      <c r="E37" s="145">
        <v>-6338000</v>
      </c>
      <c r="F37" s="145">
        <v>-6603000</v>
      </c>
      <c r="G37" s="7"/>
      <c r="H37" s="6"/>
      <c r="I37" s="158"/>
      <c r="J37" s="152" t="s">
        <v>364</v>
      </c>
      <c r="K37" s="158"/>
      <c r="L37" s="158"/>
      <c r="M37" s="158"/>
      <c r="N37" s="158"/>
      <c r="O37" s="154"/>
      <c r="P37" s="154"/>
    </row>
    <row r="38" spans="2:16">
      <c r="B38" s="2" t="s">
        <v>365</v>
      </c>
      <c r="C38" s="145">
        <v>-75302000</v>
      </c>
      <c r="D38" s="145">
        <v>-111065000</v>
      </c>
      <c r="E38" s="145">
        <v>-137303000</v>
      </c>
      <c r="F38" s="145">
        <v>-160711000</v>
      </c>
      <c r="G38" s="7"/>
      <c r="H38" s="6"/>
      <c r="I38" s="158"/>
      <c r="J38" s="152" t="s">
        <v>366</v>
      </c>
      <c r="K38" s="158"/>
      <c r="L38" s="158"/>
      <c r="M38" s="158"/>
      <c r="N38" s="158"/>
      <c r="O38" s="153"/>
      <c r="P38" s="153"/>
    </row>
    <row r="39" spans="2:16">
      <c r="B39" s="2" t="s">
        <v>367</v>
      </c>
      <c r="C39" s="145">
        <v>-124749000</v>
      </c>
      <c r="D39" s="145">
        <v>-134800000</v>
      </c>
      <c r="E39" s="145">
        <v>-141890000</v>
      </c>
      <c r="F39" s="145">
        <v>-138170000</v>
      </c>
      <c r="G39" s="7"/>
      <c r="H39" s="6"/>
      <c r="I39" s="158"/>
      <c r="J39" s="152" t="s">
        <v>368</v>
      </c>
      <c r="K39" s="158"/>
      <c r="L39" s="158"/>
      <c r="M39" s="158"/>
      <c r="N39" s="158"/>
      <c r="O39" s="153"/>
      <c r="P39" s="153"/>
    </row>
    <row r="40" spans="2:16">
      <c r="B40" s="2" t="s">
        <v>369</v>
      </c>
      <c r="C40" s="145">
        <v>-123956000</v>
      </c>
      <c r="D40" s="145">
        <v>-133597000</v>
      </c>
      <c r="E40" s="145">
        <v>-140580000</v>
      </c>
      <c r="F40" s="145">
        <v>-137027000</v>
      </c>
      <c r="G40" s="24"/>
      <c r="H40" s="6"/>
      <c r="I40" s="158"/>
      <c r="J40" s="152" t="s">
        <v>370</v>
      </c>
      <c r="K40" s="158"/>
      <c r="L40" s="158"/>
      <c r="M40" s="158"/>
      <c r="N40" s="158"/>
      <c r="O40" s="155"/>
      <c r="P40" s="155"/>
    </row>
    <row r="41" spans="2:16">
      <c r="B41" s="2" t="s">
        <v>371</v>
      </c>
      <c r="C41" s="145">
        <v>-793000</v>
      </c>
      <c r="D41" s="145">
        <v>-1203000</v>
      </c>
      <c r="E41" s="145">
        <v>-1310000</v>
      </c>
      <c r="F41" s="145">
        <v>-1143000</v>
      </c>
      <c r="G41" s="7"/>
      <c r="H41" s="6"/>
      <c r="I41" s="156" t="str">
        <f>"TOTAL "&amp;I36</f>
        <v>TOTAL SHAREHOLDERS' EQUITY</v>
      </c>
      <c r="J41" s="156"/>
      <c r="K41" s="156"/>
      <c r="L41" s="156"/>
      <c r="M41" s="156"/>
      <c r="N41" s="156"/>
      <c r="O41" s="157"/>
      <c r="P41" s="157"/>
    </row>
    <row r="42" spans="2:16">
      <c r="B42" s="2" t="s">
        <v>372</v>
      </c>
      <c r="C42" s="145">
        <v>-12000</v>
      </c>
      <c r="D42" s="145">
        <v>-17000</v>
      </c>
      <c r="E42" s="145">
        <v>-19000</v>
      </c>
      <c r="F42" s="145">
        <v>-19000</v>
      </c>
      <c r="G42" s="7"/>
      <c r="H42" s="6"/>
      <c r="I42" s="158"/>
      <c r="J42" s="158"/>
      <c r="K42" s="158"/>
      <c r="L42" s="158"/>
      <c r="M42" s="158"/>
      <c r="N42" s="158"/>
      <c r="O42" s="158"/>
      <c r="P42" s="158"/>
    </row>
    <row r="43" spans="2:16">
      <c r="B43" s="2" t="s">
        <v>373</v>
      </c>
      <c r="C43" s="145">
        <v>191404000</v>
      </c>
      <c r="D43" s="145">
        <v>189120000</v>
      </c>
      <c r="E43" s="145">
        <v>188958000</v>
      </c>
      <c r="F43" s="145">
        <v>532865000</v>
      </c>
      <c r="G43" s="7"/>
      <c r="H43" s="6"/>
      <c r="I43" s="156" t="str">
        <f>I34&amp;" &amp; "&amp;I36</f>
        <v>TOTAL LIABILITIES &amp; SHAREHOLDERS' EQUITY</v>
      </c>
      <c r="J43" s="156"/>
      <c r="K43" s="156"/>
      <c r="L43" s="156"/>
      <c r="M43" s="156"/>
      <c r="N43" s="156"/>
      <c r="O43" s="157"/>
      <c r="P43" s="157"/>
    </row>
    <row r="44" spans="2:16">
      <c r="B44" s="2" t="s">
        <v>374</v>
      </c>
      <c r="C44" s="145">
        <v>488031000</v>
      </c>
      <c r="D44" s="145">
        <v>507782000</v>
      </c>
      <c r="E44" s="145">
        <v>513315000</v>
      </c>
      <c r="F44" s="145">
        <v>867265000</v>
      </c>
      <c r="G44" s="7"/>
      <c r="H44" s="6"/>
      <c r="I44" s="158"/>
      <c r="J44" s="158"/>
      <c r="K44" s="158"/>
      <c r="L44" s="158"/>
      <c r="M44" s="158"/>
      <c r="N44" s="158"/>
      <c r="O44" s="172"/>
      <c r="P44" s="172"/>
    </row>
    <row r="45" spans="2:16">
      <c r="B45" s="2" t="s">
        <v>375</v>
      </c>
      <c r="C45" s="145">
        <v>146824000</v>
      </c>
      <c r="D45" s="145">
        <v>152459000</v>
      </c>
      <c r="E45" s="145">
        <v>150684000</v>
      </c>
      <c r="F45" s="145">
        <v>379134000</v>
      </c>
      <c r="G45" s="7"/>
      <c r="H45" s="6"/>
      <c r="I45" s="168" t="s">
        <v>376</v>
      </c>
      <c r="J45" s="167"/>
      <c r="K45" s="167"/>
      <c r="L45" s="167"/>
      <c r="M45" s="167"/>
      <c r="N45" s="167"/>
      <c r="O45" s="174"/>
      <c r="P45" s="174"/>
    </row>
    <row r="46" spans="2:16">
      <c r="B46" s="2" t="s">
        <v>377</v>
      </c>
      <c r="C46" s="145">
        <v>341207000</v>
      </c>
      <c r="D46" s="145">
        <v>355323000</v>
      </c>
      <c r="E46" s="145">
        <v>362631000</v>
      </c>
      <c r="F46" s="145">
        <v>488131000</v>
      </c>
      <c r="G46" s="7"/>
      <c r="H46" s="6"/>
      <c r="I46" s="158"/>
      <c r="J46" s="158"/>
      <c r="K46" s="158"/>
      <c r="L46" s="158"/>
      <c r="M46" s="158"/>
      <c r="N46" s="158"/>
      <c r="O46" s="158"/>
      <c r="P46" s="158"/>
    </row>
    <row r="47" spans="2:16">
      <c r="B47" s="2" t="s">
        <v>378</v>
      </c>
      <c r="C47" s="145">
        <v>1038000</v>
      </c>
      <c r="D47" s="145">
        <v>1041000</v>
      </c>
      <c r="E47" s="145">
        <v>1038000</v>
      </c>
      <c r="F47" s="145">
        <v>1040000</v>
      </c>
      <c r="G47" s="7"/>
      <c r="H47" s="6"/>
      <c r="I47" s="158" t="s">
        <v>931</v>
      </c>
      <c r="J47" s="158"/>
      <c r="K47" s="158"/>
      <c r="L47" s="158"/>
      <c r="M47" s="158"/>
      <c r="N47" s="158"/>
      <c r="O47" s="172"/>
      <c r="P47" s="172"/>
    </row>
    <row r="48" spans="2:16">
      <c r="B48" s="2" t="s">
        <v>379</v>
      </c>
      <c r="C48" s="145">
        <v>49565000</v>
      </c>
      <c r="D48" s="145">
        <v>59139000</v>
      </c>
      <c r="E48" s="145">
        <v>69166000</v>
      </c>
      <c r="F48" s="145">
        <v>75011000</v>
      </c>
      <c r="G48" s="7"/>
      <c r="H48" s="6"/>
      <c r="I48" s="158" t="s">
        <v>931</v>
      </c>
      <c r="J48" s="158"/>
      <c r="K48" s="158"/>
      <c r="L48" s="158"/>
      <c r="M48" s="158"/>
      <c r="N48" s="158"/>
      <c r="O48" s="159"/>
      <c r="P48" s="159"/>
    </row>
    <row r="49" spans="2:16">
      <c r="B49" s="2" t="s">
        <v>380</v>
      </c>
      <c r="C49" s="145">
        <v>4068000</v>
      </c>
      <c r="D49" s="145">
        <v>4511000</v>
      </c>
      <c r="E49" s="145">
        <v>4312000</v>
      </c>
      <c r="F49" s="145">
        <v>4064000</v>
      </c>
      <c r="G49" s="7"/>
      <c r="H49" s="6"/>
      <c r="I49" s="158" t="s">
        <v>931</v>
      </c>
      <c r="J49" s="158"/>
      <c r="K49" s="158"/>
      <c r="L49" s="158"/>
      <c r="M49" s="158"/>
      <c r="N49" s="158"/>
      <c r="O49" s="159"/>
      <c r="P49" s="159"/>
    </row>
    <row r="50" spans="2:16">
      <c r="B50" s="2" t="s">
        <v>381</v>
      </c>
      <c r="C50" s="145">
        <v>275641000</v>
      </c>
      <c r="D50" s="145">
        <v>279636000</v>
      </c>
      <c r="E50" s="145">
        <v>277215000</v>
      </c>
      <c r="F50" s="145">
        <v>390222000</v>
      </c>
      <c r="G50" s="7"/>
      <c r="H50" s="6"/>
      <c r="I50" s="158" t="s">
        <v>382</v>
      </c>
      <c r="J50" s="158"/>
      <c r="K50" s="158"/>
      <c r="L50" s="158"/>
      <c r="M50" s="158"/>
      <c r="N50" s="158"/>
      <c r="O50" s="159"/>
      <c r="P50" s="159"/>
    </row>
    <row r="51" spans="2:16">
      <c r="B51" s="2" t="s">
        <v>383</v>
      </c>
      <c r="C51" s="145">
        <v>10895000</v>
      </c>
      <c r="D51" s="145">
        <v>10996000</v>
      </c>
      <c r="E51" s="145">
        <v>10900000</v>
      </c>
      <c r="F51" s="145">
        <v>17794000</v>
      </c>
      <c r="G51" s="7"/>
      <c r="H51" s="6"/>
      <c r="I51" s="158"/>
      <c r="J51" s="158"/>
      <c r="K51" s="158"/>
      <c r="L51" s="158"/>
      <c r="M51" s="158"/>
      <c r="N51" s="158"/>
      <c r="O51" s="158"/>
      <c r="P51" s="158"/>
    </row>
    <row r="52" spans="2:16">
      <c r="B52" s="2" t="s">
        <v>384</v>
      </c>
      <c r="C52" s="145">
        <v>-296627000</v>
      </c>
      <c r="D52" s="145">
        <v>-318662000</v>
      </c>
      <c r="E52" s="145">
        <v>-324357000</v>
      </c>
      <c r="F52" s="145">
        <v>-334400000</v>
      </c>
      <c r="G52" s="7"/>
      <c r="H52" s="175"/>
      <c r="I52" s="152" t="s">
        <v>385</v>
      </c>
      <c r="J52" s="158"/>
      <c r="K52" s="158"/>
      <c r="L52" s="158"/>
      <c r="M52" s="158"/>
      <c r="N52" s="158"/>
      <c r="O52" s="176"/>
      <c r="P52" s="176"/>
    </row>
    <row r="53" spans="2:16">
      <c r="B53" s="2" t="s">
        <v>386</v>
      </c>
      <c r="C53" s="145">
        <v>-271107000</v>
      </c>
      <c r="D53" s="145">
        <v>-290182000</v>
      </c>
      <c r="E53" s="145">
        <v>-297210000</v>
      </c>
      <c r="F53" s="145">
        <v>-308911000</v>
      </c>
      <c r="G53" s="7"/>
      <c r="H53" s="6"/>
      <c r="I53" s="152" t="s">
        <v>387</v>
      </c>
      <c r="J53" s="158"/>
      <c r="K53" s="158"/>
      <c r="L53" s="158"/>
      <c r="M53" s="158"/>
      <c r="N53" s="158"/>
      <c r="O53" s="176"/>
      <c r="P53" s="176"/>
    </row>
    <row r="54" spans="2:16">
      <c r="B54" s="2" t="s">
        <v>388</v>
      </c>
      <c r="C54" s="145">
        <v>-271107000</v>
      </c>
      <c r="D54" s="145">
        <v>-290182000</v>
      </c>
      <c r="E54" s="145">
        <v>-297210000</v>
      </c>
      <c r="F54" s="145">
        <v>-308911000</v>
      </c>
      <c r="G54" s="7"/>
      <c r="H54" s="6"/>
      <c r="I54" s="152" t="s">
        <v>389</v>
      </c>
      <c r="J54" s="158"/>
      <c r="K54" s="158"/>
      <c r="L54" s="158"/>
      <c r="M54" s="158"/>
      <c r="N54" s="158"/>
      <c r="O54" s="162"/>
      <c r="P54" s="162"/>
    </row>
    <row r="55" spans="2:16">
      <c r="B55" s="2" t="s">
        <v>390</v>
      </c>
      <c r="C55" s="145">
        <v>-638000</v>
      </c>
      <c r="D55" s="145">
        <v>-641000</v>
      </c>
      <c r="E55" s="145">
        <v>-638000</v>
      </c>
      <c r="F55" s="145">
        <v>-631000</v>
      </c>
      <c r="G55" s="7"/>
      <c r="H55" s="6"/>
      <c r="I55" s="152" t="s">
        <v>391</v>
      </c>
      <c r="J55" s="158"/>
      <c r="K55" s="158"/>
      <c r="L55" s="158"/>
      <c r="M55" s="158"/>
      <c r="N55" s="158"/>
      <c r="O55" s="162"/>
      <c r="P55" s="162"/>
    </row>
    <row r="56" spans="2:16">
      <c r="B56" s="2" t="s">
        <v>392</v>
      </c>
      <c r="C56" s="145">
        <v>-31034000</v>
      </c>
      <c r="D56" s="145">
        <v>-39281000</v>
      </c>
      <c r="E56" s="145">
        <v>-45760000</v>
      </c>
      <c r="F56" s="145">
        <v>-48810000</v>
      </c>
      <c r="G56" s="7"/>
      <c r="H56" s="6"/>
      <c r="I56" s="152" t="s">
        <v>393</v>
      </c>
      <c r="J56" s="158"/>
      <c r="K56" s="158"/>
      <c r="L56" s="158"/>
      <c r="M56" s="158"/>
      <c r="N56" s="158"/>
      <c r="O56" s="176"/>
      <c r="P56" s="176"/>
    </row>
    <row r="57" spans="2:16">
      <c r="B57" s="2" t="s">
        <v>394</v>
      </c>
      <c r="C57" s="145">
        <v>-4068000</v>
      </c>
      <c r="D57" s="145">
        <v>-4511000</v>
      </c>
      <c r="E57" s="145">
        <v>-4312000</v>
      </c>
      <c r="F57" s="145">
        <v>-4064000</v>
      </c>
      <c r="G57" s="160"/>
      <c r="H57" s="6"/>
      <c r="I57" s="168" t="s">
        <v>395</v>
      </c>
      <c r="J57" s="167"/>
      <c r="K57" s="167"/>
      <c r="L57" s="167"/>
      <c r="M57" s="167"/>
      <c r="N57" s="167"/>
      <c r="O57" s="169"/>
      <c r="P57" s="169"/>
    </row>
    <row r="58" spans="2:16">
      <c r="B58" s="2" t="s">
        <v>396</v>
      </c>
      <c r="C58" s="145">
        <v>-226058000</v>
      </c>
      <c r="D58" s="145">
        <v>-234753000</v>
      </c>
      <c r="E58" s="145">
        <v>-235600000</v>
      </c>
      <c r="F58" s="145">
        <v>-243318000</v>
      </c>
      <c r="G58" s="160"/>
      <c r="H58" s="6"/>
      <c r="I58" s="177" t="s">
        <v>397</v>
      </c>
      <c r="J58" s="158"/>
      <c r="K58" s="158"/>
      <c r="L58" s="158"/>
      <c r="M58" s="158"/>
      <c r="N58" s="158"/>
      <c r="O58" s="158"/>
      <c r="P58" s="158"/>
    </row>
    <row r="59" spans="2:16">
      <c r="B59" s="2" t="s">
        <v>398</v>
      </c>
      <c r="C59" s="145">
        <v>-9309000</v>
      </c>
      <c r="D59" s="145">
        <v>-10996000</v>
      </c>
      <c r="E59" s="145">
        <v>-10900000</v>
      </c>
      <c r="F59" s="145">
        <v>-12088000</v>
      </c>
      <c r="G59" s="150"/>
      <c r="H59" s="6"/>
      <c r="I59" s="177"/>
      <c r="J59" s="158"/>
      <c r="K59" s="158"/>
      <c r="L59" s="158"/>
      <c r="M59" s="158"/>
      <c r="N59" s="158"/>
      <c r="O59" s="158"/>
      <c r="P59" s="158"/>
    </row>
    <row r="60" spans="2:16">
      <c r="B60" s="2" t="s">
        <v>399</v>
      </c>
      <c r="C60" s="145">
        <v>-25520000</v>
      </c>
      <c r="D60" s="145">
        <v>-28480000</v>
      </c>
      <c r="E60" s="145">
        <v>-27147000</v>
      </c>
      <c r="F60" s="145">
        <v>-25489000</v>
      </c>
      <c r="G60" s="7"/>
      <c r="H60" s="6"/>
      <c r="I60" s="158"/>
      <c r="J60" s="158"/>
      <c r="K60" s="158"/>
      <c r="L60" s="158"/>
      <c r="M60" s="158"/>
      <c r="N60" s="158"/>
      <c r="O60" s="158"/>
      <c r="P60" s="158"/>
    </row>
    <row r="61" spans="2:16">
      <c r="B61" s="2" t="s">
        <v>400</v>
      </c>
      <c r="C61" s="145">
        <v>-25520000</v>
      </c>
      <c r="D61" s="145">
        <v>-28480000</v>
      </c>
      <c r="E61" s="145">
        <v>-27147000</v>
      </c>
      <c r="F61" s="145">
        <v>-25489000</v>
      </c>
      <c r="G61" s="7"/>
      <c r="H61" s="6"/>
      <c r="I61" s="158"/>
      <c r="J61" s="158"/>
      <c r="K61" s="158"/>
      <c r="L61" s="158"/>
      <c r="M61" s="158"/>
      <c r="N61" s="158"/>
      <c r="O61" s="158"/>
      <c r="P61" s="158"/>
    </row>
    <row r="62" spans="2:16">
      <c r="B62" s="2" t="s">
        <v>401</v>
      </c>
      <c r="C62" s="145">
        <v>80135000</v>
      </c>
      <c r="D62" s="145">
        <v>85875000</v>
      </c>
      <c r="E62" s="145">
        <v>93442000</v>
      </c>
      <c r="F62" s="145">
        <v>75948000</v>
      </c>
      <c r="G62" s="7"/>
      <c r="H62" s="6"/>
      <c r="I62" s="158"/>
      <c r="J62" s="158"/>
      <c r="K62" s="158"/>
      <c r="L62" s="158"/>
      <c r="M62" s="158"/>
      <c r="N62" s="158"/>
      <c r="O62" s="158"/>
      <c r="P62" s="158"/>
    </row>
    <row r="63" spans="2:16">
      <c r="B63" s="2" t="s">
        <v>402</v>
      </c>
      <c r="C63" s="145">
        <v>80135000</v>
      </c>
      <c r="D63" s="145">
        <v>85875000</v>
      </c>
      <c r="E63" s="145">
        <v>93442000</v>
      </c>
      <c r="F63" s="145">
        <v>75948000</v>
      </c>
      <c r="G63" s="7"/>
      <c r="H63" s="6"/>
      <c r="I63" s="158"/>
      <c r="J63" s="158"/>
      <c r="K63" s="158"/>
      <c r="L63" s="158"/>
      <c r="M63" s="158"/>
      <c r="N63" s="158"/>
      <c r="O63" s="158"/>
      <c r="P63" s="158"/>
    </row>
    <row r="64" spans="2:16">
      <c r="B64" s="2" t="s">
        <v>403</v>
      </c>
      <c r="C64" s="145">
        <v>80135000</v>
      </c>
      <c r="D64" s="145">
        <v>85875000</v>
      </c>
      <c r="E64" s="145">
        <v>93442000</v>
      </c>
      <c r="F64" s="145">
        <v>75948000</v>
      </c>
      <c r="G64" s="69"/>
      <c r="H64" s="6"/>
      <c r="I64" s="6"/>
      <c r="J64" s="6"/>
      <c r="K64" s="6"/>
      <c r="L64" s="6"/>
      <c r="M64" s="6"/>
      <c r="N64" s="6"/>
      <c r="O64" s="6"/>
      <c r="P64" s="6"/>
    </row>
    <row r="65" spans="2:16">
      <c r="B65" s="2" t="s">
        <v>404</v>
      </c>
      <c r="C65" s="145">
        <v>2095000</v>
      </c>
      <c r="D65" s="145">
        <v>1749000</v>
      </c>
      <c r="E65" s="145">
        <v>3249000</v>
      </c>
      <c r="F65" s="145">
        <v>2681000</v>
      </c>
      <c r="G65" s="7"/>
      <c r="H65" s="6"/>
      <c r="I65" s="6"/>
      <c r="J65" s="6"/>
      <c r="K65" s="6"/>
      <c r="L65" s="6"/>
      <c r="M65" s="6"/>
      <c r="N65" s="6"/>
      <c r="O65" s="6"/>
      <c r="P65" s="6"/>
    </row>
    <row r="66" spans="2:16">
      <c r="B66" s="2" t="s">
        <v>405</v>
      </c>
      <c r="C66" s="145">
        <v>53845000</v>
      </c>
      <c r="D66" s="145">
        <v>52342000</v>
      </c>
      <c r="E66" s="145">
        <v>67980000</v>
      </c>
      <c r="F66" s="145">
        <v>85027000</v>
      </c>
      <c r="G66" s="7"/>
      <c r="H66" s="6"/>
      <c r="I66" s="6"/>
      <c r="J66" s="6"/>
      <c r="K66" s="6"/>
      <c r="L66" s="6"/>
      <c r="M66" s="6"/>
      <c r="N66" s="6"/>
      <c r="O66" s="6"/>
      <c r="P66" s="6"/>
    </row>
    <row r="67" spans="2:16">
      <c r="B67" s="2" t="s">
        <v>406</v>
      </c>
      <c r="C67" s="145">
        <v>24960000</v>
      </c>
      <c r="D67" s="145">
        <v>24937000</v>
      </c>
      <c r="E67" s="145">
        <v>28147000</v>
      </c>
      <c r="F67" s="145">
        <v>30357000</v>
      </c>
      <c r="G67" s="7"/>
      <c r="H67" s="6"/>
      <c r="I67" s="6"/>
      <c r="J67" s="6"/>
      <c r="K67" s="6"/>
      <c r="L67" s="6"/>
      <c r="M67" s="6"/>
      <c r="N67" s="6"/>
      <c r="O67" s="6"/>
      <c r="P67" s="6"/>
    </row>
    <row r="68" spans="2:16">
      <c r="B68" s="2" t="s">
        <v>407</v>
      </c>
      <c r="C68" s="145">
        <v>28885000</v>
      </c>
      <c r="D68" s="145">
        <v>27136000</v>
      </c>
      <c r="E68" s="145">
        <v>39833000</v>
      </c>
      <c r="F68" s="145">
        <v>54670000</v>
      </c>
      <c r="G68" s="7"/>
      <c r="H68" s="6"/>
      <c r="I68" s="6"/>
      <c r="J68" s="6"/>
      <c r="K68" s="6"/>
      <c r="L68" s="6"/>
      <c r="M68" s="6"/>
      <c r="N68" s="6"/>
      <c r="O68" s="6"/>
      <c r="P68" s="6"/>
    </row>
    <row r="69" spans="2:16">
      <c r="B69" s="2" t="s">
        <v>408</v>
      </c>
      <c r="C69" s="2" t="s">
        <v>134</v>
      </c>
      <c r="D69" s="145">
        <v>269000</v>
      </c>
      <c r="E69" s="145">
        <v>0</v>
      </c>
      <c r="F69" s="2" t="s">
        <v>134</v>
      </c>
      <c r="G69" s="7"/>
      <c r="H69" s="6"/>
      <c r="I69" s="6"/>
      <c r="J69" s="6"/>
      <c r="K69" s="6"/>
      <c r="L69" s="6"/>
      <c r="M69" s="6"/>
      <c r="N69" s="6"/>
      <c r="O69" s="6"/>
      <c r="P69" s="6"/>
    </row>
    <row r="70" spans="2:16">
      <c r="B70" s="2" t="s">
        <v>409</v>
      </c>
      <c r="C70" s="145">
        <v>9491000</v>
      </c>
      <c r="D70" s="145">
        <v>10508000</v>
      </c>
      <c r="E70" s="145">
        <v>11263000</v>
      </c>
      <c r="F70" s="145">
        <v>11423000</v>
      </c>
      <c r="G70" s="7"/>
      <c r="H70" s="6"/>
      <c r="I70" s="6"/>
      <c r="J70" s="6"/>
      <c r="K70" s="6"/>
      <c r="L70" s="6"/>
      <c r="M70" s="6"/>
      <c r="N70" s="6"/>
      <c r="O70" s="6"/>
      <c r="P70" s="6"/>
    </row>
    <row r="71" spans="2:16">
      <c r="B71" s="2" t="s">
        <v>410</v>
      </c>
      <c r="C71" s="145">
        <v>9491000</v>
      </c>
      <c r="D71" s="145">
        <v>10508000</v>
      </c>
      <c r="E71" s="145">
        <v>11263000</v>
      </c>
      <c r="F71" s="145">
        <v>11423000</v>
      </c>
      <c r="G71" s="7"/>
      <c r="H71" s="6"/>
      <c r="I71" s="6"/>
      <c r="J71" s="6"/>
      <c r="K71" s="6"/>
      <c r="L71" s="6"/>
      <c r="M71" s="6"/>
      <c r="N71" s="6"/>
      <c r="O71" s="6"/>
      <c r="P71" s="6"/>
    </row>
    <row r="72" spans="2:16">
      <c r="B72" s="2" t="s">
        <v>411</v>
      </c>
      <c r="C72" s="145">
        <v>28942000</v>
      </c>
      <c r="D72" s="145">
        <v>33022000</v>
      </c>
      <c r="E72" s="145">
        <v>34765000</v>
      </c>
      <c r="F72" s="145">
        <v>46675000</v>
      </c>
      <c r="G72" s="7"/>
      <c r="H72" s="6"/>
      <c r="I72" s="6"/>
      <c r="J72" s="6"/>
      <c r="K72" s="6"/>
      <c r="L72" s="6"/>
      <c r="M72" s="6"/>
      <c r="N72" s="6"/>
      <c r="O72" s="6"/>
      <c r="P72" s="6"/>
    </row>
    <row r="73" spans="2:16">
      <c r="B73" s="2" t="s">
        <v>412</v>
      </c>
      <c r="C73" s="145">
        <v>1501000</v>
      </c>
      <c r="D73" s="145">
        <v>4587000</v>
      </c>
      <c r="E73" s="145">
        <v>4865000</v>
      </c>
      <c r="F73" s="145">
        <v>7829000</v>
      </c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2:16">
      <c r="B74" s="2" t="s">
        <v>413</v>
      </c>
      <c r="C74" s="2" t="s">
        <v>134</v>
      </c>
      <c r="D74" s="2" t="s">
        <v>134</v>
      </c>
      <c r="E74" s="2" t="s">
        <v>134</v>
      </c>
      <c r="F74" s="2" t="s">
        <v>134</v>
      </c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2:16">
      <c r="B75" s="2" t="s">
        <v>414</v>
      </c>
      <c r="C75" s="2" t="s">
        <v>134</v>
      </c>
      <c r="D75" s="2" t="s">
        <v>134</v>
      </c>
      <c r="E75" s="2" t="s">
        <v>134</v>
      </c>
      <c r="F75" s="2" t="s">
        <v>134</v>
      </c>
      <c r="G75" s="150"/>
      <c r="H75" s="6"/>
      <c r="I75" s="6"/>
      <c r="J75" s="6"/>
      <c r="K75" s="6"/>
      <c r="L75" s="6"/>
      <c r="M75" s="6"/>
      <c r="N75" s="6"/>
      <c r="O75" s="6"/>
      <c r="P75" s="6"/>
    </row>
    <row r="76" spans="2:16">
      <c r="B76" s="2" t="s">
        <v>415</v>
      </c>
      <c r="C76" s="145">
        <v>425219000</v>
      </c>
      <c r="D76" s="145">
        <v>422056000</v>
      </c>
      <c r="E76" s="145">
        <v>410489000</v>
      </c>
      <c r="F76" s="145">
        <v>703312000</v>
      </c>
      <c r="G76" s="19"/>
      <c r="H76" s="6"/>
      <c r="I76" s="6"/>
      <c r="J76" s="6"/>
      <c r="K76" s="6"/>
      <c r="L76" s="6"/>
      <c r="M76" s="6"/>
      <c r="N76" s="6"/>
      <c r="O76" s="6"/>
      <c r="P76" s="6"/>
    </row>
    <row r="77" spans="2:16">
      <c r="B77" s="2" t="s">
        <v>416</v>
      </c>
      <c r="C77" s="145">
        <v>205839000</v>
      </c>
      <c r="D77" s="145">
        <v>207466000</v>
      </c>
      <c r="E77" s="145">
        <v>230698000</v>
      </c>
      <c r="F77" s="145">
        <v>303842000</v>
      </c>
      <c r="G77" s="7"/>
      <c r="H77" s="6"/>
      <c r="I77" s="6"/>
      <c r="J77" s="6"/>
      <c r="K77" s="6"/>
      <c r="L77" s="6"/>
      <c r="M77" s="6"/>
      <c r="N77" s="6"/>
      <c r="O77" s="6"/>
      <c r="P77" s="6"/>
    </row>
    <row r="78" spans="2:16">
      <c r="B78" s="2" t="s">
        <v>417</v>
      </c>
      <c r="C78" s="145">
        <v>67128000</v>
      </c>
      <c r="D78" s="145">
        <v>62725000</v>
      </c>
      <c r="E78" s="145">
        <v>75024000</v>
      </c>
      <c r="F78" s="145">
        <v>102882000</v>
      </c>
      <c r="G78" s="7"/>
      <c r="H78" s="6"/>
      <c r="I78" s="6"/>
      <c r="J78" s="6"/>
      <c r="K78" s="6"/>
      <c r="L78" s="6"/>
      <c r="M78" s="6"/>
      <c r="N78" s="6"/>
      <c r="O78" s="6"/>
      <c r="P78" s="6"/>
    </row>
    <row r="79" spans="2:16">
      <c r="B79" s="2" t="s">
        <v>418</v>
      </c>
      <c r="C79" s="145">
        <v>38145000</v>
      </c>
      <c r="D79" s="145">
        <v>38792000</v>
      </c>
      <c r="E79" s="145">
        <v>38272000</v>
      </c>
      <c r="F79" s="145">
        <v>61121000</v>
      </c>
      <c r="G79" s="69"/>
      <c r="H79" s="6"/>
      <c r="I79" s="6"/>
      <c r="J79" s="6"/>
      <c r="K79" s="6"/>
      <c r="L79" s="6"/>
      <c r="M79" s="6"/>
      <c r="N79" s="6"/>
      <c r="O79" s="6"/>
      <c r="P79" s="6"/>
    </row>
    <row r="80" spans="2:16">
      <c r="B80" s="2" t="s">
        <v>419</v>
      </c>
      <c r="C80" s="145">
        <v>29333000</v>
      </c>
      <c r="D80" s="145">
        <v>28015000</v>
      </c>
      <c r="E80" s="145">
        <v>27829000</v>
      </c>
      <c r="F80" s="145">
        <v>25397000</v>
      </c>
      <c r="G80" s="18"/>
      <c r="H80" s="6"/>
      <c r="I80" s="6"/>
      <c r="J80" s="6"/>
      <c r="K80" s="6"/>
      <c r="L80" s="6"/>
      <c r="M80" s="6"/>
      <c r="N80" s="6"/>
      <c r="O80" s="6"/>
      <c r="P80" s="6"/>
    </row>
    <row r="81" spans="2:16">
      <c r="B81" s="2" t="s">
        <v>420</v>
      </c>
      <c r="C81" s="145">
        <v>8812000</v>
      </c>
      <c r="D81" s="145">
        <v>10777000</v>
      </c>
      <c r="E81" s="145">
        <v>10443000</v>
      </c>
      <c r="F81" s="145">
        <v>13603000</v>
      </c>
      <c r="G81" s="19"/>
      <c r="H81" s="6"/>
      <c r="I81" s="6"/>
      <c r="J81" s="6"/>
      <c r="K81" s="6"/>
      <c r="L81" s="6"/>
      <c r="M81" s="6"/>
      <c r="N81" s="6"/>
      <c r="O81" s="6"/>
      <c r="P81" s="6"/>
    </row>
    <row r="82" spans="2:16">
      <c r="B82" s="2" t="s">
        <v>421</v>
      </c>
      <c r="C82" s="2" t="s">
        <v>134</v>
      </c>
      <c r="D82" s="2" t="s">
        <v>134</v>
      </c>
      <c r="E82" s="2" t="s">
        <v>134</v>
      </c>
      <c r="F82" s="145">
        <v>22121000</v>
      </c>
      <c r="G82" s="7"/>
      <c r="H82" s="6"/>
      <c r="I82" s="6"/>
      <c r="J82" s="6"/>
      <c r="K82" s="6"/>
      <c r="L82" s="6"/>
      <c r="M82" s="6"/>
      <c r="N82" s="6"/>
      <c r="O82" s="6"/>
      <c r="P82" s="6"/>
    </row>
    <row r="83" spans="2:16">
      <c r="B83" s="2" t="s">
        <v>422</v>
      </c>
      <c r="C83" s="145">
        <v>28983000</v>
      </c>
      <c r="D83" s="145">
        <v>23933000</v>
      </c>
      <c r="E83" s="145">
        <v>36752000</v>
      </c>
      <c r="F83" s="145">
        <v>41761000</v>
      </c>
      <c r="G83" s="69"/>
      <c r="H83" s="6"/>
      <c r="I83" s="6"/>
      <c r="J83" s="6"/>
      <c r="K83" s="6"/>
      <c r="L83" s="6"/>
      <c r="M83" s="6"/>
      <c r="N83" s="6"/>
      <c r="O83" s="6"/>
      <c r="P83" s="6"/>
    </row>
    <row r="84" spans="2:16">
      <c r="B84" s="2" t="s">
        <v>423</v>
      </c>
      <c r="C84" s="145">
        <v>49680000</v>
      </c>
      <c r="D84" s="145">
        <v>47266000</v>
      </c>
      <c r="E84" s="145">
        <v>32996000</v>
      </c>
      <c r="F84" s="145">
        <v>70258000</v>
      </c>
      <c r="G84" s="7"/>
      <c r="H84" s="6"/>
      <c r="I84" s="6"/>
      <c r="J84" s="6"/>
      <c r="K84" s="6"/>
      <c r="L84" s="6"/>
      <c r="M84" s="6"/>
      <c r="N84" s="6"/>
      <c r="O84" s="6"/>
      <c r="P84" s="6"/>
    </row>
    <row r="85" spans="2:16">
      <c r="B85" s="2" t="s">
        <v>424</v>
      </c>
      <c r="C85" s="145">
        <v>40105000</v>
      </c>
      <c r="D85" s="145">
        <v>42775000</v>
      </c>
      <c r="E85" s="145">
        <v>26954000</v>
      </c>
      <c r="F85" s="145">
        <v>62753000</v>
      </c>
      <c r="G85" s="178"/>
      <c r="H85" s="6"/>
      <c r="I85" s="6"/>
      <c r="J85" s="6"/>
      <c r="K85" s="6"/>
      <c r="L85" s="6"/>
      <c r="M85" s="6"/>
      <c r="N85" s="6"/>
      <c r="O85" s="6"/>
      <c r="P85" s="6"/>
    </row>
    <row r="86" spans="2:16">
      <c r="B86" s="2" t="s">
        <v>425</v>
      </c>
      <c r="C86" s="145">
        <v>40105000</v>
      </c>
      <c r="D86" s="145">
        <v>42775000</v>
      </c>
      <c r="E86" s="145">
        <v>26954000</v>
      </c>
      <c r="F86" s="145">
        <v>62753000</v>
      </c>
      <c r="G86" s="68"/>
      <c r="H86" s="6"/>
      <c r="I86" s="6"/>
      <c r="J86" s="6"/>
      <c r="K86" s="6"/>
      <c r="L86" s="6"/>
      <c r="M86" s="6"/>
      <c r="N86" s="6"/>
      <c r="O86" s="6"/>
      <c r="P86" s="6"/>
    </row>
    <row r="87" spans="2:16">
      <c r="B87" s="2" t="s">
        <v>426</v>
      </c>
      <c r="C87" s="145">
        <v>16674000</v>
      </c>
      <c r="D87" s="145">
        <v>16748000</v>
      </c>
      <c r="E87" s="145">
        <v>0</v>
      </c>
      <c r="F87" s="145">
        <v>36118000</v>
      </c>
      <c r="G87" s="179"/>
      <c r="H87" s="6"/>
      <c r="I87" s="6"/>
      <c r="J87" s="6"/>
      <c r="K87" s="6"/>
      <c r="L87" s="6"/>
      <c r="M87" s="6"/>
      <c r="N87" s="6"/>
      <c r="O87" s="6"/>
      <c r="P87" s="6"/>
    </row>
    <row r="88" spans="2:16">
      <c r="B88" s="2" t="s">
        <v>427</v>
      </c>
      <c r="C88" s="145">
        <v>16674000</v>
      </c>
      <c r="D88" s="145">
        <v>16748000</v>
      </c>
      <c r="E88" s="145">
        <v>0</v>
      </c>
      <c r="F88" s="2" t="s">
        <v>134</v>
      </c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2:16">
      <c r="B89" s="2" t="s">
        <v>428</v>
      </c>
      <c r="C89" s="145">
        <v>23431000</v>
      </c>
      <c r="D89" s="145">
        <v>26027000</v>
      </c>
      <c r="E89" s="145">
        <v>26954000</v>
      </c>
      <c r="F89" s="145">
        <v>26635000</v>
      </c>
      <c r="G89" s="150"/>
      <c r="H89" s="6"/>
      <c r="I89" s="6"/>
      <c r="J89" s="6"/>
      <c r="K89" s="6"/>
      <c r="L89" s="6"/>
      <c r="M89" s="6"/>
      <c r="N89" s="6"/>
      <c r="O89" s="6"/>
      <c r="P89" s="6"/>
    </row>
    <row r="90" spans="2:16">
      <c r="B90" s="2" t="s">
        <v>429</v>
      </c>
      <c r="C90" s="2" t="s">
        <v>134</v>
      </c>
      <c r="D90" s="2" t="s">
        <v>134</v>
      </c>
      <c r="E90" s="2" t="s">
        <v>134</v>
      </c>
      <c r="F90" s="2" t="s">
        <v>134</v>
      </c>
      <c r="G90" s="19"/>
      <c r="H90" s="6"/>
      <c r="I90" s="6"/>
      <c r="J90" s="6"/>
      <c r="K90" s="6"/>
      <c r="L90" s="6"/>
      <c r="M90" s="6"/>
      <c r="N90" s="6"/>
      <c r="O90" s="6"/>
      <c r="P90" s="6"/>
    </row>
    <row r="91" spans="2:16">
      <c r="B91" s="2" t="s">
        <v>430</v>
      </c>
      <c r="C91" s="2" t="s">
        <v>134</v>
      </c>
      <c r="D91" s="2" t="s">
        <v>134</v>
      </c>
      <c r="E91" s="2" t="s">
        <v>134</v>
      </c>
      <c r="F91" s="2" t="s">
        <v>134</v>
      </c>
      <c r="G91" s="180"/>
      <c r="H91" s="6"/>
      <c r="I91" s="6"/>
      <c r="J91" s="6"/>
      <c r="K91" s="6"/>
      <c r="L91" s="6"/>
      <c r="M91" s="6"/>
      <c r="N91" s="6"/>
      <c r="O91" s="6"/>
      <c r="P91" s="6"/>
    </row>
    <row r="92" spans="2:16">
      <c r="B92" s="2" t="s">
        <v>431</v>
      </c>
      <c r="C92" s="145">
        <v>9575000</v>
      </c>
      <c r="D92" s="145">
        <v>4491000</v>
      </c>
      <c r="E92" s="145">
        <v>6042000</v>
      </c>
      <c r="F92" s="145">
        <v>7505000</v>
      </c>
      <c r="G92" s="5"/>
      <c r="H92" s="6"/>
      <c r="I92" s="6"/>
      <c r="J92" s="6"/>
      <c r="K92" s="6"/>
      <c r="L92" s="6"/>
      <c r="M92" s="6"/>
      <c r="N92" s="6"/>
      <c r="O92" s="6"/>
      <c r="P92" s="6"/>
    </row>
    <row r="93" spans="2:16">
      <c r="B93" s="2" t="s">
        <v>432</v>
      </c>
      <c r="C93" s="145">
        <v>76857000</v>
      </c>
      <c r="D93" s="145">
        <v>82586000</v>
      </c>
      <c r="E93" s="145">
        <v>105768000</v>
      </c>
      <c r="F93" s="145">
        <v>107881000</v>
      </c>
      <c r="G93" s="19"/>
      <c r="H93" s="6"/>
      <c r="I93" s="6"/>
      <c r="J93" s="6"/>
      <c r="K93" s="6"/>
      <c r="L93" s="6"/>
      <c r="M93" s="6"/>
      <c r="N93" s="6"/>
      <c r="O93" s="6"/>
      <c r="P93" s="6"/>
    </row>
    <row r="94" spans="2:16">
      <c r="B94" s="2" t="s">
        <v>433</v>
      </c>
      <c r="C94" s="145">
        <v>76857000</v>
      </c>
      <c r="D94" s="145">
        <v>82586000</v>
      </c>
      <c r="E94" s="145">
        <v>105768000</v>
      </c>
      <c r="F94" s="145">
        <v>107881000</v>
      </c>
      <c r="G94" s="7"/>
      <c r="H94" s="6"/>
      <c r="I94" s="6"/>
      <c r="J94" s="6"/>
      <c r="K94" s="6"/>
      <c r="L94" s="6"/>
      <c r="M94" s="6"/>
      <c r="N94" s="6"/>
      <c r="O94" s="6"/>
      <c r="P94" s="6"/>
    </row>
    <row r="95" spans="2:16">
      <c r="B95" s="2" t="s">
        <v>434</v>
      </c>
      <c r="C95" s="145">
        <v>76857000</v>
      </c>
      <c r="D95" s="145">
        <v>82586000</v>
      </c>
      <c r="E95" s="145">
        <v>105768000</v>
      </c>
      <c r="F95" s="145">
        <v>107881000</v>
      </c>
      <c r="G95" s="7"/>
      <c r="H95" s="6"/>
      <c r="I95" s="6"/>
      <c r="J95" s="6"/>
      <c r="K95" s="6"/>
      <c r="L95" s="6"/>
      <c r="M95" s="6"/>
      <c r="N95" s="6"/>
      <c r="O95" s="6"/>
      <c r="P95" s="6"/>
    </row>
    <row r="96" spans="2:16">
      <c r="B96" s="2" t="s">
        <v>435</v>
      </c>
      <c r="C96" s="2" t="s">
        <v>134</v>
      </c>
      <c r="D96" s="2" t="s">
        <v>134</v>
      </c>
      <c r="E96" s="2" t="s">
        <v>134</v>
      </c>
      <c r="F96" s="2" t="s">
        <v>134</v>
      </c>
      <c r="G96" s="68"/>
      <c r="H96" s="6"/>
      <c r="I96" s="6"/>
      <c r="J96" s="6"/>
      <c r="K96" s="6"/>
      <c r="L96" s="6"/>
      <c r="M96" s="6"/>
      <c r="N96" s="6"/>
      <c r="O96" s="6"/>
      <c r="P96" s="6"/>
    </row>
    <row r="97" spans="2:16">
      <c r="B97" s="2" t="s">
        <v>436</v>
      </c>
      <c r="C97" s="145">
        <v>10281000</v>
      </c>
      <c r="D97" s="145">
        <v>12685000</v>
      </c>
      <c r="E97" s="145">
        <v>13723000</v>
      </c>
      <c r="F97" s="145">
        <v>15705000</v>
      </c>
      <c r="G97" s="179"/>
      <c r="H97" s="6"/>
      <c r="I97" s="6"/>
      <c r="J97" s="6"/>
      <c r="K97" s="6"/>
      <c r="L97" s="6"/>
      <c r="M97" s="6"/>
      <c r="N97" s="6"/>
      <c r="O97" s="6"/>
      <c r="P97" s="6"/>
    </row>
    <row r="98" spans="2:16">
      <c r="B98" s="2" t="s">
        <v>437</v>
      </c>
      <c r="C98" s="145">
        <v>10281000</v>
      </c>
      <c r="D98" s="145">
        <v>12685000</v>
      </c>
      <c r="E98" s="145">
        <v>13723000</v>
      </c>
      <c r="F98" s="145">
        <v>15705000</v>
      </c>
      <c r="G98" s="181"/>
      <c r="H98" s="6"/>
      <c r="I98" s="6"/>
      <c r="J98" s="6"/>
      <c r="K98" s="6"/>
      <c r="L98" s="6"/>
      <c r="M98" s="6"/>
      <c r="N98" s="6"/>
      <c r="O98" s="6"/>
      <c r="P98" s="6"/>
    </row>
    <row r="99" spans="2:16">
      <c r="B99" s="2" t="s">
        <v>438</v>
      </c>
      <c r="C99" s="145">
        <v>0</v>
      </c>
      <c r="D99" s="2" t="s">
        <v>134</v>
      </c>
      <c r="E99" s="2" t="s">
        <v>134</v>
      </c>
      <c r="F99" s="2" t="s">
        <v>134</v>
      </c>
      <c r="G99" s="178"/>
      <c r="H99" s="6"/>
      <c r="I99" s="6"/>
      <c r="J99" s="6"/>
      <c r="K99" s="6"/>
      <c r="L99" s="6"/>
      <c r="M99" s="6"/>
      <c r="N99" s="6"/>
      <c r="O99" s="6"/>
      <c r="P99" s="6"/>
    </row>
    <row r="100" spans="2:16">
      <c r="B100" s="2" t="s">
        <v>439</v>
      </c>
      <c r="C100" s="145">
        <v>1893000</v>
      </c>
      <c r="D100" s="145">
        <v>2204000</v>
      </c>
      <c r="E100" s="145">
        <v>3187000</v>
      </c>
      <c r="F100" s="145">
        <v>7116000</v>
      </c>
      <c r="G100" s="150"/>
      <c r="H100" s="6"/>
      <c r="I100" s="6"/>
      <c r="J100" s="6"/>
      <c r="K100" s="6"/>
      <c r="L100" s="6"/>
      <c r="M100" s="6"/>
      <c r="N100" s="6"/>
      <c r="O100" s="6"/>
      <c r="P100" s="6"/>
    </row>
    <row r="101" spans="2:16">
      <c r="B101" s="2" t="s">
        <v>440</v>
      </c>
      <c r="C101" s="145">
        <v>219380000</v>
      </c>
      <c r="D101" s="145">
        <v>214590000</v>
      </c>
      <c r="E101" s="145">
        <v>179791000</v>
      </c>
      <c r="F101" s="145">
        <v>399470000</v>
      </c>
      <c r="G101" s="182"/>
      <c r="H101" s="6"/>
      <c r="I101" s="6"/>
      <c r="J101" s="6"/>
      <c r="K101" s="6"/>
      <c r="L101" s="6"/>
      <c r="M101" s="6"/>
      <c r="N101" s="6"/>
      <c r="O101" s="6"/>
      <c r="P101" s="6"/>
    </row>
    <row r="102" spans="2:16">
      <c r="B102" s="2" t="s">
        <v>441</v>
      </c>
      <c r="C102" s="145">
        <v>176089000</v>
      </c>
      <c r="D102" s="145">
        <v>167917000</v>
      </c>
      <c r="E102" s="145">
        <v>140871000</v>
      </c>
      <c r="F102" s="145">
        <v>312048000</v>
      </c>
      <c r="G102" s="7"/>
      <c r="H102" s="6"/>
      <c r="I102" s="6"/>
      <c r="J102" s="6"/>
      <c r="K102" s="6"/>
      <c r="L102" s="6"/>
      <c r="M102" s="6"/>
      <c r="N102" s="6"/>
      <c r="O102" s="6"/>
      <c r="P102" s="6"/>
    </row>
    <row r="103" spans="2:16">
      <c r="B103" s="2" t="s">
        <v>442</v>
      </c>
      <c r="C103" s="145">
        <v>172209000</v>
      </c>
      <c r="D103" s="145">
        <v>165880000</v>
      </c>
      <c r="E103" s="145">
        <v>140040000</v>
      </c>
      <c r="F103" s="145">
        <v>309635000</v>
      </c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spans="2:16">
      <c r="B104" s="2" t="s">
        <v>443</v>
      </c>
      <c r="C104" s="145">
        <v>16748000</v>
      </c>
      <c r="D104" s="145">
        <v>0</v>
      </c>
      <c r="E104" s="2" t="s">
        <v>134</v>
      </c>
      <c r="F104" s="145">
        <v>137288000</v>
      </c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2:16">
      <c r="B105" s="2" t="s">
        <v>444</v>
      </c>
      <c r="C105" s="145">
        <v>16748000</v>
      </c>
      <c r="D105" s="145">
        <v>0</v>
      </c>
      <c r="E105" s="2" t="s">
        <v>134</v>
      </c>
      <c r="F105" s="2" t="s">
        <v>134</v>
      </c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spans="2:16">
      <c r="B106" s="2" t="s">
        <v>445</v>
      </c>
      <c r="C106" s="145">
        <v>155461000</v>
      </c>
      <c r="D106" s="145">
        <v>165880000</v>
      </c>
      <c r="E106" s="145">
        <v>140040000</v>
      </c>
      <c r="F106" s="145">
        <v>172347000</v>
      </c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spans="2:16">
      <c r="B107" s="2" t="s">
        <v>446</v>
      </c>
      <c r="C107" s="145">
        <v>3880000</v>
      </c>
      <c r="D107" s="145">
        <v>2037000</v>
      </c>
      <c r="E107" s="145">
        <v>831000</v>
      </c>
      <c r="F107" s="145">
        <v>2413000</v>
      </c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spans="2:16">
      <c r="B108" s="2" t="s">
        <v>447</v>
      </c>
      <c r="C108" s="145">
        <v>12999000</v>
      </c>
      <c r="D108" s="145">
        <v>19589000</v>
      </c>
      <c r="E108" s="145">
        <v>16238000</v>
      </c>
      <c r="F108" s="145">
        <v>19504000</v>
      </c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spans="2:16">
      <c r="B109" s="2" t="s">
        <v>448</v>
      </c>
      <c r="C109" s="145">
        <v>12999000</v>
      </c>
      <c r="D109" s="145">
        <v>19589000</v>
      </c>
      <c r="E109" s="145">
        <v>16238000</v>
      </c>
      <c r="F109" s="145">
        <v>19504000</v>
      </c>
      <c r="G109" s="6"/>
      <c r="H109" s="6"/>
      <c r="I109" s="6"/>
      <c r="J109" s="6"/>
      <c r="K109" s="6"/>
      <c r="L109" s="6"/>
      <c r="M109" s="6"/>
      <c r="N109" s="6"/>
      <c r="O109" s="6"/>
      <c r="P109" s="6"/>
    </row>
    <row r="110" spans="2:16">
      <c r="B110" s="2" t="s">
        <v>449</v>
      </c>
      <c r="C110" s="145">
        <v>12999000</v>
      </c>
      <c r="D110" s="145">
        <v>19589000</v>
      </c>
      <c r="E110" s="145">
        <v>16238000</v>
      </c>
      <c r="F110" s="145">
        <v>19504000</v>
      </c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spans="2:16">
      <c r="B111" s="2" t="s">
        <v>450</v>
      </c>
      <c r="C111" s="145">
        <v>10055000</v>
      </c>
      <c r="D111" s="145">
        <v>10228000</v>
      </c>
      <c r="E111" s="145">
        <v>9290000</v>
      </c>
      <c r="F111" s="145">
        <v>37326000</v>
      </c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 spans="2:16">
      <c r="B112" s="2" t="s">
        <v>451</v>
      </c>
      <c r="C112" s="145">
        <v>10055000</v>
      </c>
      <c r="D112" s="145">
        <v>10228000</v>
      </c>
      <c r="E112" s="145">
        <v>9290000</v>
      </c>
      <c r="F112" s="145">
        <v>37326000</v>
      </c>
      <c r="G112" s="6"/>
      <c r="H112" s="6"/>
      <c r="I112" s="6"/>
      <c r="J112" s="6"/>
      <c r="K112" s="6"/>
      <c r="L112" s="6"/>
      <c r="M112" s="6"/>
      <c r="N112" s="6"/>
      <c r="O112" s="6"/>
      <c r="P112" s="6"/>
    </row>
    <row r="113" spans="2:16">
      <c r="B113" s="2" t="s">
        <v>452</v>
      </c>
      <c r="C113" s="145">
        <v>20073000</v>
      </c>
      <c r="D113" s="145">
        <v>16645000</v>
      </c>
      <c r="E113" s="145">
        <v>13314000</v>
      </c>
      <c r="F113" s="145">
        <v>9748000</v>
      </c>
      <c r="G113" s="6"/>
      <c r="H113" s="6"/>
      <c r="I113" s="6"/>
      <c r="J113" s="6"/>
      <c r="K113" s="6"/>
      <c r="L113" s="6"/>
      <c r="M113" s="6"/>
      <c r="N113" s="6"/>
      <c r="O113" s="6"/>
      <c r="P113" s="6"/>
    </row>
    <row r="114" spans="2:16">
      <c r="B114" s="2" t="s">
        <v>453</v>
      </c>
      <c r="C114" s="145">
        <v>20073000</v>
      </c>
      <c r="D114" s="145">
        <v>16645000</v>
      </c>
      <c r="E114" s="145">
        <v>13314000</v>
      </c>
      <c r="F114" s="145">
        <v>9748000</v>
      </c>
      <c r="G114" s="6"/>
      <c r="H114" s="6"/>
      <c r="I114" s="6"/>
      <c r="J114" s="6"/>
      <c r="K114" s="6"/>
      <c r="L114" s="6"/>
      <c r="M114" s="6"/>
      <c r="N114" s="6"/>
      <c r="O114" s="6"/>
      <c r="P114" s="6"/>
    </row>
    <row r="115" spans="2:16">
      <c r="B115" s="2" t="s">
        <v>454</v>
      </c>
      <c r="C115" s="145">
        <v>0</v>
      </c>
      <c r="D115" s="2" t="s">
        <v>134</v>
      </c>
      <c r="E115" s="2" t="s">
        <v>134</v>
      </c>
      <c r="F115" s="2" t="s">
        <v>134</v>
      </c>
      <c r="G115" s="6"/>
      <c r="H115" s="6"/>
      <c r="I115" s="6"/>
      <c r="J115" s="6"/>
      <c r="K115" s="6"/>
      <c r="L115" s="6"/>
      <c r="M115" s="6"/>
      <c r="N115" s="6"/>
      <c r="O115" s="6"/>
      <c r="P115" s="6"/>
    </row>
    <row r="116" spans="2:16">
      <c r="B116" s="2" t="s">
        <v>455</v>
      </c>
      <c r="C116" s="2" t="s">
        <v>134</v>
      </c>
      <c r="D116" s="2" t="s">
        <v>134</v>
      </c>
      <c r="E116" s="2" t="s">
        <v>134</v>
      </c>
      <c r="F116" s="145">
        <v>20135000</v>
      </c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 spans="2:16">
      <c r="B117" s="2" t="s">
        <v>456</v>
      </c>
      <c r="C117" s="2" t="s">
        <v>134</v>
      </c>
      <c r="D117" s="2" t="s">
        <v>134</v>
      </c>
      <c r="E117" s="2" t="s">
        <v>134</v>
      </c>
      <c r="F117" s="145">
        <v>20135000</v>
      </c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 spans="2:16">
      <c r="B118" s="2" t="s">
        <v>457</v>
      </c>
      <c r="C118" s="2" t="s">
        <v>134</v>
      </c>
      <c r="D118" s="2" t="s">
        <v>134</v>
      </c>
      <c r="E118" s="2" t="s">
        <v>134</v>
      </c>
      <c r="F118" s="145">
        <v>20135000</v>
      </c>
      <c r="G118" s="6"/>
      <c r="H118" s="6"/>
      <c r="I118" s="6"/>
      <c r="J118" s="6"/>
      <c r="K118" s="6"/>
      <c r="L118" s="6"/>
      <c r="M118" s="6"/>
      <c r="N118" s="6"/>
      <c r="O118" s="6"/>
      <c r="P118" s="6"/>
    </row>
    <row r="119" spans="2:16">
      <c r="B119" s="2" t="s">
        <v>458</v>
      </c>
      <c r="C119" s="145">
        <v>164000</v>
      </c>
      <c r="D119" s="145">
        <v>211000</v>
      </c>
      <c r="E119" s="145">
        <v>78000</v>
      </c>
      <c r="F119" s="145">
        <v>709000</v>
      </c>
      <c r="G119" s="6"/>
      <c r="H119" s="6"/>
      <c r="I119" s="6"/>
      <c r="J119" s="6"/>
      <c r="K119" s="6"/>
      <c r="L119" s="6"/>
      <c r="M119" s="6"/>
      <c r="N119" s="6"/>
      <c r="O119" s="6"/>
      <c r="P119" s="6"/>
    </row>
    <row r="120" spans="2:16">
      <c r="B120" s="2" t="s">
        <v>459</v>
      </c>
      <c r="C120" s="145">
        <v>587110000</v>
      </c>
      <c r="D120" s="145">
        <v>684092000</v>
      </c>
      <c r="E120" s="145">
        <v>754003000</v>
      </c>
      <c r="F120" s="145">
        <v>801136000</v>
      </c>
      <c r="G120" s="6"/>
      <c r="H120" s="6"/>
      <c r="I120" s="6"/>
      <c r="J120" s="6"/>
      <c r="K120" s="6"/>
      <c r="L120" s="6"/>
      <c r="M120" s="6"/>
      <c r="N120" s="6"/>
      <c r="O120" s="6"/>
      <c r="P120" s="6"/>
    </row>
    <row r="121" spans="2:16">
      <c r="B121" s="2" t="s">
        <v>460</v>
      </c>
      <c r="C121" s="145">
        <v>587110000</v>
      </c>
      <c r="D121" s="145">
        <v>684092000</v>
      </c>
      <c r="E121" s="145">
        <v>754003000</v>
      </c>
      <c r="F121" s="145">
        <v>801136000</v>
      </c>
      <c r="G121" s="6"/>
      <c r="H121" s="6"/>
      <c r="I121" s="6"/>
      <c r="J121" s="6"/>
      <c r="K121" s="6"/>
      <c r="L121" s="6"/>
      <c r="M121" s="6"/>
      <c r="N121" s="6"/>
      <c r="O121" s="6"/>
      <c r="P121" s="6"/>
    </row>
    <row r="122" spans="2:16">
      <c r="B122" s="2" t="s">
        <v>461</v>
      </c>
      <c r="C122" s="145">
        <v>195142000</v>
      </c>
      <c r="D122" s="145">
        <v>157122000</v>
      </c>
      <c r="E122" s="145">
        <v>118078000</v>
      </c>
      <c r="F122" s="145">
        <v>88800000</v>
      </c>
      <c r="G122" s="6"/>
      <c r="H122" s="6"/>
      <c r="I122" s="6"/>
      <c r="J122" s="6"/>
      <c r="K122" s="6"/>
      <c r="L122" s="6"/>
      <c r="M122" s="6"/>
      <c r="N122" s="6"/>
      <c r="O122" s="6"/>
      <c r="P122" s="6"/>
    </row>
    <row r="123" spans="2:16">
      <c r="B123" s="2" t="s">
        <v>462</v>
      </c>
      <c r="C123" s="145">
        <v>195142000</v>
      </c>
      <c r="D123" s="145">
        <v>235685000</v>
      </c>
      <c r="E123" s="145">
        <v>118078000</v>
      </c>
      <c r="F123" s="145">
        <v>88800000</v>
      </c>
      <c r="G123" s="6"/>
      <c r="H123" s="6"/>
      <c r="I123" s="6"/>
      <c r="J123" s="6"/>
      <c r="K123" s="6"/>
      <c r="L123" s="6"/>
      <c r="M123" s="6"/>
      <c r="N123" s="6"/>
      <c r="O123" s="6"/>
      <c r="P123" s="6"/>
    </row>
    <row r="124" spans="2:16">
      <c r="B124" s="2" t="s">
        <v>463</v>
      </c>
      <c r="C124" s="145">
        <v>7874000</v>
      </c>
      <c r="D124" s="145">
        <v>7977000</v>
      </c>
      <c r="E124" s="145">
        <v>7751000</v>
      </c>
      <c r="F124" s="145">
        <v>7690000</v>
      </c>
      <c r="G124" s="6"/>
      <c r="H124" s="6"/>
      <c r="I124" s="6"/>
      <c r="J124" s="6"/>
      <c r="K124" s="6"/>
      <c r="L124" s="6"/>
      <c r="M124" s="6"/>
      <c r="N124" s="6"/>
      <c r="O124" s="6"/>
      <c r="P124" s="6"/>
    </row>
    <row r="125" spans="2:16">
      <c r="B125" s="2" t="s">
        <v>464</v>
      </c>
      <c r="C125" s="145">
        <v>187268000</v>
      </c>
      <c r="D125" s="145">
        <v>227708000</v>
      </c>
      <c r="E125" s="145">
        <v>110327000</v>
      </c>
      <c r="F125" s="145">
        <v>81110000</v>
      </c>
      <c r="G125" s="6"/>
      <c r="H125" s="6"/>
      <c r="I125" s="6"/>
      <c r="J125" s="6"/>
      <c r="K125" s="6"/>
      <c r="L125" s="6"/>
      <c r="M125" s="6"/>
      <c r="N125" s="6"/>
      <c r="O125" s="6"/>
      <c r="P125" s="6"/>
    </row>
    <row r="126" spans="2:16">
      <c r="B126" s="2" t="s">
        <v>465</v>
      </c>
      <c r="C126" s="145">
        <v>0</v>
      </c>
      <c r="D126" s="145">
        <v>-78563000</v>
      </c>
      <c r="E126" s="145">
        <v>0</v>
      </c>
      <c r="F126" s="2" t="s">
        <v>134</v>
      </c>
      <c r="G126" s="6"/>
      <c r="H126" s="6"/>
      <c r="I126" s="6"/>
      <c r="J126" s="6"/>
      <c r="K126" s="6"/>
      <c r="L126" s="6"/>
      <c r="M126" s="6"/>
      <c r="N126" s="6"/>
      <c r="O126" s="6"/>
      <c r="P126" s="6"/>
    </row>
    <row r="127" spans="2:16">
      <c r="B127" s="2" t="s">
        <v>466</v>
      </c>
      <c r="C127" s="145">
        <v>586340000</v>
      </c>
      <c r="D127" s="145">
        <v>688957000</v>
      </c>
      <c r="E127" s="145">
        <v>818402000</v>
      </c>
      <c r="F127" s="145">
        <v>951601000</v>
      </c>
      <c r="G127" s="6"/>
      <c r="H127" s="6"/>
      <c r="I127" s="6"/>
      <c r="J127" s="6"/>
      <c r="K127" s="6"/>
      <c r="L127" s="6"/>
      <c r="M127" s="6"/>
      <c r="N127" s="6"/>
      <c r="O127" s="6"/>
      <c r="P127" s="6"/>
    </row>
    <row r="128" spans="2:16">
      <c r="B128" s="2" t="s">
        <v>467</v>
      </c>
      <c r="C128" s="2" t="s">
        <v>134</v>
      </c>
      <c r="D128" s="2" t="s">
        <v>134</v>
      </c>
      <c r="E128" s="145">
        <v>2656000</v>
      </c>
      <c r="F128" s="145">
        <v>6765000</v>
      </c>
      <c r="G128" s="6"/>
      <c r="H128" s="6"/>
      <c r="I128" s="6"/>
      <c r="J128" s="6"/>
      <c r="K128" s="6"/>
      <c r="L128" s="6"/>
      <c r="M128" s="6"/>
      <c r="N128" s="6"/>
      <c r="O128" s="6"/>
      <c r="P128" s="6"/>
    </row>
    <row r="129" spans="2:16">
      <c r="B129" s="2" t="s">
        <v>468</v>
      </c>
      <c r="C129" s="2" t="s">
        <v>134</v>
      </c>
      <c r="D129" s="2" t="s">
        <v>134</v>
      </c>
      <c r="E129" s="145">
        <v>2656000</v>
      </c>
      <c r="F129" s="145">
        <v>6765000</v>
      </c>
      <c r="G129" s="6"/>
      <c r="H129" s="6"/>
      <c r="I129" s="6"/>
      <c r="J129" s="6"/>
      <c r="K129" s="6"/>
      <c r="L129" s="6"/>
      <c r="M129" s="6"/>
      <c r="N129" s="6"/>
      <c r="O129" s="6"/>
      <c r="P129" s="6"/>
    </row>
    <row r="130" spans="2:16">
      <c r="B130" s="2" t="s">
        <v>469</v>
      </c>
      <c r="C130" s="145">
        <v>-194372000</v>
      </c>
      <c r="D130" s="145">
        <v>-161987000</v>
      </c>
      <c r="E130" s="145">
        <v>-185133000</v>
      </c>
      <c r="F130" s="145">
        <v>-246030000</v>
      </c>
      <c r="G130" s="6"/>
      <c r="H130" s="6"/>
      <c r="I130" s="6"/>
      <c r="J130" s="6"/>
      <c r="K130" s="6"/>
      <c r="L130" s="6"/>
      <c r="M130" s="6"/>
      <c r="N130" s="6"/>
      <c r="O130" s="6"/>
      <c r="P130" s="6"/>
    </row>
    <row r="131" spans="2:16">
      <c r="B131" s="2" t="s">
        <v>470</v>
      </c>
      <c r="C131" s="145">
        <v>33422000</v>
      </c>
      <c r="D131" s="2" t="s">
        <v>134</v>
      </c>
      <c r="E131" s="2" t="s">
        <v>134</v>
      </c>
      <c r="F131" s="145">
        <v>173406000</v>
      </c>
      <c r="G131" s="6"/>
      <c r="H131" s="6"/>
      <c r="I131" s="6"/>
      <c r="J131" s="6"/>
      <c r="K131" s="6"/>
      <c r="L131" s="6"/>
      <c r="M131" s="6"/>
      <c r="N131" s="6"/>
      <c r="O131" s="6"/>
      <c r="P131" s="6"/>
    </row>
    <row r="132" spans="2:16">
      <c r="B132" s="2" t="s">
        <v>471</v>
      </c>
      <c r="C132" s="145">
        <v>16800000</v>
      </c>
      <c r="D132" s="2" t="s">
        <v>134</v>
      </c>
      <c r="E132" s="2" t="s">
        <v>134</v>
      </c>
      <c r="F132" s="145">
        <v>36500000</v>
      </c>
      <c r="G132" s="6"/>
      <c r="H132" s="6"/>
      <c r="I132" s="6"/>
      <c r="J132" s="6"/>
      <c r="K132" s="6"/>
      <c r="L132" s="6"/>
      <c r="M132" s="6"/>
      <c r="N132" s="6"/>
      <c r="O132" s="6"/>
      <c r="P132" s="6"/>
    </row>
    <row r="133" spans="2:16">
      <c r="B133" s="2" t="s">
        <v>472</v>
      </c>
      <c r="C133" s="145">
        <v>16800000</v>
      </c>
      <c r="D133" s="2" t="s">
        <v>134</v>
      </c>
      <c r="E133" s="2" t="s">
        <v>134</v>
      </c>
      <c r="F133" s="145">
        <v>72900000</v>
      </c>
      <c r="G133" s="6"/>
      <c r="H133" s="6"/>
      <c r="I133" s="6"/>
      <c r="J133" s="6"/>
      <c r="K133" s="6"/>
      <c r="L133" s="6"/>
      <c r="M133" s="6"/>
      <c r="N133" s="6"/>
      <c r="O133" s="6"/>
      <c r="P133" s="6"/>
    </row>
    <row r="134" spans="2:16">
      <c r="B134" s="2" t="s">
        <v>473</v>
      </c>
      <c r="C134" s="2" t="s">
        <v>134</v>
      </c>
      <c r="D134" s="2" t="s">
        <v>134</v>
      </c>
      <c r="E134" s="2" t="s">
        <v>134</v>
      </c>
      <c r="F134" s="145">
        <v>65000000</v>
      </c>
      <c r="G134" s="6"/>
      <c r="H134" s="6"/>
      <c r="I134" s="6"/>
      <c r="J134" s="6"/>
      <c r="K134" s="6"/>
      <c r="L134" s="6"/>
      <c r="M134" s="6"/>
      <c r="N134" s="6"/>
      <c r="O134" s="6"/>
      <c r="P134" s="6"/>
    </row>
    <row r="135" spans="2:16">
      <c r="B135" s="2" t="s">
        <v>474</v>
      </c>
      <c r="C135" s="145">
        <v>-178000</v>
      </c>
      <c r="D135" s="2" t="s">
        <v>134</v>
      </c>
      <c r="E135" s="2" t="s">
        <v>134</v>
      </c>
      <c r="F135" s="145">
        <v>-994000</v>
      </c>
      <c r="G135" s="6"/>
      <c r="H135" s="6"/>
      <c r="I135" s="6"/>
      <c r="J135" s="6"/>
      <c r="K135" s="6"/>
      <c r="L135" s="6"/>
      <c r="M135" s="6"/>
      <c r="N135" s="6"/>
      <c r="O135" s="6"/>
      <c r="P135" s="6"/>
    </row>
    <row r="136" spans="2:16">
      <c r="B136" s="2" t="s">
        <v>475</v>
      </c>
      <c r="C136" s="2" t="s">
        <v>134</v>
      </c>
      <c r="D136" s="2" t="s">
        <v>134</v>
      </c>
      <c r="E136" s="2" t="s">
        <v>134</v>
      </c>
      <c r="F136" s="2" t="s">
        <v>134</v>
      </c>
      <c r="G136" s="6"/>
      <c r="H136" s="6"/>
      <c r="I136" s="6"/>
      <c r="J136" s="6"/>
      <c r="K136" s="6"/>
      <c r="L136" s="6"/>
      <c r="M136" s="6"/>
      <c r="N136" s="6"/>
      <c r="O136" s="6"/>
      <c r="P136" s="6"/>
    </row>
    <row r="137" spans="2:16">
      <c r="B137" s="2" t="s">
        <v>476</v>
      </c>
      <c r="C137" s="145">
        <v>178892000</v>
      </c>
      <c r="D137" s="145">
        <v>256305000</v>
      </c>
      <c r="E137" s="145">
        <v>216190000</v>
      </c>
      <c r="F137" s="145">
        <v>262034000</v>
      </c>
      <c r="G137" s="6"/>
      <c r="H137" s="6"/>
      <c r="I137" s="6"/>
      <c r="J137" s="6"/>
      <c r="K137" s="6"/>
      <c r="L137" s="6"/>
      <c r="M137" s="6"/>
      <c r="N137" s="6"/>
      <c r="O137" s="6"/>
      <c r="P137" s="6"/>
    </row>
    <row r="138" spans="2:16">
      <c r="B138" s="2" t="s">
        <v>477</v>
      </c>
      <c r="C138" s="145">
        <v>35110000</v>
      </c>
      <c r="D138" s="145">
        <v>39591000</v>
      </c>
      <c r="E138" s="145">
        <v>37330000</v>
      </c>
      <c r="F138" s="145">
        <v>40726000</v>
      </c>
      <c r="G138" s="6"/>
      <c r="H138" s="6"/>
      <c r="I138" s="6"/>
      <c r="J138" s="6"/>
      <c r="K138" s="6"/>
      <c r="L138" s="6"/>
      <c r="M138" s="6"/>
      <c r="N138" s="6"/>
      <c r="O138" s="6"/>
      <c r="P138" s="6"/>
    </row>
    <row r="139" spans="2:16">
      <c r="B139" s="2" t="s">
        <v>478</v>
      </c>
      <c r="C139" s="145">
        <v>64065000</v>
      </c>
      <c r="D139" s="145">
        <v>73833000</v>
      </c>
      <c r="E139" s="145">
        <v>67177000</v>
      </c>
      <c r="F139" s="145">
        <v>79085000</v>
      </c>
      <c r="G139" s="6"/>
      <c r="H139" s="6"/>
      <c r="I139" s="6"/>
      <c r="J139" s="6"/>
      <c r="K139" s="6"/>
      <c r="L139" s="6"/>
      <c r="M139" s="6"/>
      <c r="N139" s="6"/>
      <c r="O139" s="6"/>
      <c r="P139" s="6"/>
    </row>
    <row r="140" spans="2:16">
      <c r="B140" s="2" t="s">
        <v>479</v>
      </c>
      <c r="C140" s="145">
        <v>56075000</v>
      </c>
      <c r="D140" s="145">
        <v>63462000</v>
      </c>
      <c r="E140" s="145">
        <v>49449000</v>
      </c>
      <c r="F140" s="145">
        <v>60372000</v>
      </c>
      <c r="G140" s="6"/>
      <c r="H140" s="6"/>
      <c r="I140" s="6"/>
      <c r="J140" s="6"/>
      <c r="K140" s="6"/>
      <c r="L140" s="6"/>
      <c r="M140" s="6"/>
      <c r="N140" s="6"/>
      <c r="O140" s="6"/>
      <c r="P140" s="6"/>
    </row>
    <row r="141" spans="2:16">
      <c r="B141" s="2" t="s">
        <v>480</v>
      </c>
      <c r="C141" s="145">
        <v>92055000</v>
      </c>
      <c r="D141" s="145">
        <v>79419000</v>
      </c>
      <c r="E141" s="145">
        <v>62234000</v>
      </c>
      <c r="F141" s="145">
        <v>81851000</v>
      </c>
      <c r="G141" s="6"/>
      <c r="H141" s="6"/>
      <c r="I141" s="6"/>
      <c r="J141" s="6"/>
      <c r="K141" s="6"/>
      <c r="L141" s="6"/>
      <c r="M141" s="6"/>
      <c r="N141" s="6"/>
      <c r="O141" s="6"/>
      <c r="P141" s="6"/>
    </row>
    <row r="142" spans="2:16">
      <c r="B142" s="2" t="s">
        <v>480</v>
      </c>
      <c r="C142" s="145">
        <v>-68413000</v>
      </c>
      <c r="D142" s="2" t="s">
        <v>134</v>
      </c>
      <c r="E142" s="2" t="s">
        <v>134</v>
      </c>
      <c r="F142" s="2" t="s">
        <v>134</v>
      </c>
      <c r="G142" s="6"/>
      <c r="H142" s="6"/>
      <c r="I142" s="6"/>
      <c r="J142" s="6"/>
      <c r="K142" s="6"/>
      <c r="L142" s="6"/>
      <c r="M142" s="6"/>
      <c r="N142" s="6"/>
      <c r="O142" s="6"/>
      <c r="P142" s="6"/>
    </row>
    <row r="143" spans="2:16">
      <c r="B143" s="2" t="s">
        <v>481</v>
      </c>
      <c r="C143" s="145">
        <v>143138000</v>
      </c>
      <c r="D143" s="145">
        <v>134790000</v>
      </c>
      <c r="E143" s="145">
        <v>168567000</v>
      </c>
      <c r="F143" s="145">
        <v>65300000</v>
      </c>
      <c r="G143" s="6"/>
      <c r="H143" s="6"/>
      <c r="I143" s="6"/>
      <c r="J143" s="6"/>
      <c r="K143" s="6"/>
      <c r="L143" s="6"/>
      <c r="M143" s="6"/>
      <c r="N143" s="6"/>
      <c r="O143" s="6"/>
      <c r="P143" s="6"/>
    </row>
    <row r="144" spans="2:16">
      <c r="B144" s="2" t="s">
        <v>482</v>
      </c>
      <c r="C144" s="145">
        <v>139258000</v>
      </c>
      <c r="D144" s="145">
        <v>132753000</v>
      </c>
      <c r="E144" s="145">
        <v>167736000</v>
      </c>
      <c r="F144" s="145">
        <v>51700000</v>
      </c>
      <c r="G144" s="6"/>
      <c r="H144" s="6"/>
      <c r="I144" s="6"/>
      <c r="J144" s="6"/>
      <c r="K144" s="6"/>
      <c r="L144" s="6"/>
      <c r="M144" s="6"/>
      <c r="N144" s="6"/>
      <c r="O144" s="6"/>
      <c r="P144" s="6"/>
    </row>
    <row r="145" spans="2:16">
      <c r="B145" s="2" t="s">
        <v>483</v>
      </c>
      <c r="C145" s="2" t="s">
        <v>134</v>
      </c>
      <c r="D145" s="2" t="s">
        <v>134</v>
      </c>
      <c r="E145" s="2" t="s">
        <v>134</v>
      </c>
      <c r="F145" s="145">
        <v>10700000</v>
      </c>
      <c r="G145" s="6"/>
      <c r="H145" s="6"/>
      <c r="I145" s="6"/>
      <c r="J145" s="6"/>
      <c r="K145" s="6"/>
      <c r="L145" s="6"/>
      <c r="M145" s="6"/>
      <c r="N145" s="6"/>
      <c r="O145" s="6"/>
      <c r="P145" s="6"/>
    </row>
    <row r="146" spans="2:16">
      <c r="B146" s="2" t="s">
        <v>484</v>
      </c>
      <c r="C146" s="2" t="s">
        <v>134</v>
      </c>
      <c r="D146" s="2" t="s">
        <v>134</v>
      </c>
      <c r="E146" s="2" t="s">
        <v>134</v>
      </c>
      <c r="F146" s="145">
        <v>2900000</v>
      </c>
      <c r="G146" s="6"/>
      <c r="H146" s="6"/>
      <c r="I146" s="6"/>
      <c r="J146" s="6"/>
      <c r="K146" s="6"/>
      <c r="L146" s="6"/>
      <c r="M146" s="6"/>
      <c r="N146" s="6"/>
      <c r="O146" s="6"/>
      <c r="P146" s="6"/>
    </row>
    <row r="147" spans="2:16">
      <c r="B147" s="2" t="s">
        <v>485</v>
      </c>
      <c r="C147" s="145">
        <v>3880000</v>
      </c>
      <c r="D147" s="145">
        <v>2037000</v>
      </c>
      <c r="E147" s="145">
        <v>831000</v>
      </c>
      <c r="F147" s="2" t="s">
        <v>134</v>
      </c>
      <c r="G147" s="6"/>
      <c r="H147" s="6"/>
      <c r="I147" s="6"/>
      <c r="J147" s="6"/>
      <c r="K147" s="6"/>
      <c r="L147" s="6"/>
      <c r="M147" s="6"/>
      <c r="N147" s="6"/>
      <c r="O147" s="6"/>
      <c r="P147" s="6"/>
    </row>
    <row r="148" spans="2:16">
      <c r="B148" s="2" t="s">
        <v>486</v>
      </c>
      <c r="C148" s="145">
        <v>178892000</v>
      </c>
      <c r="D148" s="145">
        <v>256305000</v>
      </c>
      <c r="E148" s="145">
        <v>216190000</v>
      </c>
      <c r="F148" s="145">
        <v>262034000</v>
      </c>
      <c r="G148" s="6"/>
      <c r="H148" s="6"/>
      <c r="I148" s="6"/>
      <c r="J148" s="6"/>
      <c r="K148" s="6"/>
      <c r="L148" s="6"/>
      <c r="M148" s="6"/>
      <c r="N148" s="6"/>
      <c r="O148" s="6"/>
      <c r="P148" s="6"/>
    </row>
    <row r="149" spans="2:16">
      <c r="B149" s="2" t="s">
        <v>487</v>
      </c>
      <c r="C149" s="145">
        <v>35110000</v>
      </c>
      <c r="D149" s="145">
        <v>39591000</v>
      </c>
      <c r="E149" s="145">
        <v>37330000</v>
      </c>
      <c r="F149" s="145">
        <v>40726000</v>
      </c>
      <c r="G149" s="6"/>
      <c r="H149" s="6"/>
      <c r="I149" s="6"/>
      <c r="J149" s="6"/>
      <c r="K149" s="6"/>
      <c r="L149" s="6"/>
      <c r="M149" s="6"/>
      <c r="N149" s="6"/>
      <c r="O149" s="6"/>
      <c r="P149" s="6"/>
    </row>
    <row r="150" spans="2:16">
      <c r="B150" s="2" t="s">
        <v>488</v>
      </c>
      <c r="C150" s="145">
        <v>64065000</v>
      </c>
      <c r="D150" s="145">
        <v>73833000</v>
      </c>
      <c r="E150" s="145">
        <v>67177000</v>
      </c>
      <c r="F150" s="145">
        <v>79085000</v>
      </c>
      <c r="G150" s="6"/>
      <c r="H150" s="6"/>
      <c r="I150" s="6"/>
      <c r="J150" s="6"/>
      <c r="K150" s="6"/>
      <c r="L150" s="6"/>
      <c r="M150" s="6"/>
      <c r="N150" s="6"/>
      <c r="O150" s="6"/>
      <c r="P150" s="6"/>
    </row>
    <row r="151" spans="2:16">
      <c r="B151" s="2" t="s">
        <v>489</v>
      </c>
      <c r="C151" s="145">
        <v>56075000</v>
      </c>
      <c r="D151" s="145">
        <v>63462000</v>
      </c>
      <c r="E151" s="145">
        <v>49449000</v>
      </c>
      <c r="F151" s="145">
        <v>60372000</v>
      </c>
      <c r="G151" s="6"/>
      <c r="H151" s="6"/>
      <c r="I151" s="6"/>
      <c r="J151" s="6"/>
      <c r="K151" s="6"/>
      <c r="L151" s="6"/>
      <c r="M151" s="6"/>
      <c r="N151" s="6"/>
      <c r="O151" s="6"/>
      <c r="P151" s="6"/>
    </row>
    <row r="152" spans="2:16">
      <c r="B152" s="2" t="s">
        <v>490</v>
      </c>
      <c r="C152" s="145">
        <v>92055000</v>
      </c>
      <c r="D152" s="145">
        <v>79419000</v>
      </c>
      <c r="E152" s="145">
        <v>62234000</v>
      </c>
      <c r="F152" s="145">
        <v>81851000</v>
      </c>
      <c r="G152" s="6"/>
      <c r="H152" s="6"/>
      <c r="I152" s="6"/>
      <c r="J152" s="6"/>
      <c r="K152" s="6"/>
      <c r="L152" s="6"/>
      <c r="M152" s="6"/>
      <c r="N152" s="6"/>
      <c r="O152" s="6"/>
      <c r="P152" s="6"/>
    </row>
    <row r="153" spans="2:16">
      <c r="B153" s="2" t="s">
        <v>491</v>
      </c>
      <c r="C153" s="145">
        <v>-68413000</v>
      </c>
      <c r="D153" s="2" t="s">
        <v>134</v>
      </c>
      <c r="E153" s="2" t="s">
        <v>134</v>
      </c>
      <c r="F153" s="2" t="s">
        <v>134</v>
      </c>
      <c r="G153" s="6"/>
      <c r="H153" s="6"/>
      <c r="I153" s="6"/>
      <c r="J153" s="6"/>
      <c r="K153" s="6"/>
      <c r="L153" s="6"/>
      <c r="M153" s="6"/>
      <c r="N153" s="6"/>
      <c r="O153" s="6"/>
      <c r="P153" s="6"/>
    </row>
    <row r="154" spans="2:16">
      <c r="B154" s="2" t="s">
        <v>492</v>
      </c>
      <c r="C154" s="145">
        <v>355452000</v>
      </c>
      <c r="D154" s="145">
        <v>391095000</v>
      </c>
      <c r="E154" s="145">
        <v>384757000</v>
      </c>
      <c r="F154" s="145">
        <v>500740000</v>
      </c>
      <c r="G154" s="6"/>
      <c r="H154" s="6"/>
      <c r="I154" s="6"/>
      <c r="J154" s="6"/>
      <c r="K154" s="6"/>
      <c r="L154" s="6"/>
      <c r="M154" s="6"/>
      <c r="N154" s="6"/>
      <c r="O154" s="6"/>
      <c r="P154" s="6"/>
    </row>
    <row r="155" spans="2:16">
      <c r="B155" s="2" t="s">
        <v>493</v>
      </c>
      <c r="C155" s="145">
        <v>191168000</v>
      </c>
      <c r="D155" s="145">
        <v>172344000</v>
      </c>
      <c r="E155" s="145">
        <v>205066000</v>
      </c>
      <c r="F155" s="145">
        <v>128926000</v>
      </c>
      <c r="G155" s="6"/>
      <c r="H155" s="6"/>
      <c r="I155" s="6"/>
      <c r="J155" s="6"/>
      <c r="K155" s="6"/>
      <c r="L155" s="6"/>
      <c r="M155" s="6"/>
      <c r="N155" s="6"/>
      <c r="O155" s="6"/>
      <c r="P155" s="6"/>
    </row>
    <row r="156" spans="2:16">
      <c r="B156" s="2" t="s">
        <v>494</v>
      </c>
      <c r="C156" s="145">
        <v>20680000</v>
      </c>
      <c r="D156" s="145">
        <v>2037000</v>
      </c>
      <c r="E156" s="145">
        <v>831000</v>
      </c>
      <c r="F156" s="145">
        <v>72900000</v>
      </c>
      <c r="G156" s="6"/>
      <c r="H156" s="6"/>
      <c r="I156" s="6"/>
      <c r="J156" s="6"/>
      <c r="K156" s="6"/>
      <c r="L156" s="6"/>
      <c r="M156" s="6"/>
      <c r="N156" s="6"/>
      <c r="O156" s="6"/>
      <c r="P156" s="6"/>
    </row>
    <row r="157" spans="2:16">
      <c r="B157" s="2" t="s">
        <v>495</v>
      </c>
      <c r="C157" s="145">
        <v>64065000</v>
      </c>
      <c r="D157" s="145">
        <v>73833000</v>
      </c>
      <c r="E157" s="145">
        <v>67177000</v>
      </c>
      <c r="F157" s="145">
        <v>89785000</v>
      </c>
      <c r="G157" s="6"/>
      <c r="H157" s="6"/>
      <c r="I157" s="6"/>
      <c r="J157" s="6"/>
      <c r="K157" s="6"/>
      <c r="L157" s="6"/>
      <c r="M157" s="6"/>
      <c r="N157" s="6"/>
      <c r="O157" s="6"/>
      <c r="P157" s="6"/>
    </row>
    <row r="158" spans="2:16">
      <c r="B158" s="2" t="s">
        <v>496</v>
      </c>
      <c r="C158" s="2" t="s">
        <v>134</v>
      </c>
      <c r="D158" s="2" t="s">
        <v>134</v>
      </c>
      <c r="E158" s="2" t="s">
        <v>134</v>
      </c>
      <c r="F158" s="145">
        <v>65000000</v>
      </c>
      <c r="G158" s="6"/>
      <c r="H158" s="6"/>
      <c r="I158" s="6"/>
      <c r="J158" s="6"/>
      <c r="K158" s="6"/>
      <c r="L158" s="6"/>
      <c r="M158" s="6"/>
      <c r="N158" s="6"/>
      <c r="O158" s="6"/>
      <c r="P158" s="6"/>
    </row>
    <row r="159" spans="2:16">
      <c r="B159" s="2" t="s">
        <v>497</v>
      </c>
      <c r="C159" s="145">
        <v>56075000</v>
      </c>
      <c r="D159" s="145">
        <v>63462000</v>
      </c>
      <c r="E159" s="145">
        <v>49449000</v>
      </c>
      <c r="F159" s="145">
        <v>63272000</v>
      </c>
      <c r="G159" s="6"/>
      <c r="H159" s="6"/>
      <c r="I159" s="6"/>
      <c r="J159" s="6"/>
      <c r="K159" s="6"/>
      <c r="L159" s="6"/>
      <c r="M159" s="6"/>
      <c r="N159" s="6"/>
      <c r="O159" s="6"/>
      <c r="P159" s="6"/>
    </row>
    <row r="160" spans="2:16">
      <c r="B160" s="2" t="s">
        <v>498</v>
      </c>
      <c r="C160" s="145">
        <v>92055000</v>
      </c>
      <c r="D160" s="145">
        <v>79419000</v>
      </c>
      <c r="E160" s="145">
        <v>62234000</v>
      </c>
      <c r="F160" s="145">
        <v>81851000</v>
      </c>
      <c r="G160" s="6"/>
      <c r="H160" s="6"/>
      <c r="I160" s="6"/>
      <c r="J160" s="6"/>
      <c r="K160" s="6"/>
      <c r="L160" s="6"/>
      <c r="M160" s="6"/>
      <c r="N160" s="6"/>
      <c r="O160" s="6"/>
      <c r="P160" s="6"/>
    </row>
    <row r="161" spans="2:16">
      <c r="B161" s="2" t="s">
        <v>499</v>
      </c>
      <c r="C161" s="145">
        <v>-68591000</v>
      </c>
      <c r="D161" s="2" t="s">
        <v>134</v>
      </c>
      <c r="E161" s="2" t="s">
        <v>134</v>
      </c>
      <c r="F161" s="145">
        <v>-994000</v>
      </c>
      <c r="G161" s="6"/>
      <c r="H161" s="6"/>
      <c r="I161" s="6"/>
      <c r="J161" s="6"/>
      <c r="K161" s="6"/>
      <c r="L161" s="6"/>
      <c r="M161" s="6"/>
      <c r="N161" s="6"/>
      <c r="O161" s="6"/>
      <c r="P161" s="6"/>
    </row>
    <row r="162" spans="2:16">
      <c r="B162" s="2" t="s">
        <v>500</v>
      </c>
      <c r="C162" s="2"/>
      <c r="D162" s="2"/>
      <c r="E162" s="2"/>
      <c r="F162" s="2"/>
      <c r="G162" s="6"/>
      <c r="H162" s="6"/>
      <c r="I162" s="6"/>
      <c r="J162" s="6"/>
      <c r="K162" s="6"/>
      <c r="L162" s="6"/>
      <c r="M162" s="6"/>
      <c r="N162" s="6"/>
      <c r="O162" s="6"/>
      <c r="P162" s="6"/>
    </row>
    <row r="163" spans="2:16"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</row>
  </sheetData>
  <mergeCells count="1">
    <mergeCell ref="O3:P3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C00000"/>
  </sheetPr>
  <dimension ref="B2:N81"/>
  <sheetViews>
    <sheetView zoomScale="85" zoomScaleNormal="85" workbookViewId="0">
      <selection activeCell="J77" sqref="J77"/>
    </sheetView>
  </sheetViews>
  <sheetFormatPr defaultRowHeight="16.5"/>
  <cols>
    <col min="3" max="3" width="80.28515625" bestFit="1" customWidth="1"/>
    <col min="4" max="7" width="11" bestFit="1" customWidth="1"/>
    <col min="10" max="10" width="42.7109375" bestFit="1" customWidth="1"/>
    <col min="11" max="11" width="45.42578125" bestFit="1" customWidth="1"/>
    <col min="12" max="12" width="9.85546875" bestFit="1" customWidth="1"/>
  </cols>
  <sheetData>
    <row r="2" spans="2:14" ht="17.25" thickBot="1">
      <c r="B2" s="141"/>
      <c r="C2" s="142" t="s">
        <v>501</v>
      </c>
      <c r="D2" s="142" t="s">
        <v>226</v>
      </c>
      <c r="E2" s="142" t="s">
        <v>227</v>
      </c>
      <c r="F2" s="142" t="s">
        <v>228</v>
      </c>
      <c r="G2" s="142" t="s">
        <v>229</v>
      </c>
      <c r="H2" s="141"/>
      <c r="I2" s="141"/>
      <c r="J2" s="141"/>
      <c r="K2" s="141"/>
      <c r="L2" s="141"/>
      <c r="M2" s="141"/>
      <c r="N2" s="141"/>
    </row>
    <row r="3" spans="2:14" ht="17.25" thickBot="1">
      <c r="B3" s="6"/>
      <c r="C3" s="2" t="s">
        <v>502</v>
      </c>
      <c r="D3" s="145">
        <v>228621000</v>
      </c>
      <c r="E3" s="145">
        <v>213726000</v>
      </c>
      <c r="F3" s="145">
        <v>187454000</v>
      </c>
      <c r="G3" s="145">
        <v>204961000</v>
      </c>
      <c r="H3" s="6"/>
      <c r="I3" s="6"/>
      <c r="J3" s="183" t="s">
        <v>213</v>
      </c>
    </row>
    <row r="4" spans="2:14">
      <c r="B4" s="6"/>
      <c r="C4" s="2" t="s">
        <v>503</v>
      </c>
      <c r="D4" s="145">
        <v>228621000</v>
      </c>
      <c r="E4" s="145">
        <v>213726000</v>
      </c>
      <c r="F4" s="145">
        <v>187454000</v>
      </c>
      <c r="G4" s="145">
        <v>204961000</v>
      </c>
      <c r="H4" s="6"/>
      <c r="I4" s="6"/>
      <c r="J4" s="171"/>
      <c r="K4" s="171"/>
      <c r="L4" s="171"/>
      <c r="M4" s="171"/>
      <c r="N4" s="171"/>
    </row>
    <row r="5" spans="2:14">
      <c r="B5" s="6"/>
      <c r="C5" s="2" t="s">
        <v>504</v>
      </c>
      <c r="D5" s="145">
        <v>272144000</v>
      </c>
      <c r="E5" s="145">
        <v>256780000</v>
      </c>
      <c r="F5" s="145">
        <v>236141000</v>
      </c>
      <c r="G5" s="145">
        <v>251290000</v>
      </c>
      <c r="H5" s="6"/>
      <c r="I5" s="6"/>
      <c r="J5" s="146" t="s">
        <v>231</v>
      </c>
      <c r="K5" s="147"/>
      <c r="L5" s="147"/>
      <c r="M5" s="147"/>
      <c r="N5" s="147"/>
    </row>
    <row r="6" spans="2:14">
      <c r="B6" s="6"/>
      <c r="C6" s="2" t="s">
        <v>505</v>
      </c>
      <c r="D6" s="145">
        <v>116769000</v>
      </c>
      <c r="E6" s="145">
        <v>102617000</v>
      </c>
      <c r="F6" s="145">
        <v>132101000</v>
      </c>
      <c r="G6" s="145">
        <v>137308000</v>
      </c>
      <c r="H6" s="6"/>
      <c r="I6" s="6"/>
    </row>
    <row r="7" spans="2:14">
      <c r="B7" s="6"/>
      <c r="C7" s="2" t="s">
        <v>506</v>
      </c>
      <c r="D7" s="145">
        <v>141128000</v>
      </c>
      <c r="E7" s="145">
        <v>139806000</v>
      </c>
      <c r="F7" s="145">
        <v>137860000</v>
      </c>
      <c r="G7" s="145">
        <v>153857000</v>
      </c>
      <c r="H7" s="6"/>
      <c r="I7" s="6"/>
      <c r="J7" s="151" t="s">
        <v>507</v>
      </c>
    </row>
    <row r="8" spans="2:14">
      <c r="B8" s="6"/>
      <c r="C8" s="2" t="s">
        <v>508</v>
      </c>
      <c r="D8" s="145">
        <v>62873000</v>
      </c>
      <c r="E8" s="145">
        <v>62645000</v>
      </c>
      <c r="F8" s="145">
        <v>61553000</v>
      </c>
      <c r="G8" s="145">
        <v>73771000</v>
      </c>
      <c r="H8" s="6"/>
      <c r="I8" s="6"/>
      <c r="K8" s="152" t="s">
        <v>135</v>
      </c>
    </row>
    <row r="9" spans="2:14">
      <c r="B9" s="6"/>
      <c r="C9" s="2" t="s">
        <v>509</v>
      </c>
      <c r="D9" s="145">
        <v>62873000</v>
      </c>
      <c r="E9" s="145">
        <v>62645000</v>
      </c>
      <c r="F9" s="145">
        <v>61553000</v>
      </c>
      <c r="G9" s="145">
        <v>73771000</v>
      </c>
      <c r="H9" s="6"/>
      <c r="I9" s="6"/>
      <c r="K9" s="152" t="s">
        <v>207</v>
      </c>
    </row>
    <row r="10" spans="2:14">
      <c r="B10" s="6"/>
      <c r="C10" s="2" t="s">
        <v>510</v>
      </c>
      <c r="D10" s="145">
        <v>-998000</v>
      </c>
      <c r="E10" s="145">
        <v>-729000</v>
      </c>
      <c r="F10" s="145">
        <v>-1062000</v>
      </c>
      <c r="G10" s="145">
        <v>-798000</v>
      </c>
      <c r="H10" s="6"/>
      <c r="I10" s="6"/>
    </row>
    <row r="11" spans="2:14">
      <c r="B11" s="6"/>
      <c r="C11" s="2" t="s">
        <v>511</v>
      </c>
      <c r="D11" s="145">
        <v>37520000</v>
      </c>
      <c r="E11" s="145">
        <v>38230000</v>
      </c>
      <c r="F11" s="145">
        <v>44165000</v>
      </c>
      <c r="G11" s="145">
        <v>49733000</v>
      </c>
      <c r="H11" s="6"/>
      <c r="I11" s="6"/>
      <c r="K11" s="151" t="s">
        <v>512</v>
      </c>
    </row>
    <row r="12" spans="2:14">
      <c r="B12" s="6"/>
      <c r="C12" s="2" t="s">
        <v>513</v>
      </c>
      <c r="D12" s="145">
        <v>27183000</v>
      </c>
      <c r="E12" s="145">
        <v>30074000</v>
      </c>
      <c r="F12" s="145">
        <v>32439000</v>
      </c>
      <c r="G12" s="145">
        <v>27201000</v>
      </c>
      <c r="H12" s="6"/>
      <c r="I12" s="6"/>
      <c r="L12" s="158" t="s">
        <v>931</v>
      </c>
    </row>
    <row r="13" spans="2:14">
      <c r="B13" s="6"/>
      <c r="C13" s="2" t="s">
        <v>514</v>
      </c>
      <c r="D13" s="145">
        <v>13171000</v>
      </c>
      <c r="E13" s="145">
        <v>10709000</v>
      </c>
      <c r="F13" s="145">
        <v>9594000</v>
      </c>
      <c r="G13" s="145">
        <v>13540000</v>
      </c>
      <c r="H13" s="6"/>
      <c r="I13" s="6"/>
      <c r="L13" s="158" t="s">
        <v>931</v>
      </c>
    </row>
    <row r="14" spans="2:14">
      <c r="B14" s="6"/>
      <c r="C14" s="2" t="s">
        <v>515</v>
      </c>
      <c r="D14" s="145">
        <v>712000</v>
      </c>
      <c r="E14" s="145">
        <v>924000</v>
      </c>
      <c r="F14" s="145">
        <v>-115000</v>
      </c>
      <c r="G14" s="145">
        <v>-778000</v>
      </c>
      <c r="H14" s="6"/>
      <c r="I14" s="6"/>
      <c r="L14" s="158" t="s">
        <v>931</v>
      </c>
    </row>
    <row r="15" spans="2:14">
      <c r="B15" s="6"/>
      <c r="C15" s="2" t="s">
        <v>516</v>
      </c>
      <c r="D15" s="145">
        <v>-3393000</v>
      </c>
      <c r="E15" s="145">
        <v>-2114000</v>
      </c>
      <c r="F15" s="145">
        <v>-8385000</v>
      </c>
      <c r="G15" s="145">
        <v>-8252000</v>
      </c>
      <c r="H15" s="6"/>
      <c r="I15" s="6"/>
      <c r="L15" s="158" t="s">
        <v>931</v>
      </c>
    </row>
    <row r="16" spans="2:14">
      <c r="B16" s="6"/>
      <c r="C16" s="2" t="s">
        <v>517</v>
      </c>
      <c r="D16" s="2" t="s">
        <v>134</v>
      </c>
      <c r="E16" s="2" t="s">
        <v>134</v>
      </c>
      <c r="F16" s="2" t="s">
        <v>134</v>
      </c>
      <c r="G16" s="145">
        <v>-7991000</v>
      </c>
      <c r="H16" s="6"/>
      <c r="I16" s="6"/>
      <c r="L16" s="158" t="s">
        <v>931</v>
      </c>
    </row>
    <row r="17" spans="2:14">
      <c r="B17" s="6"/>
      <c r="C17" s="2" t="s">
        <v>518</v>
      </c>
      <c r="D17" s="145">
        <v>4110000</v>
      </c>
      <c r="E17" s="145">
        <v>-4145000</v>
      </c>
      <c r="F17" s="145">
        <v>3254000</v>
      </c>
      <c r="G17" s="145">
        <v>-2446000</v>
      </c>
      <c r="H17" s="6"/>
      <c r="I17" s="6"/>
      <c r="L17" s="158" t="s">
        <v>931</v>
      </c>
    </row>
    <row r="18" spans="2:14">
      <c r="B18" s="6"/>
      <c r="C18" s="2" t="s">
        <v>519</v>
      </c>
      <c r="D18" s="145">
        <v>44000</v>
      </c>
      <c r="E18" s="145">
        <v>8383000</v>
      </c>
      <c r="F18" s="145">
        <v>-4502000</v>
      </c>
      <c r="G18" s="145">
        <v>2185000</v>
      </c>
      <c r="H18" s="6"/>
      <c r="I18" s="6"/>
      <c r="K18" s="151" t="s">
        <v>520</v>
      </c>
    </row>
    <row r="19" spans="2:14">
      <c r="B19" s="6"/>
      <c r="C19" s="2" t="s">
        <v>521</v>
      </c>
      <c r="D19" s="145">
        <v>-7547000</v>
      </c>
      <c r="E19" s="145">
        <v>-6352000</v>
      </c>
      <c r="F19" s="145">
        <v>-7137000</v>
      </c>
      <c r="G19" s="2" t="s">
        <v>134</v>
      </c>
      <c r="H19" s="6"/>
      <c r="I19" s="6"/>
      <c r="J19" s="151" t="s">
        <v>522</v>
      </c>
    </row>
    <row r="20" spans="2:14">
      <c r="B20" s="6"/>
      <c r="C20" s="2" t="s">
        <v>523</v>
      </c>
      <c r="D20" s="2" t="s">
        <v>134</v>
      </c>
      <c r="E20" s="2" t="s">
        <v>134</v>
      </c>
      <c r="F20" s="2" t="s">
        <v>134</v>
      </c>
      <c r="G20" s="2" t="s">
        <v>134</v>
      </c>
      <c r="H20" s="6"/>
      <c r="I20" s="6"/>
    </row>
    <row r="21" spans="2:14">
      <c r="B21" s="6"/>
      <c r="C21" s="2" t="s">
        <v>524</v>
      </c>
      <c r="D21" s="145">
        <v>4062000</v>
      </c>
      <c r="E21" s="145">
        <v>67000</v>
      </c>
      <c r="F21" s="145">
        <v>-329000</v>
      </c>
      <c r="G21" s="145">
        <v>-560000</v>
      </c>
      <c r="H21" s="6"/>
      <c r="I21" s="6"/>
      <c r="J21" s="151" t="s">
        <v>525</v>
      </c>
    </row>
    <row r="22" spans="2:14">
      <c r="B22" s="6"/>
      <c r="C22" s="2" t="s">
        <v>526</v>
      </c>
      <c r="D22" s="145">
        <v>-23000</v>
      </c>
      <c r="E22" s="145">
        <v>67000</v>
      </c>
      <c r="F22" s="145">
        <v>-329000</v>
      </c>
      <c r="G22" s="145">
        <v>-560000</v>
      </c>
      <c r="H22" s="6"/>
      <c r="I22" s="6"/>
      <c r="K22" s="152" t="s">
        <v>527</v>
      </c>
    </row>
    <row r="23" spans="2:14">
      <c r="B23" s="6"/>
      <c r="C23" s="2" t="s">
        <v>528</v>
      </c>
      <c r="D23" s="145">
        <v>-23000</v>
      </c>
      <c r="E23" s="145">
        <v>67000</v>
      </c>
      <c r="F23" s="145">
        <v>-329000</v>
      </c>
      <c r="G23" s="145">
        <v>-560000</v>
      </c>
      <c r="H23" s="6"/>
      <c r="I23" s="6"/>
      <c r="J23" s="151" t="s">
        <v>529</v>
      </c>
    </row>
    <row r="24" spans="2:14">
      <c r="B24" s="6"/>
      <c r="C24" s="2" t="s">
        <v>530</v>
      </c>
      <c r="D24" s="145">
        <v>4085000</v>
      </c>
      <c r="E24" s="145">
        <v>0</v>
      </c>
      <c r="F24" s="145">
        <v>0</v>
      </c>
      <c r="G24" s="2" t="s">
        <v>134</v>
      </c>
      <c r="H24" s="6"/>
      <c r="I24" s="6"/>
      <c r="J24" s="184" t="s">
        <v>531</v>
      </c>
      <c r="K24" s="33"/>
      <c r="L24" s="33"/>
      <c r="M24" s="33"/>
      <c r="N24" s="33"/>
    </row>
    <row r="25" spans="2:14">
      <c r="B25" s="6"/>
      <c r="C25" s="2" t="s">
        <v>532</v>
      </c>
      <c r="D25" s="145">
        <v>0</v>
      </c>
      <c r="E25" s="2" t="s">
        <v>134</v>
      </c>
      <c r="F25" s="2" t="s">
        <v>134</v>
      </c>
      <c r="G25" s="2" t="s">
        <v>134</v>
      </c>
      <c r="H25" s="6"/>
      <c r="I25" s="6"/>
      <c r="J25" s="151" t="s">
        <v>533</v>
      </c>
    </row>
    <row r="26" spans="2:14">
      <c r="B26" s="6"/>
      <c r="C26" s="2" t="s">
        <v>534</v>
      </c>
      <c r="D26" s="145">
        <v>-2000</v>
      </c>
      <c r="E26" s="145">
        <v>0</v>
      </c>
      <c r="F26" s="145">
        <v>0</v>
      </c>
      <c r="G26" s="145">
        <v>0</v>
      </c>
      <c r="H26" s="6"/>
      <c r="I26" s="6"/>
      <c r="K26" s="152" t="s">
        <v>535</v>
      </c>
    </row>
    <row r="27" spans="2:14">
      <c r="B27" s="6"/>
      <c r="C27" s="2" t="s">
        <v>536</v>
      </c>
      <c r="D27" s="145">
        <v>14247000</v>
      </c>
      <c r="E27" s="145">
        <v>14357000</v>
      </c>
      <c r="F27" s="145">
        <v>-33820000</v>
      </c>
      <c r="G27" s="145">
        <v>-39875000</v>
      </c>
      <c r="H27" s="6"/>
      <c r="I27" s="6"/>
      <c r="K27" s="152" t="s">
        <v>537</v>
      </c>
    </row>
    <row r="28" spans="2:14">
      <c r="B28" s="6"/>
      <c r="C28" s="2" t="s">
        <v>538</v>
      </c>
      <c r="D28" s="145">
        <v>-13483000</v>
      </c>
      <c r="E28" s="145">
        <v>4994000</v>
      </c>
      <c r="F28" s="145">
        <v>-39667000</v>
      </c>
      <c r="G28" s="145">
        <v>-12445000</v>
      </c>
      <c r="H28" s="6"/>
      <c r="I28" s="6"/>
      <c r="K28" s="152" t="s">
        <v>539</v>
      </c>
    </row>
    <row r="29" spans="2:14">
      <c r="B29" s="6"/>
      <c r="C29" s="2" t="s">
        <v>540</v>
      </c>
      <c r="D29" s="145">
        <v>-24154000</v>
      </c>
      <c r="E29" s="145">
        <v>7174000</v>
      </c>
      <c r="F29" s="145">
        <v>-24325000</v>
      </c>
      <c r="G29" s="145">
        <v>-25660000</v>
      </c>
      <c r="H29" s="6"/>
      <c r="I29" s="6"/>
      <c r="K29" s="151" t="s">
        <v>541</v>
      </c>
    </row>
    <row r="30" spans="2:14">
      <c r="B30" s="6"/>
      <c r="C30" s="2" t="s">
        <v>542</v>
      </c>
      <c r="D30" s="145">
        <v>13876000</v>
      </c>
      <c r="E30" s="145">
        <v>-4412000</v>
      </c>
      <c r="F30" s="145">
        <v>-1456000</v>
      </c>
      <c r="G30" s="145">
        <v>-6810000</v>
      </c>
      <c r="H30" s="6"/>
      <c r="I30" s="6"/>
    </row>
    <row r="31" spans="2:14">
      <c r="B31" s="6"/>
      <c r="C31" s="2" t="s">
        <v>543</v>
      </c>
      <c r="D31" s="145">
        <v>13876000</v>
      </c>
      <c r="E31" s="145">
        <v>-4412000</v>
      </c>
      <c r="F31" s="145">
        <v>-1456000</v>
      </c>
      <c r="G31" s="145">
        <v>-6810000</v>
      </c>
      <c r="H31" s="6"/>
      <c r="I31" s="6"/>
      <c r="K31" s="152" t="s">
        <v>544</v>
      </c>
    </row>
    <row r="32" spans="2:14">
      <c r="B32" s="6"/>
      <c r="C32" s="2" t="s">
        <v>545</v>
      </c>
      <c r="D32" s="145">
        <v>13876000</v>
      </c>
      <c r="E32" s="145">
        <v>-4412000</v>
      </c>
      <c r="F32" s="145">
        <v>-1456000</v>
      </c>
      <c r="G32" s="145">
        <v>-6810000</v>
      </c>
      <c r="H32" s="6"/>
      <c r="I32" s="6"/>
      <c r="J32" s="151" t="s">
        <v>546</v>
      </c>
      <c r="K32" s="156"/>
      <c r="L32" s="156"/>
      <c r="M32" s="156"/>
      <c r="N32" s="156"/>
    </row>
    <row r="33" spans="2:14">
      <c r="B33" s="6"/>
      <c r="C33" s="2" t="s">
        <v>547</v>
      </c>
      <c r="D33" s="145">
        <v>19017000</v>
      </c>
      <c r="E33" s="145">
        <v>-2687000</v>
      </c>
      <c r="F33" s="145">
        <v>-2627000</v>
      </c>
      <c r="G33" s="145">
        <v>-2352000</v>
      </c>
      <c r="H33" s="6"/>
      <c r="I33" s="6"/>
    </row>
    <row r="34" spans="2:14">
      <c r="B34" s="6"/>
      <c r="C34" s="2" t="s">
        <v>548</v>
      </c>
      <c r="D34" s="145">
        <v>18991000</v>
      </c>
      <c r="E34" s="145">
        <v>9288000</v>
      </c>
      <c r="F34" s="145">
        <v>34255000</v>
      </c>
      <c r="G34" s="145">
        <v>7392000</v>
      </c>
      <c r="H34" s="6"/>
      <c r="I34" s="6"/>
      <c r="J34" s="151" t="s">
        <v>549</v>
      </c>
      <c r="K34" s="156"/>
      <c r="L34" s="156"/>
      <c r="M34" s="156"/>
      <c r="N34" s="156"/>
    </row>
    <row r="35" spans="2:14">
      <c r="B35" s="6"/>
      <c r="C35" s="2" t="s">
        <v>550</v>
      </c>
      <c r="D35" s="145">
        <v>-15180000</v>
      </c>
      <c r="E35" s="145">
        <v>-14454000</v>
      </c>
      <c r="F35" s="145">
        <v>-13392000</v>
      </c>
      <c r="G35" s="145">
        <v>-15970000</v>
      </c>
      <c r="H35" s="6"/>
      <c r="I35" s="6"/>
      <c r="J35" s="151"/>
      <c r="K35" s="152" t="s">
        <v>551</v>
      </c>
    </row>
    <row r="36" spans="2:14">
      <c r="B36" s="6"/>
      <c r="C36" s="2" t="s">
        <v>552</v>
      </c>
      <c r="D36" s="145">
        <v>2837000</v>
      </c>
      <c r="E36" s="145">
        <v>4935000</v>
      </c>
      <c r="F36" s="145">
        <v>3577000</v>
      </c>
      <c r="G36" s="145">
        <v>5400000</v>
      </c>
      <c r="H36" s="6"/>
      <c r="I36" s="6"/>
      <c r="J36" s="151" t="s">
        <v>553</v>
      </c>
      <c r="K36" s="156"/>
      <c r="L36" s="156"/>
      <c r="M36" s="156"/>
      <c r="N36" s="156"/>
    </row>
    <row r="37" spans="2:14">
      <c r="B37" s="6"/>
      <c r="C37" s="2" t="s">
        <v>554</v>
      </c>
      <c r="D37" s="145">
        <v>-31180000</v>
      </c>
      <c r="E37" s="145">
        <v>-33535000</v>
      </c>
      <c r="F37" s="145">
        <v>-38872000</v>
      </c>
      <c r="G37" s="145">
        <v>-35759000</v>
      </c>
      <c r="H37" s="6"/>
      <c r="I37" s="6"/>
      <c r="J37" s="167"/>
      <c r="K37" s="168" t="s">
        <v>555</v>
      </c>
      <c r="L37" s="167"/>
      <c r="M37" s="167"/>
      <c r="N37" s="167"/>
    </row>
    <row r="38" spans="2:14">
      <c r="B38" s="6"/>
      <c r="C38" s="2" t="s">
        <v>556</v>
      </c>
      <c r="D38" s="145">
        <v>-96988000</v>
      </c>
      <c r="E38" s="145">
        <v>-92777000</v>
      </c>
      <c r="F38" s="145">
        <v>-48798000</v>
      </c>
      <c r="G38" s="145">
        <v>-233238000</v>
      </c>
      <c r="H38" s="6"/>
      <c r="I38" s="6"/>
    </row>
    <row r="39" spans="2:14">
      <c r="B39" s="6"/>
      <c r="C39" s="2" t="s">
        <v>557</v>
      </c>
      <c r="D39" s="145">
        <v>-96988000</v>
      </c>
      <c r="E39" s="145">
        <v>-92777000</v>
      </c>
      <c r="F39" s="145">
        <v>-48798000</v>
      </c>
      <c r="G39" s="145">
        <v>-233238000</v>
      </c>
      <c r="H39" s="6"/>
      <c r="I39" s="6"/>
      <c r="J39" s="166" t="s">
        <v>558</v>
      </c>
    </row>
    <row r="40" spans="2:14">
      <c r="B40" s="6"/>
      <c r="C40" s="2" t="s">
        <v>559</v>
      </c>
      <c r="D40" s="145">
        <v>-27778000</v>
      </c>
      <c r="E40" s="145">
        <v>-26341000</v>
      </c>
      <c r="F40" s="145">
        <v>-27926000</v>
      </c>
      <c r="G40" s="145">
        <v>-44383000</v>
      </c>
      <c r="H40" s="6"/>
      <c r="I40" s="6"/>
      <c r="J40" s="152" t="s">
        <v>560</v>
      </c>
    </row>
    <row r="41" spans="2:14">
      <c r="B41" s="6"/>
      <c r="C41" s="2" t="s">
        <v>561</v>
      </c>
      <c r="D41" s="145">
        <v>-27860000</v>
      </c>
      <c r="E41" s="145">
        <v>-26530000</v>
      </c>
      <c r="F41" s="145">
        <v>-28327000</v>
      </c>
      <c r="G41" s="145">
        <v>-44951000</v>
      </c>
      <c r="H41" s="6"/>
      <c r="I41" s="6"/>
      <c r="J41" s="152" t="s">
        <v>562</v>
      </c>
    </row>
    <row r="42" spans="2:14">
      <c r="B42" s="6"/>
      <c r="C42" s="2" t="s">
        <v>563</v>
      </c>
      <c r="D42" s="145">
        <v>82000</v>
      </c>
      <c r="E42" s="145">
        <v>189000</v>
      </c>
      <c r="F42" s="145">
        <v>401000</v>
      </c>
      <c r="G42" s="145">
        <v>568000</v>
      </c>
      <c r="H42" s="6"/>
      <c r="I42" s="6"/>
      <c r="J42" s="152"/>
    </row>
    <row r="43" spans="2:14">
      <c r="B43" s="6"/>
      <c r="C43" s="2" t="s">
        <v>564</v>
      </c>
      <c r="D43" s="145">
        <v>-1745000</v>
      </c>
      <c r="E43" s="145">
        <v>0</v>
      </c>
      <c r="F43" s="145">
        <v>-2876000</v>
      </c>
      <c r="G43" s="145">
        <v>-312756000</v>
      </c>
      <c r="H43" s="6"/>
      <c r="I43" s="6"/>
      <c r="J43" s="152" t="s">
        <v>565</v>
      </c>
    </row>
    <row r="44" spans="2:14">
      <c r="B44" s="6"/>
      <c r="C44" s="2" t="s">
        <v>566</v>
      </c>
      <c r="D44" s="145">
        <v>-1745000</v>
      </c>
      <c r="E44" s="145">
        <v>0</v>
      </c>
      <c r="F44" s="145">
        <v>-2876000</v>
      </c>
      <c r="G44" s="145">
        <v>-312756000</v>
      </c>
      <c r="H44" s="6"/>
      <c r="I44" s="6"/>
      <c r="J44" s="168" t="s">
        <v>567</v>
      </c>
      <c r="K44" s="167"/>
      <c r="L44" s="167"/>
      <c r="M44" s="167"/>
      <c r="N44" s="167"/>
    </row>
    <row r="45" spans="2:14">
      <c r="B45" s="6"/>
      <c r="C45" s="2" t="s">
        <v>568</v>
      </c>
      <c r="D45" s="145">
        <v>0</v>
      </c>
      <c r="E45" s="2" t="s">
        <v>134</v>
      </c>
      <c r="F45" s="2" t="s">
        <v>134</v>
      </c>
      <c r="G45" s="2" t="s">
        <v>134</v>
      </c>
      <c r="H45" s="6"/>
      <c r="I45" s="6"/>
    </row>
    <row r="46" spans="2:14">
      <c r="B46" s="6"/>
      <c r="C46" s="2" t="s">
        <v>569</v>
      </c>
      <c r="D46" s="145">
        <v>-67465000</v>
      </c>
      <c r="E46" s="145">
        <v>-66436000</v>
      </c>
      <c r="F46" s="145">
        <v>-17996000</v>
      </c>
      <c r="G46" s="145">
        <v>123901000</v>
      </c>
      <c r="H46" s="6"/>
      <c r="I46" s="6"/>
      <c r="J46" s="166" t="s">
        <v>570</v>
      </c>
    </row>
    <row r="47" spans="2:14">
      <c r="B47" s="6"/>
      <c r="C47" s="2" t="s">
        <v>571</v>
      </c>
      <c r="D47" s="145">
        <v>-76095000</v>
      </c>
      <c r="E47" s="145">
        <v>-73736000</v>
      </c>
      <c r="F47" s="145">
        <v>-115423000</v>
      </c>
      <c r="G47" s="145">
        <v>-76553000</v>
      </c>
      <c r="H47" s="6"/>
      <c r="I47" s="6"/>
      <c r="J47" s="152" t="s">
        <v>572</v>
      </c>
    </row>
    <row r="48" spans="2:14">
      <c r="B48" s="6"/>
      <c r="C48" s="2" t="s">
        <v>573</v>
      </c>
      <c r="D48" s="145">
        <v>8630000</v>
      </c>
      <c r="E48" s="145">
        <v>7300000</v>
      </c>
      <c r="F48" s="145">
        <v>97427000</v>
      </c>
      <c r="G48" s="145">
        <v>200454000</v>
      </c>
      <c r="H48" s="6"/>
      <c r="I48" s="6"/>
      <c r="J48" s="152" t="s">
        <v>574</v>
      </c>
    </row>
    <row r="49" spans="2:14">
      <c r="B49" s="6"/>
      <c r="C49" s="2" t="s">
        <v>575</v>
      </c>
      <c r="D49" s="145">
        <v>0</v>
      </c>
      <c r="E49" s="145">
        <v>0</v>
      </c>
      <c r="F49" s="2" t="s">
        <v>134</v>
      </c>
      <c r="G49" s="2" t="s">
        <v>134</v>
      </c>
      <c r="H49" s="6"/>
      <c r="I49" s="6"/>
      <c r="J49" s="152" t="s">
        <v>576</v>
      </c>
    </row>
    <row r="50" spans="2:14">
      <c r="B50" s="6"/>
      <c r="C50" s="2" t="s">
        <v>577</v>
      </c>
      <c r="D50" s="145">
        <v>0</v>
      </c>
      <c r="E50" s="145">
        <v>0</v>
      </c>
      <c r="F50" s="2" t="s">
        <v>134</v>
      </c>
      <c r="G50" s="2" t="s">
        <v>134</v>
      </c>
      <c r="H50" s="6"/>
      <c r="I50" s="6"/>
      <c r="J50" s="152" t="s">
        <v>578</v>
      </c>
      <c r="K50" s="158"/>
      <c r="L50" s="158"/>
      <c r="M50" s="158"/>
      <c r="N50" s="158"/>
    </row>
    <row r="51" spans="2:14">
      <c r="B51" s="6"/>
      <c r="C51" s="2" t="s">
        <v>579</v>
      </c>
      <c r="D51" s="145">
        <v>0</v>
      </c>
      <c r="E51" s="2" t="s">
        <v>134</v>
      </c>
      <c r="F51" s="2" t="s">
        <v>134</v>
      </c>
      <c r="G51" s="2" t="s">
        <v>134</v>
      </c>
      <c r="H51" s="6"/>
      <c r="I51" s="6"/>
      <c r="J51" s="168" t="s">
        <v>580</v>
      </c>
      <c r="K51" s="167"/>
      <c r="L51" s="167"/>
      <c r="M51" s="167"/>
      <c r="N51" s="167"/>
    </row>
    <row r="52" spans="2:14">
      <c r="B52" s="6"/>
      <c r="C52" s="2" t="s">
        <v>581</v>
      </c>
      <c r="D52" s="2" t="s">
        <v>134</v>
      </c>
      <c r="E52" s="2" t="s">
        <v>134</v>
      </c>
      <c r="F52" s="2" t="s">
        <v>134</v>
      </c>
      <c r="G52" s="2" t="s">
        <v>134</v>
      </c>
      <c r="H52" s="6"/>
      <c r="I52" s="6"/>
      <c r="J52" s="177" t="s">
        <v>397</v>
      </c>
    </row>
    <row r="53" spans="2:14">
      <c r="B53" s="6"/>
      <c r="C53" s="2" t="s">
        <v>582</v>
      </c>
      <c r="D53" s="2" t="s">
        <v>134</v>
      </c>
      <c r="E53" s="2" t="s">
        <v>134</v>
      </c>
      <c r="F53" s="2" t="s">
        <v>134</v>
      </c>
      <c r="G53" s="2" t="s">
        <v>134</v>
      </c>
      <c r="H53" s="6"/>
      <c r="I53" s="6"/>
      <c r="J53" s="177"/>
    </row>
    <row r="54" spans="2:14">
      <c r="B54" s="6"/>
      <c r="C54" s="2" t="s">
        <v>583</v>
      </c>
      <c r="D54" s="145">
        <v>-111732000</v>
      </c>
      <c r="E54" s="145">
        <v>-117762000</v>
      </c>
      <c r="F54" s="145">
        <v>-127121000</v>
      </c>
      <c r="G54" s="145">
        <v>63026000</v>
      </c>
      <c r="H54" s="6"/>
      <c r="I54" s="6"/>
    </row>
    <row r="55" spans="2:14">
      <c r="B55" s="6"/>
      <c r="C55" s="2" t="s">
        <v>584</v>
      </c>
      <c r="D55" s="145">
        <v>-111732000</v>
      </c>
      <c r="E55" s="145">
        <v>-117762000</v>
      </c>
      <c r="F55" s="145">
        <v>-127121000</v>
      </c>
      <c r="G55" s="145">
        <v>63026000</v>
      </c>
      <c r="H55" s="6"/>
      <c r="I55" s="6"/>
      <c r="J55" s="6"/>
      <c r="K55" s="6"/>
      <c r="L55" s="6"/>
      <c r="M55" s="6"/>
      <c r="N55" s="6"/>
    </row>
    <row r="56" spans="2:14">
      <c r="B56" s="6"/>
      <c r="C56" s="2" t="s">
        <v>585</v>
      </c>
      <c r="D56" s="145">
        <v>-63737000</v>
      </c>
      <c r="E56" s="145">
        <v>-78563000</v>
      </c>
      <c r="F56" s="145">
        <v>-85038000</v>
      </c>
      <c r="G56" s="145">
        <v>-81631000</v>
      </c>
      <c r="H56" s="6"/>
      <c r="I56" s="6"/>
      <c r="J56" s="678" t="s">
        <v>1040</v>
      </c>
      <c r="K56" s="547"/>
      <c r="L56" s="547"/>
      <c r="M56" s="547"/>
      <c r="N56" s="6"/>
    </row>
    <row r="57" spans="2:14">
      <c r="B57" s="6"/>
      <c r="C57" s="2" t="s">
        <v>586</v>
      </c>
      <c r="D57" s="145">
        <v>-63737000</v>
      </c>
      <c r="E57" s="145">
        <v>-78563000</v>
      </c>
      <c r="F57" s="145">
        <v>-85038000</v>
      </c>
      <c r="G57" s="145">
        <v>-81631000</v>
      </c>
      <c r="H57" s="6"/>
      <c r="I57" s="6"/>
      <c r="J57" s="547" t="s">
        <v>90</v>
      </c>
      <c r="K57" s="547"/>
      <c r="L57" s="679" t="e">
        <v>#REF!</v>
      </c>
      <c r="M57" s="679" t="e">
        <v>#REF!</v>
      </c>
      <c r="N57" s="6"/>
    </row>
    <row r="58" spans="2:14">
      <c r="B58" s="6"/>
      <c r="C58" s="2" t="s">
        <v>587</v>
      </c>
      <c r="D58" s="2" t="s">
        <v>134</v>
      </c>
      <c r="E58" s="2" t="s">
        <v>134</v>
      </c>
      <c r="F58" s="2" t="s">
        <v>134</v>
      </c>
      <c r="G58" s="2" t="s">
        <v>134</v>
      </c>
      <c r="H58" s="6"/>
      <c r="I58" s="6"/>
      <c r="J58" s="547" t="s">
        <v>207</v>
      </c>
      <c r="K58" s="547"/>
      <c r="L58" s="679" t="e">
        <v>#REF!</v>
      </c>
      <c r="M58" s="679" t="e">
        <v>#REF!</v>
      </c>
      <c r="N58" s="6"/>
    </row>
    <row r="59" spans="2:14">
      <c r="B59" s="6"/>
      <c r="C59" s="2" t="s">
        <v>588</v>
      </c>
      <c r="D59" s="145">
        <v>-28200000</v>
      </c>
      <c r="E59" s="145">
        <v>-16800000</v>
      </c>
      <c r="F59" s="145">
        <v>-16800000</v>
      </c>
      <c r="G59" s="145">
        <v>173226000</v>
      </c>
      <c r="H59" s="6"/>
      <c r="I59" s="6"/>
      <c r="J59" s="680" t="s">
        <v>1041</v>
      </c>
      <c r="K59" s="680"/>
      <c r="L59" s="681" t="e">
        <v>#REF!</v>
      </c>
      <c r="M59" s="681" t="e">
        <v>#REF!</v>
      </c>
      <c r="N59" s="6"/>
    </row>
    <row r="60" spans="2:14">
      <c r="B60" s="6"/>
      <c r="C60" s="2" t="s">
        <v>589</v>
      </c>
      <c r="D60" s="2" t="s">
        <v>134</v>
      </c>
      <c r="E60" s="2" t="s">
        <v>134</v>
      </c>
      <c r="F60" s="2" t="s">
        <v>134</v>
      </c>
      <c r="G60" s="145">
        <v>290000</v>
      </c>
      <c r="H60" s="6"/>
      <c r="I60" s="6"/>
      <c r="J60" s="678" t="s">
        <v>1042</v>
      </c>
      <c r="K60" s="678"/>
      <c r="L60" s="682" t="e">
        <f>L57+L58-L59</f>
        <v>#REF!</v>
      </c>
      <c r="M60" s="682" t="e">
        <f t="shared" ref="M60" si="0">M57+M58-M59</f>
        <v>#REF!</v>
      </c>
      <c r="N60" s="6"/>
    </row>
    <row r="61" spans="2:14">
      <c r="B61" s="6"/>
      <c r="C61" s="2" t="s">
        <v>590</v>
      </c>
      <c r="D61" s="2" t="s">
        <v>134</v>
      </c>
      <c r="E61" s="2" t="s">
        <v>134</v>
      </c>
      <c r="F61" s="2" t="s">
        <v>134</v>
      </c>
      <c r="G61" s="145">
        <v>31708000</v>
      </c>
      <c r="H61" s="6"/>
      <c r="I61" s="6"/>
      <c r="J61" s="547"/>
      <c r="K61" s="547"/>
      <c r="L61" s="547"/>
      <c r="M61" s="547"/>
      <c r="N61" s="6"/>
    </row>
    <row r="62" spans="2:14">
      <c r="B62" s="6"/>
      <c r="C62" s="2" t="s">
        <v>591</v>
      </c>
      <c r="D62" s="2" t="s">
        <v>134</v>
      </c>
      <c r="E62" s="2" t="s">
        <v>134</v>
      </c>
      <c r="F62" s="2" t="s">
        <v>134</v>
      </c>
      <c r="G62" s="145">
        <v>-31418000</v>
      </c>
      <c r="H62" s="6"/>
      <c r="I62" s="6"/>
      <c r="J62" s="678" t="s">
        <v>1043</v>
      </c>
      <c r="K62" s="547"/>
      <c r="L62" s="547"/>
      <c r="M62" s="547"/>
      <c r="N62" s="6"/>
    </row>
    <row r="63" spans="2:14">
      <c r="B63" s="6"/>
      <c r="C63" s="2" t="s">
        <v>592</v>
      </c>
      <c r="D63" s="145">
        <v>-28200000</v>
      </c>
      <c r="E63" s="145">
        <v>-16800000</v>
      </c>
      <c r="F63" s="145">
        <v>-16800000</v>
      </c>
      <c r="G63" s="145">
        <v>172936000</v>
      </c>
      <c r="H63" s="6"/>
      <c r="I63" s="6"/>
      <c r="J63" s="680" t="s">
        <v>1044</v>
      </c>
      <c r="K63" s="680"/>
      <c r="L63" s="681" t="e">
        <v>#REF!</v>
      </c>
      <c r="M63" s="681" t="e">
        <v>#REF!</v>
      </c>
      <c r="N63" s="6"/>
    </row>
    <row r="64" spans="2:14">
      <c r="B64" s="6"/>
      <c r="C64" s="2" t="s">
        <v>593</v>
      </c>
      <c r="D64" s="2" t="s">
        <v>134</v>
      </c>
      <c r="E64" s="2" t="s">
        <v>134</v>
      </c>
      <c r="F64" s="2" t="s">
        <v>134</v>
      </c>
      <c r="G64" s="145">
        <v>180936000</v>
      </c>
      <c r="H64" s="6"/>
      <c r="I64" s="6"/>
      <c r="J64" s="678" t="s">
        <v>1045</v>
      </c>
      <c r="K64" s="678"/>
      <c r="L64" s="682" t="e">
        <f>L63</f>
        <v>#REF!</v>
      </c>
      <c r="M64" s="682" t="e">
        <f t="shared" ref="M64" si="1">M63</f>
        <v>#REF!</v>
      </c>
      <c r="N64" s="6"/>
    </row>
    <row r="65" spans="2:14">
      <c r="B65" s="6"/>
      <c r="C65" s="2" t="s">
        <v>594</v>
      </c>
      <c r="D65" s="145">
        <v>-28200000</v>
      </c>
      <c r="E65" s="145">
        <v>-16800000</v>
      </c>
      <c r="F65" s="145">
        <v>-16800000</v>
      </c>
      <c r="G65" s="145">
        <v>-8000000</v>
      </c>
      <c r="H65" s="6"/>
      <c r="I65" s="6"/>
      <c r="J65" s="547"/>
      <c r="K65" s="547"/>
      <c r="L65" s="547"/>
      <c r="M65" s="547"/>
      <c r="N65" s="6"/>
    </row>
    <row r="66" spans="2:14">
      <c r="B66" s="6"/>
      <c r="C66" s="2" t="s">
        <v>595</v>
      </c>
      <c r="D66" s="145">
        <v>-20793000</v>
      </c>
      <c r="E66" s="145">
        <v>-23073000</v>
      </c>
      <c r="F66" s="145">
        <v>-26235000</v>
      </c>
      <c r="G66" s="145">
        <v>-28125000</v>
      </c>
      <c r="H66" s="6"/>
      <c r="I66" s="6"/>
      <c r="J66" s="678" t="s">
        <v>1046</v>
      </c>
      <c r="K66" s="547"/>
      <c r="L66" s="547"/>
      <c r="M66" s="547"/>
      <c r="N66" s="6"/>
    </row>
    <row r="67" spans="2:14">
      <c r="B67" s="6"/>
      <c r="C67" s="2" t="s">
        <v>596</v>
      </c>
      <c r="D67" s="145">
        <v>-20793000</v>
      </c>
      <c r="E67" s="145">
        <v>-23073000</v>
      </c>
      <c r="F67" s="145">
        <v>-26235000</v>
      </c>
      <c r="G67" s="145">
        <v>-28125000</v>
      </c>
      <c r="H67" s="6"/>
      <c r="I67" s="6"/>
      <c r="J67" s="547" t="s">
        <v>1047</v>
      </c>
      <c r="K67" s="547"/>
      <c r="L67" s="679" t="e">
        <v>#REF!</v>
      </c>
      <c r="M67" s="679" t="e">
        <v>#REF!</v>
      </c>
      <c r="N67" s="6"/>
    </row>
    <row r="68" spans="2:14">
      <c r="B68" s="6"/>
      <c r="C68" s="2" t="s">
        <v>597</v>
      </c>
      <c r="D68" s="145">
        <v>0</v>
      </c>
      <c r="E68" s="145">
        <v>-55000</v>
      </c>
      <c r="F68" s="145">
        <v>-110000</v>
      </c>
      <c r="G68" s="145">
        <v>-1210000</v>
      </c>
      <c r="H68" s="6"/>
      <c r="I68" s="6"/>
      <c r="J68" s="680" t="s">
        <v>1048</v>
      </c>
      <c r="K68" s="680"/>
      <c r="L68" s="683" t="e">
        <v>#REF!</v>
      </c>
      <c r="M68" s="683" t="e">
        <v>#REF!</v>
      </c>
      <c r="N68" s="6"/>
    </row>
    <row r="69" spans="2:14">
      <c r="B69" s="6"/>
      <c r="C69" s="2" t="s">
        <v>598</v>
      </c>
      <c r="D69" s="2" t="s">
        <v>134</v>
      </c>
      <c r="E69" s="145">
        <v>-55000</v>
      </c>
      <c r="F69" s="145">
        <v>-110000</v>
      </c>
      <c r="G69" s="145">
        <v>-55000</v>
      </c>
      <c r="H69" s="6"/>
      <c r="I69" s="6"/>
      <c r="J69" s="678" t="s">
        <v>1049</v>
      </c>
      <c r="K69" s="678"/>
      <c r="L69" s="682" t="e">
        <f>SUM(L67:L68)</f>
        <v>#REF!</v>
      </c>
      <c r="M69" s="682" t="e">
        <f t="shared" ref="M69" si="2">SUM(M67:M68)</f>
        <v>#REF!</v>
      </c>
      <c r="N69" s="6"/>
    </row>
    <row r="70" spans="2:14">
      <c r="B70" s="6"/>
      <c r="C70" s="2" t="s">
        <v>599</v>
      </c>
      <c r="D70" s="145">
        <v>0</v>
      </c>
      <c r="E70" s="2" t="s">
        <v>134</v>
      </c>
      <c r="F70" s="2" t="s">
        <v>134</v>
      </c>
      <c r="G70" s="145">
        <v>-1155000</v>
      </c>
      <c r="H70" s="6"/>
      <c r="I70" s="6"/>
      <c r="J70" s="547"/>
      <c r="K70" s="547"/>
      <c r="L70" s="547"/>
      <c r="M70" s="547"/>
      <c r="N70" s="6"/>
    </row>
    <row r="71" spans="2:14">
      <c r="B71" s="6"/>
      <c r="C71" s="2" t="s">
        <v>600</v>
      </c>
      <c r="D71" s="145">
        <v>998000</v>
      </c>
      <c r="E71" s="145">
        <v>729000</v>
      </c>
      <c r="F71" s="145">
        <v>1062000</v>
      </c>
      <c r="G71" s="145">
        <v>798000</v>
      </c>
      <c r="H71" s="6"/>
      <c r="I71" s="6"/>
      <c r="J71" s="547" t="s">
        <v>1050</v>
      </c>
      <c r="K71" s="547"/>
      <c r="L71" s="679" t="e">
        <f>L60-L64+L69</f>
        <v>#REF!</v>
      </c>
      <c r="M71" s="679" t="e">
        <f t="shared" ref="M71" si="3">M60-M64+M69</f>
        <v>#REF!</v>
      </c>
      <c r="N71" s="6"/>
    </row>
    <row r="72" spans="2:14">
      <c r="B72" s="6"/>
      <c r="C72" s="2" t="s">
        <v>601</v>
      </c>
      <c r="D72" s="2" t="s">
        <v>134</v>
      </c>
      <c r="E72" s="2" t="s">
        <v>134</v>
      </c>
      <c r="F72" s="2" t="s">
        <v>134</v>
      </c>
      <c r="G72" s="145">
        <v>-32000</v>
      </c>
      <c r="H72" s="6"/>
      <c r="I72" s="6"/>
      <c r="J72" s="680" t="s">
        <v>1051</v>
      </c>
      <c r="K72" s="680"/>
      <c r="L72" s="681">
        <f>K73</f>
        <v>0</v>
      </c>
      <c r="M72" s="681" t="e">
        <f t="shared" ref="M72" si="4">L73</f>
        <v>#REF!</v>
      </c>
      <c r="N72" s="6"/>
    </row>
    <row r="73" spans="2:14">
      <c r="B73" s="6"/>
      <c r="C73" s="2" t="s">
        <v>602</v>
      </c>
      <c r="D73" s="145">
        <v>0</v>
      </c>
      <c r="E73" s="2" t="s">
        <v>134</v>
      </c>
      <c r="F73" s="2" t="s">
        <v>134</v>
      </c>
      <c r="G73" s="2" t="s">
        <v>134</v>
      </c>
      <c r="H73" s="6"/>
      <c r="I73" s="6"/>
      <c r="J73" s="678" t="s">
        <v>1052</v>
      </c>
      <c r="K73" s="678"/>
      <c r="L73" s="682" t="e">
        <f>SUM(L71:L72)</f>
        <v>#REF!</v>
      </c>
      <c r="M73" s="682" t="e">
        <f t="shared" ref="M73" si="5">SUM(M71:M72)</f>
        <v>#REF!</v>
      </c>
      <c r="N73" s="6"/>
    </row>
    <row r="74" spans="2:14">
      <c r="B74" s="6"/>
      <c r="C74" s="2" t="s">
        <v>603</v>
      </c>
      <c r="D74" s="145">
        <v>0</v>
      </c>
      <c r="E74" s="2" t="s">
        <v>134</v>
      </c>
      <c r="F74" s="2" t="s">
        <v>134</v>
      </c>
      <c r="G74" s="2" t="s">
        <v>134</v>
      </c>
      <c r="H74" s="6"/>
      <c r="I74" s="6"/>
      <c r="J74" s="6"/>
      <c r="K74" s="6"/>
      <c r="L74" s="6"/>
      <c r="M74" s="6"/>
      <c r="N74" s="6"/>
    </row>
    <row r="75" spans="2:14">
      <c r="B75" s="6"/>
      <c r="C75" s="2" t="s">
        <v>604</v>
      </c>
      <c r="D75" s="145">
        <v>96929000</v>
      </c>
      <c r="E75" s="145">
        <v>105633000</v>
      </c>
      <c r="F75" s="145">
        <v>108153000</v>
      </c>
      <c r="G75" s="145">
        <v>127898000</v>
      </c>
      <c r="H75" s="6"/>
      <c r="I75" s="6"/>
      <c r="J75" s="6"/>
      <c r="K75" s="6"/>
      <c r="L75" s="6"/>
      <c r="M75" s="6"/>
      <c r="N75" s="6"/>
    </row>
    <row r="76" spans="2:14">
      <c r="B76" s="6"/>
      <c r="C76" s="2" t="s">
        <v>605</v>
      </c>
      <c r="D76" s="145">
        <v>19901000</v>
      </c>
      <c r="E76" s="145">
        <v>3187000</v>
      </c>
      <c r="F76" s="145">
        <v>11535000</v>
      </c>
      <c r="G76" s="145">
        <v>34749000</v>
      </c>
      <c r="H76" s="6"/>
      <c r="I76" s="6"/>
      <c r="J76" s="6"/>
      <c r="K76" s="6"/>
      <c r="L76" s="6"/>
      <c r="M76" s="6"/>
      <c r="N76" s="6"/>
    </row>
    <row r="77" spans="2:14">
      <c r="B77" s="6"/>
      <c r="C77" s="2" t="s">
        <v>606</v>
      </c>
      <c r="D77" s="145">
        <v>-8416000</v>
      </c>
      <c r="E77" s="145">
        <v>5517000</v>
      </c>
      <c r="F77" s="145">
        <v>-9015000</v>
      </c>
      <c r="G77" s="145">
        <v>-15004000</v>
      </c>
      <c r="H77" s="6"/>
      <c r="I77" s="6"/>
      <c r="J77" s="6"/>
      <c r="K77" s="6"/>
      <c r="L77" s="6"/>
      <c r="M77" s="6"/>
      <c r="N77" s="6"/>
    </row>
    <row r="78" spans="2:14">
      <c r="B78" s="6"/>
      <c r="C78" s="2" t="s">
        <v>607</v>
      </c>
      <c r="D78" s="145">
        <v>85444000</v>
      </c>
      <c r="E78" s="145">
        <v>96929000</v>
      </c>
      <c r="F78" s="145">
        <v>105633000</v>
      </c>
      <c r="G78" s="145">
        <v>108153000</v>
      </c>
      <c r="H78" s="6"/>
      <c r="I78" s="6"/>
      <c r="J78" s="6"/>
      <c r="K78" s="6"/>
      <c r="L78" s="6"/>
      <c r="M78" s="6"/>
      <c r="N78" s="6"/>
    </row>
    <row r="79" spans="2:14">
      <c r="B79" s="6"/>
      <c r="C79" s="2" t="s">
        <v>608</v>
      </c>
      <c r="D79" s="2" t="s">
        <v>134</v>
      </c>
      <c r="E79" s="2" t="s">
        <v>134</v>
      </c>
      <c r="F79" s="2" t="s">
        <v>134</v>
      </c>
      <c r="G79" s="2" t="s">
        <v>134</v>
      </c>
      <c r="H79" s="6"/>
      <c r="I79" s="6"/>
      <c r="J79" s="6"/>
      <c r="K79" s="6"/>
      <c r="L79" s="6"/>
      <c r="M79" s="6"/>
      <c r="N79" s="6"/>
    </row>
    <row r="80" spans="2:14">
      <c r="B80" s="6"/>
      <c r="C80" s="2" t="s">
        <v>609</v>
      </c>
      <c r="D80" s="145">
        <v>11485000</v>
      </c>
      <c r="E80" s="145">
        <v>8704000</v>
      </c>
      <c r="F80" s="145">
        <v>2520000</v>
      </c>
      <c r="G80" s="145">
        <v>19745000</v>
      </c>
      <c r="H80" s="6"/>
      <c r="I80" s="6"/>
      <c r="J80" s="6"/>
      <c r="K80" s="6"/>
      <c r="L80" s="6"/>
      <c r="M80" s="6"/>
      <c r="N80" s="6"/>
    </row>
    <row r="81" spans="2:14">
      <c r="B81" s="6"/>
      <c r="C81" s="2" t="s">
        <v>500</v>
      </c>
      <c r="D81" s="2"/>
      <c r="E81" s="2"/>
      <c r="F81" s="2"/>
      <c r="G81" s="2"/>
      <c r="H81" s="6"/>
      <c r="I81" s="6"/>
      <c r="J81" s="6"/>
      <c r="K81" s="6"/>
      <c r="L81" s="6"/>
      <c r="M81" s="6"/>
      <c r="N81" s="6"/>
    </row>
  </sheetData>
  <conditionalFormatting sqref="J24:N24">
    <cfRule type="cellIs" dxfId="11" priority="1" operator="notEqual">
      <formula>0.6545646468</formula>
    </cfRule>
  </conditionalFormatting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5" tint="0.39997558519241921"/>
  </sheetPr>
  <dimension ref="A1:AC124"/>
  <sheetViews>
    <sheetView topLeftCell="A25" zoomScale="70" zoomScaleNormal="70" workbookViewId="0">
      <selection activeCell="N79" sqref="N79:N80"/>
    </sheetView>
  </sheetViews>
  <sheetFormatPr defaultRowHeight="16.5"/>
  <cols>
    <col min="2" max="2" width="27.85546875" customWidth="1"/>
    <col min="3" max="7" width="10.7109375" customWidth="1"/>
  </cols>
  <sheetData>
    <row r="1" spans="2:7" ht="17.25" thickBot="1">
      <c r="B1" s="765" t="s">
        <v>1159</v>
      </c>
      <c r="C1" s="766"/>
      <c r="D1" s="766"/>
      <c r="E1" s="766"/>
      <c r="F1" s="766"/>
      <c r="G1" s="766"/>
    </row>
    <row r="2" spans="2:7" ht="17.25" thickTop="1">
      <c r="B2" s="767"/>
      <c r="C2" s="766"/>
      <c r="D2" s="766"/>
      <c r="E2" s="766"/>
      <c r="F2" s="766"/>
      <c r="G2" s="766"/>
    </row>
    <row r="3" spans="2:7" ht="17.25" thickBot="1">
      <c r="C3" s="765">
        <f>'Control Panel'!Z5</f>
        <v>2024</v>
      </c>
      <c r="D3" s="765">
        <f>'Control Panel'!AA5</f>
        <v>2025</v>
      </c>
      <c r="E3" s="765">
        <f>'Control Panel'!AB5</f>
        <v>2026</v>
      </c>
      <c r="F3" s="765">
        <f>'Control Panel'!AC5</f>
        <v>2027</v>
      </c>
      <c r="G3" s="765">
        <f>'Control Panel'!AD5</f>
        <v>2028</v>
      </c>
    </row>
    <row r="4" spans="2:7" ht="17.25" thickTop="1">
      <c r="C4" s="767"/>
      <c r="D4" s="767"/>
      <c r="E4" s="767"/>
      <c r="F4" s="767"/>
      <c r="G4" s="767"/>
    </row>
    <row r="5" spans="2:7">
      <c r="B5" s="743" t="s">
        <v>234</v>
      </c>
      <c r="C5" s="744">
        <v>100</v>
      </c>
      <c r="D5" s="744">
        <v>200</v>
      </c>
      <c r="E5" s="744">
        <v>300</v>
      </c>
      <c r="F5" s="744">
        <v>400</v>
      </c>
      <c r="G5" s="745">
        <v>500</v>
      </c>
    </row>
    <row r="6" spans="2:7">
      <c r="B6" s="746" t="s">
        <v>1134</v>
      </c>
      <c r="C6" s="747"/>
      <c r="D6" s="748">
        <f t="shared" ref="D6:G6" si="0">+D5/C5-1</f>
        <v>1</v>
      </c>
      <c r="E6" s="748">
        <f t="shared" si="0"/>
        <v>0.5</v>
      </c>
      <c r="F6" s="748">
        <f t="shared" si="0"/>
        <v>0.33333333333333326</v>
      </c>
      <c r="G6" s="749">
        <f t="shared" si="0"/>
        <v>0.25</v>
      </c>
    </row>
    <row r="7" spans="2:7">
      <c r="B7" s="750"/>
      <c r="C7" s="747"/>
      <c r="D7" s="747"/>
      <c r="E7" s="747"/>
      <c r="F7" s="747"/>
      <c r="G7" s="751"/>
    </row>
    <row r="8" spans="2:7">
      <c r="B8" s="754" t="s">
        <v>1135</v>
      </c>
      <c r="C8" s="747">
        <v>-148.84700000000001</v>
      </c>
      <c r="D8" s="747">
        <v>-177.12799999999999</v>
      </c>
      <c r="E8" s="747">
        <v>-205.13</v>
      </c>
      <c r="F8" s="747">
        <v>-201.26599999999999</v>
      </c>
      <c r="G8" s="751">
        <v>-204.042</v>
      </c>
    </row>
    <row r="9" spans="2:7">
      <c r="B9" s="753" t="s">
        <v>1136</v>
      </c>
      <c r="C9" s="748" t="e">
        <f t="shared" ref="C9" si="1">-C8/#REF!</f>
        <v>#REF!</v>
      </c>
      <c r="D9" s="748" t="e">
        <f t="shared" ref="D9" si="2">-D8/#REF!</f>
        <v>#REF!</v>
      </c>
      <c r="E9" s="748" t="e">
        <f t="shared" ref="E9" si="3">-E8/#REF!</f>
        <v>#REF!</v>
      </c>
      <c r="F9" s="748" t="e">
        <f t="shared" ref="F9" si="4">-F8/#REF!</f>
        <v>#REF!</v>
      </c>
      <c r="G9" s="749" t="e">
        <f t="shared" ref="G9" si="5">-G8/#REF!</f>
        <v>#REF!</v>
      </c>
    </row>
    <row r="10" spans="2:7">
      <c r="B10" s="750"/>
      <c r="C10" s="747"/>
      <c r="D10" s="747"/>
      <c r="E10" s="747"/>
      <c r="F10" s="747"/>
      <c r="G10" s="751"/>
    </row>
    <row r="11" spans="2:7">
      <c r="B11" s="743" t="s">
        <v>215</v>
      </c>
      <c r="C11" s="744">
        <f t="shared" ref="C11:G11" si="6">+C5+C8</f>
        <v>-48.847000000000008</v>
      </c>
      <c r="D11" s="744">
        <f t="shared" si="6"/>
        <v>22.872000000000014</v>
      </c>
      <c r="E11" s="744">
        <f t="shared" si="6"/>
        <v>94.87</v>
      </c>
      <c r="F11" s="744">
        <f t="shared" si="6"/>
        <v>198.73400000000001</v>
      </c>
      <c r="G11" s="745">
        <f t="shared" si="6"/>
        <v>295.95799999999997</v>
      </c>
    </row>
    <row r="12" spans="2:7">
      <c r="B12" s="746" t="s">
        <v>1137</v>
      </c>
      <c r="C12" s="748">
        <f t="shared" ref="C12:G12" si="7">+C11/C5</f>
        <v>-0.48847000000000007</v>
      </c>
      <c r="D12" s="748">
        <f t="shared" si="7"/>
        <v>0.11436000000000007</v>
      </c>
      <c r="E12" s="748">
        <f t="shared" si="7"/>
        <v>0.31623333333333337</v>
      </c>
      <c r="F12" s="748">
        <f t="shared" si="7"/>
        <v>0.49683500000000003</v>
      </c>
      <c r="G12" s="749">
        <f t="shared" si="7"/>
        <v>0.59191599999999989</v>
      </c>
    </row>
    <row r="13" spans="2:7">
      <c r="B13" s="750"/>
      <c r="C13" s="747"/>
      <c r="D13" s="747"/>
      <c r="E13" s="747"/>
      <c r="F13" s="747"/>
      <c r="G13" s="751"/>
    </row>
    <row r="14" spans="2:7">
      <c r="B14" s="754" t="s">
        <v>1138</v>
      </c>
      <c r="C14" s="747">
        <v>-6.2859999999999996</v>
      </c>
      <c r="D14" s="747">
        <v>-6.9349999999999996</v>
      </c>
      <c r="E14" s="747">
        <v>-7.5549999999999997</v>
      </c>
      <c r="F14" s="747">
        <v>-7.1909999999999998</v>
      </c>
      <c r="G14" s="751">
        <v>-7.5750000000000002</v>
      </c>
    </row>
    <row r="15" spans="2:7">
      <c r="B15" s="753" t="s">
        <v>1137</v>
      </c>
      <c r="C15" s="748">
        <f t="shared" ref="C15:G15" si="8">-C14/C5</f>
        <v>6.2859999999999999E-2</v>
      </c>
      <c r="D15" s="748">
        <f t="shared" si="8"/>
        <v>3.4674999999999997E-2</v>
      </c>
      <c r="E15" s="748">
        <f t="shared" si="8"/>
        <v>2.5183333333333332E-2</v>
      </c>
      <c r="F15" s="748">
        <f t="shared" si="8"/>
        <v>1.79775E-2</v>
      </c>
      <c r="G15" s="749">
        <f t="shared" si="8"/>
        <v>1.515E-2</v>
      </c>
    </row>
    <row r="16" spans="2:7">
      <c r="B16" s="752"/>
      <c r="C16" s="747"/>
      <c r="D16" s="747"/>
      <c r="E16" s="747"/>
      <c r="F16" s="747"/>
      <c r="G16" s="751"/>
    </row>
    <row r="17" spans="1:7">
      <c r="B17" s="754" t="s">
        <v>1139</v>
      </c>
      <c r="C17" s="747">
        <v>-24.991</v>
      </c>
      <c r="D17" s="747">
        <v>-34.363999999999997</v>
      </c>
      <c r="E17" s="747">
        <v>-35.008000000000003</v>
      </c>
      <c r="F17" s="747">
        <v>-33.892000000000003</v>
      </c>
      <c r="G17" s="751">
        <v>-33.417999999999999</v>
      </c>
    </row>
    <row r="18" spans="1:7">
      <c r="B18" s="753" t="s">
        <v>1137</v>
      </c>
      <c r="C18" s="748">
        <f>-C17/C5</f>
        <v>0.24990999999999999</v>
      </c>
      <c r="D18" s="748">
        <f t="shared" ref="D18:G18" si="9">-D17/D5</f>
        <v>0.17181999999999997</v>
      </c>
      <c r="E18" s="748">
        <f t="shared" si="9"/>
        <v>0.11669333333333334</v>
      </c>
      <c r="F18" s="748">
        <f t="shared" si="9"/>
        <v>8.4730000000000014E-2</v>
      </c>
      <c r="G18" s="749">
        <f t="shared" si="9"/>
        <v>6.6835999999999993E-2</v>
      </c>
    </row>
    <row r="19" spans="1:7">
      <c r="B19" s="750"/>
      <c r="C19" s="747"/>
      <c r="D19" s="747"/>
      <c r="E19" s="747"/>
      <c r="F19" s="747"/>
      <c r="G19" s="751"/>
    </row>
    <row r="20" spans="1:7">
      <c r="B20" s="743" t="s">
        <v>199</v>
      </c>
      <c r="C20" s="744">
        <f t="shared" ref="C20:G20" si="10">+C11+C14+C17</f>
        <v>-80.124000000000009</v>
      </c>
      <c r="D20" s="744">
        <f t="shared" si="10"/>
        <v>-18.426999999999982</v>
      </c>
      <c r="E20" s="744">
        <f t="shared" si="10"/>
        <v>52.306999999999995</v>
      </c>
      <c r="F20" s="744">
        <f t="shared" si="10"/>
        <v>157.65100000000001</v>
      </c>
      <c r="G20" s="745">
        <f t="shared" si="10"/>
        <v>254.96499999999997</v>
      </c>
    </row>
    <row r="21" spans="1:7">
      <c r="B21" s="746" t="s">
        <v>1140</v>
      </c>
      <c r="C21" s="748">
        <f t="shared" ref="C21:G21" si="11">+C20/C5</f>
        <v>-0.80124000000000006</v>
      </c>
      <c r="D21" s="748">
        <f t="shared" si="11"/>
        <v>-9.2134999999999911E-2</v>
      </c>
      <c r="E21" s="748">
        <f t="shared" si="11"/>
        <v>0.17435666666666666</v>
      </c>
      <c r="F21" s="748">
        <f t="shared" si="11"/>
        <v>0.39412750000000002</v>
      </c>
      <c r="G21" s="749">
        <f t="shared" si="11"/>
        <v>0.50992999999999999</v>
      </c>
    </row>
    <row r="22" spans="1:7">
      <c r="A22" s="669"/>
      <c r="B22" s="760"/>
      <c r="C22" s="761"/>
      <c r="D22" s="761"/>
      <c r="E22" s="761"/>
      <c r="F22" s="761"/>
      <c r="G22" s="762"/>
    </row>
    <row r="23" spans="1:7">
      <c r="B23" s="754" t="s">
        <v>1141</v>
      </c>
      <c r="C23" s="747" t="e">
        <v>#REF!</v>
      </c>
      <c r="D23" s="747" t="e">
        <v>#REF!</v>
      </c>
      <c r="E23" s="747" t="e">
        <v>#REF!</v>
      </c>
      <c r="F23" s="747" t="e">
        <v>#REF!</v>
      </c>
      <c r="G23" s="751" t="e">
        <v>#REF!</v>
      </c>
    </row>
    <row r="24" spans="1:7">
      <c r="B24" s="753" t="s">
        <v>1142</v>
      </c>
      <c r="C24" s="748" t="e">
        <f t="shared" ref="C24" si="12">-C23/#REF!</f>
        <v>#REF!</v>
      </c>
      <c r="D24" s="748" t="e">
        <f t="shared" ref="D24" si="13">-D23/#REF!</f>
        <v>#REF!</v>
      </c>
      <c r="E24" s="748" t="e">
        <f t="shared" ref="E24" si="14">-E23/#REF!</f>
        <v>#REF!</v>
      </c>
      <c r="F24" s="748" t="e">
        <f t="shared" ref="F24" si="15">-F23/#REF!</f>
        <v>#REF!</v>
      </c>
      <c r="G24" s="749" t="e">
        <f t="shared" ref="G24" si="16">-G23/#REF!</f>
        <v>#REF!</v>
      </c>
    </row>
    <row r="25" spans="1:7">
      <c r="B25" s="753" t="s">
        <v>1143</v>
      </c>
      <c r="C25" s="748" t="e">
        <f t="shared" ref="C25:G25" si="17">+C23/C27</f>
        <v>#REF!</v>
      </c>
      <c r="D25" s="748" t="e">
        <f t="shared" si="17"/>
        <v>#REF!</v>
      </c>
      <c r="E25" s="748" t="e">
        <f t="shared" si="17"/>
        <v>#REF!</v>
      </c>
      <c r="F25" s="748" t="e">
        <f t="shared" si="17"/>
        <v>#REF!</v>
      </c>
      <c r="G25" s="749" t="e">
        <f t="shared" si="17"/>
        <v>#REF!</v>
      </c>
    </row>
    <row r="26" spans="1:7">
      <c r="B26" s="752"/>
      <c r="C26" s="747"/>
      <c r="D26" s="747"/>
      <c r="E26" s="747"/>
      <c r="F26" s="747"/>
      <c r="G26" s="751"/>
    </row>
    <row r="27" spans="1:7">
      <c r="B27" s="754" t="s">
        <v>978</v>
      </c>
      <c r="C27" s="747">
        <v>-3.19</v>
      </c>
      <c r="D27" s="747">
        <v>-3.907</v>
      </c>
      <c r="E27" s="747">
        <v>-2.7349999999999999</v>
      </c>
      <c r="F27" s="747">
        <v>-2.7759999999999998</v>
      </c>
      <c r="G27" s="751">
        <v>-2.1859999999999999</v>
      </c>
    </row>
    <row r="28" spans="1:7">
      <c r="B28" s="753" t="s">
        <v>1136</v>
      </c>
      <c r="C28" s="748" t="e">
        <f t="shared" ref="C28" si="18">-C27/#REF!</f>
        <v>#REF!</v>
      </c>
      <c r="D28" s="748" t="e">
        <f t="shared" ref="D28" si="19">-D27/#REF!</f>
        <v>#REF!</v>
      </c>
      <c r="E28" s="748" t="e">
        <f t="shared" ref="E28" si="20">-E27/#REF!</f>
        <v>#REF!</v>
      </c>
      <c r="F28" s="748" t="e">
        <f t="shared" ref="F28" si="21">-F27/#REF!</f>
        <v>#REF!</v>
      </c>
      <c r="G28" s="749" t="e">
        <f t="shared" ref="G28" si="22">-G27/#REF!</f>
        <v>#REF!</v>
      </c>
    </row>
    <row r="29" spans="1:7">
      <c r="B29" s="752"/>
      <c r="C29" s="747"/>
      <c r="D29" s="747"/>
      <c r="E29" s="747"/>
      <c r="F29" s="747"/>
      <c r="G29" s="751"/>
    </row>
    <row r="30" spans="1:7">
      <c r="B30" s="754" t="s">
        <v>267</v>
      </c>
      <c r="C30" s="744" t="e">
        <f t="shared" ref="C30:G30" si="23">+C20-C23</f>
        <v>#REF!</v>
      </c>
      <c r="D30" s="744" t="e">
        <f t="shared" si="23"/>
        <v>#REF!</v>
      </c>
      <c r="E30" s="744" t="e">
        <f t="shared" si="23"/>
        <v>#REF!</v>
      </c>
      <c r="F30" s="744" t="e">
        <f t="shared" si="23"/>
        <v>#REF!</v>
      </c>
      <c r="G30" s="745" t="e">
        <f t="shared" si="23"/>
        <v>#REF!</v>
      </c>
    </row>
    <row r="31" spans="1:7">
      <c r="B31" s="753" t="s">
        <v>1140</v>
      </c>
      <c r="C31" s="748" t="e">
        <f t="shared" ref="C31:G31" si="24">+C30/C5</f>
        <v>#REF!</v>
      </c>
      <c r="D31" s="748" t="e">
        <f t="shared" si="24"/>
        <v>#REF!</v>
      </c>
      <c r="E31" s="748" t="e">
        <f t="shared" si="24"/>
        <v>#REF!</v>
      </c>
      <c r="F31" s="748" t="e">
        <f t="shared" si="24"/>
        <v>#REF!</v>
      </c>
      <c r="G31" s="749" t="e">
        <f t="shared" si="24"/>
        <v>#REF!</v>
      </c>
    </row>
    <row r="32" spans="1:7">
      <c r="B32" s="750"/>
      <c r="C32" s="747"/>
      <c r="D32" s="747"/>
      <c r="E32" s="747"/>
      <c r="F32" s="747"/>
      <c r="G32" s="751"/>
    </row>
    <row r="33" spans="2:7">
      <c r="B33" s="743" t="s">
        <v>247</v>
      </c>
      <c r="C33" s="747" t="e">
        <v>#REF!</v>
      </c>
      <c r="D33" s="747" t="e">
        <v>#REF!</v>
      </c>
      <c r="E33" s="747" t="e">
        <v>#REF!</v>
      </c>
      <c r="F33" s="747" t="e">
        <v>#REF!</v>
      </c>
      <c r="G33" s="751" t="e">
        <v>#REF!</v>
      </c>
    </row>
    <row r="34" spans="2:7">
      <c r="B34" s="750"/>
      <c r="C34" s="747"/>
      <c r="D34" s="747"/>
      <c r="E34" s="747"/>
      <c r="F34" s="747"/>
      <c r="G34" s="751"/>
    </row>
    <row r="35" spans="2:7">
      <c r="B35" s="743" t="s">
        <v>995</v>
      </c>
      <c r="C35" s="744" t="e">
        <f t="shared" ref="C35:G35" si="25">+C20+C33</f>
        <v>#REF!</v>
      </c>
      <c r="D35" s="744" t="e">
        <f t="shared" si="25"/>
        <v>#REF!</v>
      </c>
      <c r="E35" s="744" t="e">
        <f t="shared" si="25"/>
        <v>#REF!</v>
      </c>
      <c r="F35" s="744" t="e">
        <f t="shared" si="25"/>
        <v>#REF!</v>
      </c>
      <c r="G35" s="745" t="e">
        <f t="shared" si="25"/>
        <v>#REF!</v>
      </c>
    </row>
    <row r="36" spans="2:7">
      <c r="B36" s="746" t="s">
        <v>1140</v>
      </c>
      <c r="C36" s="748" t="e">
        <f t="shared" ref="C36:G36" si="26">+C35/C5</f>
        <v>#REF!</v>
      </c>
      <c r="D36" s="748" t="e">
        <f t="shared" si="26"/>
        <v>#REF!</v>
      </c>
      <c r="E36" s="748" t="e">
        <f t="shared" si="26"/>
        <v>#REF!</v>
      </c>
      <c r="F36" s="748" t="e">
        <f t="shared" si="26"/>
        <v>#REF!</v>
      </c>
      <c r="G36" s="749" t="e">
        <f t="shared" si="26"/>
        <v>#REF!</v>
      </c>
    </row>
    <row r="37" spans="2:7">
      <c r="B37" s="746"/>
      <c r="C37" s="747"/>
      <c r="D37" s="747"/>
      <c r="E37" s="747"/>
      <c r="F37" s="747"/>
      <c r="G37" s="751"/>
    </row>
    <row r="38" spans="2:7">
      <c r="B38" s="754" t="s">
        <v>1039</v>
      </c>
      <c r="C38" s="747">
        <v>0</v>
      </c>
      <c r="D38" s="747">
        <v>0</v>
      </c>
      <c r="E38" s="747">
        <v>0</v>
      </c>
      <c r="F38" s="747">
        <v>0</v>
      </c>
      <c r="G38" s="751">
        <v>0</v>
      </c>
    </row>
    <row r="39" spans="2:7">
      <c r="B39" s="750"/>
      <c r="C39" s="747"/>
      <c r="D39" s="747"/>
      <c r="E39" s="747"/>
      <c r="F39" s="747"/>
      <c r="G39" s="751"/>
    </row>
    <row r="40" spans="2:7">
      <c r="B40" s="755" t="s">
        <v>1144</v>
      </c>
      <c r="C40" s="756" t="e">
        <f t="shared" ref="C40:G40" si="27">+C35+C38</f>
        <v>#REF!</v>
      </c>
      <c r="D40" s="756" t="e">
        <f t="shared" si="27"/>
        <v>#REF!</v>
      </c>
      <c r="E40" s="756" t="e">
        <f t="shared" si="27"/>
        <v>#REF!</v>
      </c>
      <c r="F40" s="756" t="e">
        <f t="shared" si="27"/>
        <v>#REF!</v>
      </c>
      <c r="G40" s="757" t="e">
        <f t="shared" si="27"/>
        <v>#REF!</v>
      </c>
    </row>
    <row r="41" spans="2:7">
      <c r="B41" s="746" t="s">
        <v>1140</v>
      </c>
      <c r="C41" s="748" t="e">
        <f t="shared" ref="C41:G41" si="28">+C40/C5</f>
        <v>#REF!</v>
      </c>
      <c r="D41" s="748" t="e">
        <f t="shared" si="28"/>
        <v>#REF!</v>
      </c>
      <c r="E41" s="748" t="e">
        <f t="shared" si="28"/>
        <v>#REF!</v>
      </c>
      <c r="F41" s="748" t="e">
        <f t="shared" si="28"/>
        <v>#REF!</v>
      </c>
      <c r="G41" s="749" t="e">
        <f t="shared" si="28"/>
        <v>#REF!</v>
      </c>
    </row>
    <row r="42" spans="2:7">
      <c r="B42" s="750"/>
      <c r="C42" s="747"/>
      <c r="D42" s="747"/>
      <c r="E42" s="747"/>
      <c r="F42" s="747"/>
      <c r="G42" s="747"/>
    </row>
    <row r="43" spans="2:7">
      <c r="B43" s="750"/>
      <c r="C43" s="747"/>
      <c r="D43" s="747"/>
      <c r="E43" s="747"/>
      <c r="F43" s="747"/>
      <c r="G43" s="747"/>
    </row>
    <row r="44" spans="2:7">
      <c r="B44" s="750" t="str">
        <f t="shared" ref="B44:G44" si="29">+B30</f>
        <v>EBITDA</v>
      </c>
      <c r="C44" s="747" t="e">
        <f t="shared" si="29"/>
        <v>#REF!</v>
      </c>
      <c r="D44" s="747" t="e">
        <f t="shared" si="29"/>
        <v>#REF!</v>
      </c>
      <c r="E44" s="747" t="e">
        <f t="shared" si="29"/>
        <v>#REF!</v>
      </c>
      <c r="F44" s="747" t="e">
        <f t="shared" si="29"/>
        <v>#REF!</v>
      </c>
      <c r="G44" s="747" t="e">
        <f t="shared" si="29"/>
        <v>#REF!</v>
      </c>
    </row>
    <row r="45" spans="2:7">
      <c r="B45" s="750" t="s">
        <v>1008</v>
      </c>
      <c r="C45" s="747" t="e">
        <v>#REF!</v>
      </c>
      <c r="D45" s="747" t="e">
        <v>#REF!</v>
      </c>
      <c r="E45" s="747" t="e">
        <v>#REF!</v>
      </c>
      <c r="F45" s="747" t="e">
        <v>#REF!</v>
      </c>
      <c r="G45" s="747" t="e">
        <v>#REF!</v>
      </c>
    </row>
    <row r="46" spans="2:7">
      <c r="B46" s="750" t="s">
        <v>1145</v>
      </c>
      <c r="C46" s="747" t="e">
        <f t="shared" ref="C46:G46" si="30">SUM(C44:C45)</f>
        <v>#REF!</v>
      </c>
      <c r="D46" s="747" t="e">
        <f t="shared" si="30"/>
        <v>#REF!</v>
      </c>
      <c r="E46" s="747" t="e">
        <f t="shared" si="30"/>
        <v>#REF!</v>
      </c>
      <c r="F46" s="747" t="e">
        <f t="shared" si="30"/>
        <v>#REF!</v>
      </c>
      <c r="G46" s="747" t="e">
        <f t="shared" si="30"/>
        <v>#REF!</v>
      </c>
    </row>
    <row r="47" spans="2:7">
      <c r="B47" s="750" t="s">
        <v>1146</v>
      </c>
      <c r="C47" s="758" t="e">
        <f t="shared" ref="C47:G47" si="31">C46/C44</f>
        <v>#REF!</v>
      </c>
      <c r="D47" s="758" t="e">
        <f t="shared" si="31"/>
        <v>#REF!</v>
      </c>
      <c r="E47" s="758" t="e">
        <f t="shared" si="31"/>
        <v>#REF!</v>
      </c>
      <c r="F47" s="758" t="e">
        <f t="shared" si="31"/>
        <v>#REF!</v>
      </c>
      <c r="G47" s="758" t="e">
        <f t="shared" si="31"/>
        <v>#REF!</v>
      </c>
    </row>
    <row r="48" spans="2:7">
      <c r="B48" s="750" t="s">
        <v>1147</v>
      </c>
      <c r="C48" s="759" t="e">
        <f t="shared" ref="C48:G48" si="32">-C45/C5</f>
        <v>#REF!</v>
      </c>
      <c r="D48" s="759" t="e">
        <f t="shared" si="32"/>
        <v>#REF!</v>
      </c>
      <c r="E48" s="759" t="e">
        <f t="shared" si="32"/>
        <v>#REF!</v>
      </c>
      <c r="F48" s="759" t="e">
        <f t="shared" si="32"/>
        <v>#REF!</v>
      </c>
      <c r="G48" s="759" t="e">
        <f t="shared" si="32"/>
        <v>#REF!</v>
      </c>
    </row>
    <row r="49" spans="2:11">
      <c r="B49" s="750"/>
      <c r="C49" s="747"/>
      <c r="D49" s="747"/>
      <c r="E49" s="747"/>
      <c r="F49" s="747"/>
      <c r="G49" s="747"/>
    </row>
    <row r="50" spans="2:11">
      <c r="B50" s="750" t="s">
        <v>97</v>
      </c>
      <c r="C50" s="758" t="e">
        <v>#REF!</v>
      </c>
      <c r="D50" s="758" t="e">
        <v>#REF!</v>
      </c>
      <c r="E50" s="758" t="e">
        <v>#REF!</v>
      </c>
      <c r="F50" s="758" t="e">
        <v>#REF!</v>
      </c>
      <c r="G50" s="758" t="e">
        <v>#REF!</v>
      </c>
    </row>
    <row r="51" spans="2:11">
      <c r="B51" s="750" t="s">
        <v>96</v>
      </c>
      <c r="C51" s="758" t="e">
        <v>#REF!</v>
      </c>
      <c r="D51" s="758" t="e">
        <v>#REF!</v>
      </c>
      <c r="E51" s="758" t="e">
        <v>#REF!</v>
      </c>
      <c r="F51" s="758" t="e">
        <v>#REF!</v>
      </c>
      <c r="G51" s="758" t="e">
        <v>#REF!</v>
      </c>
    </row>
    <row r="53" spans="2:11" ht="17.25" thickBot="1">
      <c r="B53" s="763" t="s">
        <v>1160</v>
      </c>
      <c r="C53" s="764"/>
      <c r="D53" s="764"/>
      <c r="E53" s="764"/>
      <c r="F53" s="764"/>
      <c r="G53" s="764"/>
    </row>
    <row r="54" spans="2:11" ht="17.25" thickTop="1"/>
    <row r="55" spans="2:11">
      <c r="B55" t="s">
        <v>1148</v>
      </c>
    </row>
    <row r="57" spans="2:11">
      <c r="B57" t="s">
        <v>1149</v>
      </c>
      <c r="C57">
        <f>100</f>
        <v>100</v>
      </c>
      <c r="D57">
        <f>100</f>
        <v>100</v>
      </c>
      <c r="E57">
        <f>100</f>
        <v>100</v>
      </c>
      <c r="F57">
        <f>100</f>
        <v>100</v>
      </c>
      <c r="G57">
        <f>100</f>
        <v>100</v>
      </c>
    </row>
    <row r="58" spans="2:11">
      <c r="B58" t="s">
        <v>1150</v>
      </c>
    </row>
    <row r="59" spans="2:11">
      <c r="B59" t="s">
        <v>313</v>
      </c>
    </row>
    <row r="60" spans="2:11">
      <c r="B60" t="s">
        <v>1151</v>
      </c>
      <c r="C60">
        <v>31.896000000000001</v>
      </c>
      <c r="D60">
        <v>26.047999999999998</v>
      </c>
      <c r="E60">
        <v>20.513000000000002</v>
      </c>
      <c r="F60">
        <v>13.88</v>
      </c>
      <c r="G60">
        <v>14.574</v>
      </c>
    </row>
    <row r="61" spans="2:11">
      <c r="B61" t="s">
        <v>47</v>
      </c>
      <c r="C61">
        <v>27.643000000000001</v>
      </c>
      <c r="D61">
        <v>19.536000000000001</v>
      </c>
      <c r="E61">
        <v>16.41</v>
      </c>
      <c r="F61">
        <v>19.433</v>
      </c>
      <c r="G61">
        <v>23.318999999999999</v>
      </c>
    </row>
    <row r="62" spans="2:11">
      <c r="B62" t="s">
        <v>788</v>
      </c>
      <c r="C62">
        <f>+C86</f>
        <v>0</v>
      </c>
      <c r="D62">
        <v>0</v>
      </c>
      <c r="E62">
        <v>0</v>
      </c>
      <c r="F62">
        <v>0</v>
      </c>
      <c r="G62">
        <v>0</v>
      </c>
      <c r="H62" s="422" t="s">
        <v>1157</v>
      </c>
      <c r="K62" s="622" t="s">
        <v>1158</v>
      </c>
    </row>
    <row r="64" spans="2:11">
      <c r="B64" s="624" t="s">
        <v>308</v>
      </c>
      <c r="C64" s="624">
        <f t="shared" ref="C64:G64" si="33">+C57+C60+C61+C62</f>
        <v>159.53900000000002</v>
      </c>
      <c r="D64" s="624">
        <f t="shared" si="33"/>
        <v>145.584</v>
      </c>
      <c r="E64" s="624">
        <f t="shared" si="33"/>
        <v>136.923</v>
      </c>
      <c r="F64" s="624">
        <f t="shared" si="33"/>
        <v>133.31299999999999</v>
      </c>
      <c r="G64" s="624">
        <f t="shared" si="33"/>
        <v>137.893</v>
      </c>
    </row>
    <row r="66" spans="2:7">
      <c r="B66" t="s">
        <v>1152</v>
      </c>
    </row>
    <row r="68" spans="2:7">
      <c r="B68" t="s">
        <v>1153</v>
      </c>
      <c r="C68">
        <f t="shared" ref="C68:G68" si="34">+C69+C70</f>
        <v>117.01100000000002</v>
      </c>
      <c r="D68">
        <f t="shared" si="34"/>
        <v>117.01100000000002</v>
      </c>
      <c r="E68">
        <f t="shared" si="34"/>
        <v>117.01100000000002</v>
      </c>
      <c r="F68">
        <f t="shared" si="34"/>
        <v>117.01100000000002</v>
      </c>
      <c r="G68">
        <f t="shared" si="34"/>
        <v>117.01100000000002</v>
      </c>
    </row>
    <row r="69" spans="2:7">
      <c r="B69" t="s">
        <v>1154</v>
      </c>
      <c r="C69">
        <f>+C64-C70-C72-C75</f>
        <v>88.500000000000028</v>
      </c>
      <c r="D69">
        <f t="shared" ref="D69:G69" si="35">+C69</f>
        <v>88.500000000000028</v>
      </c>
      <c r="E69">
        <f t="shared" si="35"/>
        <v>88.500000000000028</v>
      </c>
      <c r="F69">
        <f t="shared" si="35"/>
        <v>88.500000000000028</v>
      </c>
      <c r="G69">
        <f t="shared" si="35"/>
        <v>88.500000000000028</v>
      </c>
    </row>
    <row r="70" spans="2:7">
      <c r="B70" t="s">
        <v>368</v>
      </c>
      <c r="C70">
        <v>28.510999999999999</v>
      </c>
      <c r="D70">
        <v>28.510999999999999</v>
      </c>
      <c r="E70">
        <v>28.510999999999999</v>
      </c>
      <c r="F70">
        <v>28.510999999999999</v>
      </c>
      <c r="G70">
        <v>28.510999999999999</v>
      </c>
    </row>
    <row r="72" spans="2:7">
      <c r="B72" t="s">
        <v>1155</v>
      </c>
      <c r="C72">
        <v>0</v>
      </c>
      <c r="D72">
        <v>0</v>
      </c>
      <c r="E72">
        <v>0</v>
      </c>
      <c r="F72">
        <v>0</v>
      </c>
      <c r="G72">
        <v>0</v>
      </c>
    </row>
    <row r="74" spans="2:7">
      <c r="B74" t="s">
        <v>336</v>
      </c>
    </row>
    <row r="75" spans="2:7">
      <c r="B75" t="s">
        <v>1156</v>
      </c>
      <c r="C75">
        <v>42.527999999999999</v>
      </c>
      <c r="D75">
        <v>52.095999999999997</v>
      </c>
      <c r="E75">
        <v>68.376999999999995</v>
      </c>
      <c r="F75">
        <v>69.402000000000001</v>
      </c>
      <c r="G75">
        <v>72.872</v>
      </c>
    </row>
    <row r="77" spans="2:7">
      <c r="B77" s="624" t="s">
        <v>415</v>
      </c>
      <c r="C77" s="624">
        <f>+C68+C72+C75</f>
        <v>159.53900000000002</v>
      </c>
      <c r="D77" s="624">
        <f t="shared" ref="D77:G77" si="36">+D69+D70+D72+D75</f>
        <v>169.10700000000003</v>
      </c>
      <c r="E77" s="624">
        <f t="shared" si="36"/>
        <v>185.38800000000003</v>
      </c>
      <c r="F77" s="624">
        <f t="shared" si="36"/>
        <v>186.41300000000001</v>
      </c>
      <c r="G77" s="624">
        <f t="shared" si="36"/>
        <v>189.88300000000004</v>
      </c>
    </row>
    <row r="79" spans="2:7" ht="17.25" thickBot="1">
      <c r="B79" s="765" t="s">
        <v>1161</v>
      </c>
      <c r="C79" s="764"/>
      <c r="D79" s="764"/>
      <c r="E79" s="764"/>
      <c r="F79" s="764"/>
      <c r="G79" s="764"/>
    </row>
    <row r="80" spans="2:7" ht="17.25" thickTop="1"/>
    <row r="81" spans="2:7">
      <c r="B81" t="s">
        <v>1162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2:7">
      <c r="B82" t="s">
        <v>1163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2:7">
      <c r="B83" t="s">
        <v>1164</v>
      </c>
      <c r="C83">
        <v>0</v>
      </c>
      <c r="D83">
        <v>0</v>
      </c>
      <c r="E83">
        <v>0</v>
      </c>
      <c r="F83">
        <v>0</v>
      </c>
      <c r="G83">
        <v>0</v>
      </c>
    </row>
    <row r="85" spans="2:7">
      <c r="B85" t="s">
        <v>1165</v>
      </c>
      <c r="D85">
        <f t="shared" ref="D85:G85" si="37">SUM(D86:D88)</f>
        <v>0</v>
      </c>
      <c r="E85">
        <f t="shared" si="37"/>
        <v>0</v>
      </c>
      <c r="F85">
        <f t="shared" si="37"/>
        <v>0</v>
      </c>
      <c r="G85">
        <f t="shared" si="37"/>
        <v>0</v>
      </c>
    </row>
    <row r="86" spans="2:7">
      <c r="B86" t="s">
        <v>1166</v>
      </c>
      <c r="D86">
        <v>0</v>
      </c>
      <c r="E86">
        <v>0</v>
      </c>
      <c r="F86">
        <v>0</v>
      </c>
      <c r="G86">
        <v>0</v>
      </c>
    </row>
    <row r="87" spans="2:7">
      <c r="B87" t="s">
        <v>1167</v>
      </c>
      <c r="D87">
        <v>0</v>
      </c>
      <c r="E87">
        <v>0</v>
      </c>
      <c r="F87">
        <v>0</v>
      </c>
      <c r="G87">
        <v>0</v>
      </c>
    </row>
    <row r="88" spans="2:7">
      <c r="B88" t="s">
        <v>1168</v>
      </c>
      <c r="D88">
        <v>0</v>
      </c>
      <c r="E88">
        <v>0</v>
      </c>
      <c r="F88">
        <v>0</v>
      </c>
      <c r="G88">
        <v>0</v>
      </c>
    </row>
    <row r="90" spans="2:7">
      <c r="B90" t="s">
        <v>1169</v>
      </c>
      <c r="D90">
        <f t="shared" ref="D90:G90" si="38">-D82</f>
        <v>0</v>
      </c>
      <c r="E90">
        <f t="shared" si="38"/>
        <v>0</v>
      </c>
      <c r="F90">
        <f t="shared" si="38"/>
        <v>0</v>
      </c>
      <c r="G90">
        <f t="shared" si="38"/>
        <v>0</v>
      </c>
    </row>
    <row r="91" spans="2:7">
      <c r="B91" t="s">
        <v>220</v>
      </c>
      <c r="D91">
        <v>0</v>
      </c>
      <c r="E91">
        <v>0</v>
      </c>
      <c r="F91">
        <v>0</v>
      </c>
      <c r="G91">
        <v>0</v>
      </c>
    </row>
    <row r="92" spans="2:7">
      <c r="B92" t="s">
        <v>1170</v>
      </c>
      <c r="D92">
        <f t="shared" ref="D92:G92" si="39">+D81+D82+D83+D85+D90+D91</f>
        <v>0</v>
      </c>
      <c r="E92">
        <f t="shared" si="39"/>
        <v>0</v>
      </c>
      <c r="F92">
        <f t="shared" si="39"/>
        <v>0</v>
      </c>
      <c r="G92">
        <f t="shared" si="39"/>
        <v>0</v>
      </c>
    </row>
    <row r="94" spans="2:7">
      <c r="B94" t="s">
        <v>978</v>
      </c>
      <c r="D94">
        <v>0</v>
      </c>
      <c r="E94">
        <v>0</v>
      </c>
      <c r="F94">
        <v>0</v>
      </c>
      <c r="G94">
        <v>0</v>
      </c>
    </row>
    <row r="95" spans="2:7">
      <c r="B95" t="s">
        <v>556</v>
      </c>
      <c r="D95">
        <f t="shared" ref="D95:G95" si="40">+D94</f>
        <v>0</v>
      </c>
      <c r="E95">
        <f t="shared" si="40"/>
        <v>0</v>
      </c>
      <c r="F95">
        <f t="shared" si="40"/>
        <v>0</v>
      </c>
      <c r="G95">
        <f t="shared" si="40"/>
        <v>0</v>
      </c>
    </row>
    <row r="97" spans="2:29">
      <c r="B97" t="s">
        <v>1171</v>
      </c>
      <c r="D97">
        <v>0</v>
      </c>
      <c r="E97">
        <v>0</v>
      </c>
      <c r="F97">
        <v>0</v>
      </c>
      <c r="G97">
        <v>0</v>
      </c>
    </row>
    <row r="98" spans="2:29">
      <c r="B98" t="s">
        <v>583</v>
      </c>
      <c r="D98">
        <f t="shared" ref="D98:G98" si="41">+D97</f>
        <v>0</v>
      </c>
      <c r="E98">
        <f t="shared" si="41"/>
        <v>0</v>
      </c>
      <c r="F98">
        <f t="shared" si="41"/>
        <v>0</v>
      </c>
      <c r="G98">
        <f t="shared" si="41"/>
        <v>0</v>
      </c>
    </row>
    <row r="100" spans="2:29">
      <c r="B100" t="s">
        <v>1172</v>
      </c>
      <c r="D100">
        <f t="shared" ref="D100:G100" si="42">+D92+D95+D98</f>
        <v>0</v>
      </c>
      <c r="E100">
        <f t="shared" si="42"/>
        <v>0</v>
      </c>
      <c r="F100">
        <f t="shared" si="42"/>
        <v>0</v>
      </c>
      <c r="G100">
        <f t="shared" si="42"/>
        <v>0</v>
      </c>
    </row>
    <row r="101" spans="2:29">
      <c r="B101" t="s">
        <v>1173</v>
      </c>
      <c r="D101">
        <v>0</v>
      </c>
      <c r="E101">
        <f t="shared" ref="E101:G101" si="43">+D102</f>
        <v>0</v>
      </c>
      <c r="F101">
        <f t="shared" si="43"/>
        <v>0</v>
      </c>
      <c r="G101">
        <f t="shared" si="43"/>
        <v>0</v>
      </c>
    </row>
    <row r="102" spans="2:29">
      <c r="B102" t="s">
        <v>1174</v>
      </c>
      <c r="D102">
        <f t="shared" ref="D102:G102" si="44">D100+D101</f>
        <v>0</v>
      </c>
      <c r="E102">
        <f t="shared" si="44"/>
        <v>0</v>
      </c>
      <c r="F102">
        <f t="shared" si="44"/>
        <v>0</v>
      </c>
      <c r="G102">
        <f t="shared" si="44"/>
        <v>0</v>
      </c>
    </row>
    <row r="104" spans="2:29">
      <c r="B104" s="422" t="s">
        <v>1484</v>
      </c>
    </row>
    <row r="108" spans="2:29">
      <c r="E108" s="422" t="s">
        <v>1499</v>
      </c>
    </row>
    <row r="110" spans="2:29">
      <c r="J110" s="1192" t="s">
        <v>1500</v>
      </c>
      <c r="K110" s="1192"/>
      <c r="L110" s="1192"/>
      <c r="M110" s="1192"/>
      <c r="N110" s="1192" t="s">
        <v>1501</v>
      </c>
      <c r="O110" s="1192"/>
      <c r="P110" s="1192"/>
      <c r="Q110" s="1192"/>
      <c r="R110" s="1192" t="s">
        <v>1502</v>
      </c>
      <c r="S110" s="1192"/>
      <c r="T110" s="1192"/>
      <c r="U110" s="1192"/>
      <c r="V110" s="1192" t="s">
        <v>1503</v>
      </c>
      <c r="W110" s="1192"/>
      <c r="X110" s="1192"/>
      <c r="Y110" s="1192"/>
      <c r="Z110" s="1192" t="s">
        <v>1504</v>
      </c>
      <c r="AA110" s="1192"/>
      <c r="AB110" s="1192"/>
      <c r="AC110" s="1192"/>
    </row>
    <row r="111" spans="2:29">
      <c r="I111" t="s">
        <v>1505</v>
      </c>
      <c r="J111" s="1085" t="s">
        <v>1506</v>
      </c>
      <c r="K111" s="448" t="s">
        <v>1507</v>
      </c>
      <c r="L111" s="448" t="s">
        <v>1508</v>
      </c>
      <c r="M111" s="448" t="s">
        <v>1509</v>
      </c>
      <c r="N111" s="1086" t="s">
        <v>1506</v>
      </c>
      <c r="O111" s="448" t="s">
        <v>1507</v>
      </c>
      <c r="P111" s="448" t="s">
        <v>1508</v>
      </c>
      <c r="Q111" s="448" t="s">
        <v>1509</v>
      </c>
      <c r="R111" s="1086" t="s">
        <v>1506</v>
      </c>
      <c r="S111" s="448" t="s">
        <v>1507</v>
      </c>
      <c r="T111" s="448" t="s">
        <v>1508</v>
      </c>
      <c r="U111" s="448" t="s">
        <v>1509</v>
      </c>
      <c r="V111" s="1086" t="s">
        <v>1506</v>
      </c>
      <c r="W111" s="448" t="s">
        <v>1507</v>
      </c>
      <c r="X111" s="448" t="s">
        <v>1508</v>
      </c>
      <c r="Y111" s="448" t="s">
        <v>1509</v>
      </c>
      <c r="Z111" s="1086" t="s">
        <v>1506</v>
      </c>
      <c r="AA111" s="448" t="s">
        <v>1507</v>
      </c>
      <c r="AB111" s="448" t="s">
        <v>1508</v>
      </c>
      <c r="AC111" s="448" t="s">
        <v>1509</v>
      </c>
    </row>
    <row r="112" spans="2:29">
      <c r="E112">
        <v>0</v>
      </c>
      <c r="F112">
        <v>1</v>
      </c>
      <c r="G112">
        <v>2</v>
      </c>
      <c r="H112" s="422" t="s">
        <v>1507</v>
      </c>
      <c r="I112" s="669" t="s">
        <v>992</v>
      </c>
      <c r="J112" s="1087" t="s">
        <v>1506</v>
      </c>
      <c r="K112" s="669" t="s">
        <v>1507</v>
      </c>
      <c r="L112" s="669" t="s">
        <v>1508</v>
      </c>
      <c r="M112" s="669" t="s">
        <v>1509</v>
      </c>
      <c r="N112" s="1088" t="s">
        <v>1506</v>
      </c>
      <c r="O112" s="669" t="s">
        <v>1507</v>
      </c>
      <c r="P112" s="669" t="s">
        <v>1508</v>
      </c>
      <c r="Q112" s="669" t="s">
        <v>1509</v>
      </c>
      <c r="R112" s="1088" t="s">
        <v>1506</v>
      </c>
      <c r="S112" s="669" t="s">
        <v>1507</v>
      </c>
      <c r="T112" s="669" t="s">
        <v>1508</v>
      </c>
      <c r="U112" s="669" t="s">
        <v>1509</v>
      </c>
      <c r="V112" s="1088" t="s">
        <v>1506</v>
      </c>
      <c r="W112" s="669" t="s">
        <v>1507</v>
      </c>
      <c r="X112" s="669" t="s">
        <v>1508</v>
      </c>
      <c r="Y112" s="669" t="s">
        <v>1509</v>
      </c>
      <c r="Z112" s="1088" t="s">
        <v>1506</v>
      </c>
      <c r="AA112" s="669" t="s">
        <v>1507</v>
      </c>
      <c r="AB112" s="669" t="s">
        <v>1508</v>
      </c>
      <c r="AC112" s="669" t="s">
        <v>1509</v>
      </c>
    </row>
    <row r="113" spans="4:27">
      <c r="E113" s="1089" t="s">
        <v>1510</v>
      </c>
      <c r="F113" s="1089" t="s">
        <v>1511</v>
      </c>
      <c r="G113" s="1089" t="s">
        <v>1512</v>
      </c>
      <c r="I113" s="422" t="s">
        <v>1513</v>
      </c>
      <c r="J113" t="e">
        <f>SLOPE($K114:$M114,$K$67:$M$67)*($M$67+1)+ INTERCEPT($K114:$M114,$K113:$M113)</f>
        <v>#DIV/0!</v>
      </c>
      <c r="K113">
        <f>$M114*(1+H114)</f>
        <v>-18.258388199999992</v>
      </c>
      <c r="L113" s="1090">
        <f>AVERAGE(E114:G114)</f>
        <v>22.413033333333331</v>
      </c>
      <c r="M113" s="1090">
        <f>G114</f>
        <v>26.009099999999993</v>
      </c>
    </row>
    <row r="114" spans="4:27">
      <c r="D114" s="422" t="s">
        <v>1514</v>
      </c>
      <c r="E114" s="1090">
        <v>19</v>
      </c>
      <c r="F114" s="1090">
        <v>22.229999999999997</v>
      </c>
      <c r="G114" s="1090">
        <v>26.009099999999993</v>
      </c>
      <c r="H114" s="1091">
        <f>(G114/E114)^(1/(G112-E112))-1</f>
        <v>0.16999999999999971</v>
      </c>
      <c r="I114" s="422" t="s">
        <v>992</v>
      </c>
      <c r="J114" t="e">
        <f>SLOPE($K114:$M114,$K$67:$M$67)*(G112+1)+ INTERCEPT($K114:$M114,$K113:$M113)</f>
        <v>#DIV/0!</v>
      </c>
      <c r="K114">
        <f>$M114*(1+H115)</f>
        <v>-18.258388199999992</v>
      </c>
      <c r="L114" s="1090">
        <f>AVERAGE(E115:G115)</f>
        <v>-13.447819999999998</v>
      </c>
      <c r="M114" s="1090">
        <f>G115</f>
        <v>-15.605459999999995</v>
      </c>
    </row>
    <row r="115" spans="4:27">
      <c r="D115" s="422" t="s">
        <v>992</v>
      </c>
      <c r="E115" s="1090">
        <v>-11.4</v>
      </c>
      <c r="F115" s="1090">
        <v>-13.337999999999997</v>
      </c>
      <c r="G115" s="1090">
        <v>-15.605459999999995</v>
      </c>
      <c r="H115" s="1091">
        <f>(G115/E115)^(1/(G112-E112))-1</f>
        <v>0.16999999999999971</v>
      </c>
    </row>
    <row r="116" spans="4:27">
      <c r="D116" s="1092" t="s">
        <v>1376</v>
      </c>
      <c r="E116" s="1093">
        <v>7.6</v>
      </c>
      <c r="F116" s="1093">
        <v>8.8919999999999995</v>
      </c>
      <c r="G116" s="1093">
        <v>10.403639999999998</v>
      </c>
    </row>
    <row r="120" spans="4:27">
      <c r="J120" s="1094">
        <v>0</v>
      </c>
      <c r="K120" s="1094">
        <v>1</v>
      </c>
      <c r="L120" s="1094">
        <v>2</v>
      </c>
      <c r="M120" s="1095">
        <v>3</v>
      </c>
      <c r="N120" s="1094">
        <v>5</v>
      </c>
      <c r="O120" s="1094">
        <v>6</v>
      </c>
      <c r="P120" s="1094">
        <v>7</v>
      </c>
      <c r="Q120" s="1094">
        <v>8</v>
      </c>
      <c r="S120" t="s">
        <v>1515</v>
      </c>
      <c r="T120" s="1094">
        <v>0</v>
      </c>
      <c r="U120" s="1094">
        <v>1</v>
      </c>
      <c r="V120" s="1094">
        <v>2</v>
      </c>
      <c r="W120" s="1095">
        <v>3</v>
      </c>
      <c r="X120" s="1094">
        <v>5</v>
      </c>
      <c r="Y120" s="1094">
        <v>6</v>
      </c>
      <c r="Z120" s="1094">
        <v>7</v>
      </c>
      <c r="AA120" s="1094">
        <v>8</v>
      </c>
    </row>
    <row r="121" spans="4:27">
      <c r="J121" s="1089" t="s">
        <v>1510</v>
      </c>
      <c r="K121" s="1089" t="s">
        <v>1511</v>
      </c>
      <c r="L121" s="1089" t="s">
        <v>1512</v>
      </c>
      <c r="M121" s="1096" t="s">
        <v>1516</v>
      </c>
      <c r="N121" s="1097" t="s">
        <v>1517</v>
      </c>
      <c r="O121" s="1097" t="s">
        <v>1518</v>
      </c>
      <c r="P121" s="1097" t="s">
        <v>1519</v>
      </c>
      <c r="Q121" s="1097" t="s">
        <v>1504</v>
      </c>
      <c r="R121" s="1089"/>
      <c r="T121" s="1089" t="s">
        <v>1510</v>
      </c>
      <c r="U121" s="1089" t="s">
        <v>1511</v>
      </c>
      <c r="V121" s="1089" t="s">
        <v>1512</v>
      </c>
      <c r="W121" s="1096" t="s">
        <v>1516</v>
      </c>
      <c r="X121" s="1097" t="s">
        <v>1517</v>
      </c>
      <c r="Y121" s="1097" t="s">
        <v>1518</v>
      </c>
      <c r="Z121" s="1097" t="s">
        <v>1519</v>
      </c>
      <c r="AA121" s="1097" t="s">
        <v>1504</v>
      </c>
    </row>
    <row r="122" spans="4:27">
      <c r="I122" s="422" t="s">
        <v>1514</v>
      </c>
      <c r="J122" s="1090">
        <v>19</v>
      </c>
      <c r="K122" s="1090">
        <v>22.229999999999997</v>
      </c>
      <c r="L122" s="1090">
        <v>26.009099999999993</v>
      </c>
      <c r="M122" s="1098">
        <f>SLOPE(J122:L122,J120:L120)*(L120+1)+INTERCEPT(J122:L122,J120:L120)</f>
        <v>29.422133333333328</v>
      </c>
      <c r="N122" s="1098">
        <f>SLOPE(K122:M122,K120:M120)*(M120+1)+INTERCEPT(K122:M122,K120:M120)</f>
        <v>33.079211111111107</v>
      </c>
      <c r="O122" s="1098">
        <f t="shared" ref="O122:Q122" si="45">SLOPE(L122:N122,L120:N120)*(N120+1)+INTERCEPT(L122:N122,L120:N120)</f>
        <v>35.586819047619045</v>
      </c>
      <c r="P122" s="1098">
        <f t="shared" si="45"/>
        <v>37.415357936507931</v>
      </c>
      <c r="Q122" s="1098">
        <f t="shared" si="45"/>
        <v>39.696609523809521</v>
      </c>
      <c r="S122" s="422" t="s">
        <v>1514</v>
      </c>
      <c r="T122" s="1090">
        <v>19</v>
      </c>
      <c r="U122" s="1090">
        <v>22.229999999999997</v>
      </c>
      <c r="V122" s="1090">
        <v>26.009099999999993</v>
      </c>
      <c r="W122" s="1098">
        <f>SLOPE(T122:V122,T120:V120)*(V120+1)+INTERCEPT(T122:V122,T120:V120)</f>
        <v>29.422133333333328</v>
      </c>
      <c r="X122" s="1098">
        <f>SLOPE(T122:W122,T120:W120)*(W120+1)+INTERCEPT(T122:W122,T120:W120)</f>
        <v>32.926683333333322</v>
      </c>
      <c r="Y122" s="1098">
        <f>SLOPE(T122:X122,T120:X120)*(X120+1)+INTERCEPT(T122:X122,T120:X120)</f>
        <v>36.715386036036023</v>
      </c>
      <c r="Z122" s="1098">
        <f>SLOPE(T122:Y122,T120:Y120)*(Y120+1)+INTERCEPT(T122:Y122,T120:Y120)</f>
        <v>39.55691306306305</v>
      </c>
      <c r="AA122" s="1098">
        <f>SLOPE(T122:Z122,T120:Z120)*(Z120+1)+INTERCEPT(T122:Z122,T120:Z120)</f>
        <v>42.398440090090077</v>
      </c>
    </row>
    <row r="123" spans="4:27">
      <c r="I123" s="422" t="s">
        <v>992</v>
      </c>
      <c r="J123" s="1090">
        <v>-11.4</v>
      </c>
      <c r="K123" s="1090">
        <v>-13.337999999999997</v>
      </c>
      <c r="L123" s="1090">
        <v>-15.605459999999995</v>
      </c>
      <c r="M123" s="1098">
        <f>SLOPE(J123:L123,J120:L120)*(L120+1)+INTERCEPT(J123:L123,J120:L120)</f>
        <v>-17.653279999999995</v>
      </c>
      <c r="N123" s="1098">
        <f t="shared" ref="N123:Q123" si="46">SLOPE(K123:M123,K120:M120)*(M120+1)+INTERCEPT(K123:M123,K120:M120)</f>
        <v>-19.84752666666666</v>
      </c>
      <c r="O123" s="1098">
        <f t="shared" si="46"/>
        <v>-21.352091428571423</v>
      </c>
      <c r="P123" s="1098">
        <f t="shared" si="46"/>
        <v>-22.449214761904756</v>
      </c>
      <c r="Q123" s="1098">
        <f t="shared" si="46"/>
        <v>-23.817965714285709</v>
      </c>
      <c r="S123" s="422" t="s">
        <v>992</v>
      </c>
      <c r="T123" s="1090">
        <v>-11.4</v>
      </c>
      <c r="U123" s="1090">
        <v>-13.337999999999997</v>
      </c>
      <c r="V123" s="1090">
        <v>-15.605459999999995</v>
      </c>
      <c r="W123" s="1098">
        <f>SLOPE(T123:V123,T120:V120)*(V120+1)+INTERCEPT(T123:V123,T120:V120)</f>
        <v>-17.653279999999995</v>
      </c>
      <c r="X123" s="1098">
        <f t="shared" ref="X123:AA123" si="47">SLOPE(U123:W123,U120:W120)*(W120+1)+INTERCEPT(U123:W123,U120:W120)</f>
        <v>-19.84752666666666</v>
      </c>
      <c r="Y123" s="1098">
        <f t="shared" si="47"/>
        <v>-21.352091428571423</v>
      </c>
      <c r="Z123" s="1098">
        <f t="shared" si="47"/>
        <v>-22.449214761904756</v>
      </c>
      <c r="AA123" s="1098">
        <f t="shared" si="47"/>
        <v>-23.817965714285709</v>
      </c>
    </row>
    <row r="124" spans="4:27">
      <c r="I124" s="422" t="s">
        <v>1520</v>
      </c>
      <c r="J124" s="1090">
        <f>SUM(J122:J123)</f>
        <v>7.6</v>
      </c>
      <c r="K124" s="1090">
        <f t="shared" ref="K124:Q124" si="48">SUM(K122:K123)</f>
        <v>8.8919999999999995</v>
      </c>
      <c r="L124" s="1090">
        <f t="shared" si="48"/>
        <v>10.403639999999998</v>
      </c>
      <c r="M124" s="1090">
        <f t="shared" si="48"/>
        <v>11.768853333333333</v>
      </c>
      <c r="N124" s="1090">
        <f t="shared" si="48"/>
        <v>13.231684444444447</v>
      </c>
      <c r="O124" s="1090">
        <f t="shared" si="48"/>
        <v>14.234727619047622</v>
      </c>
      <c r="P124" s="1090">
        <f t="shared" si="48"/>
        <v>14.966143174603175</v>
      </c>
      <c r="Q124" s="1090">
        <f t="shared" si="48"/>
        <v>15.878643809523812</v>
      </c>
      <c r="S124" s="422" t="s">
        <v>1520</v>
      </c>
      <c r="T124" s="1090">
        <f>SUM(T122:T123)</f>
        <v>7.6</v>
      </c>
      <c r="U124" s="1090">
        <f t="shared" ref="U124:AA124" si="49">SUM(U122:U123)</f>
        <v>8.8919999999999995</v>
      </c>
      <c r="V124" s="1090">
        <f t="shared" si="49"/>
        <v>10.403639999999998</v>
      </c>
      <c r="W124" s="1090">
        <f t="shared" si="49"/>
        <v>11.768853333333333</v>
      </c>
      <c r="X124" s="1090">
        <f t="shared" si="49"/>
        <v>13.079156666666663</v>
      </c>
      <c r="Y124" s="1090">
        <f t="shared" si="49"/>
        <v>15.363294607464599</v>
      </c>
      <c r="Z124" s="1090">
        <f t="shared" si="49"/>
        <v>17.107698301158294</v>
      </c>
      <c r="AA124" s="1090">
        <f t="shared" si="49"/>
        <v>18.580474375804368</v>
      </c>
    </row>
  </sheetData>
  <mergeCells count="5">
    <mergeCell ref="J110:M110"/>
    <mergeCell ref="N110:Q110"/>
    <mergeCell ref="R110:U110"/>
    <mergeCell ref="V110:Y110"/>
    <mergeCell ref="Z110:AC110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5" tint="0.39997558519241921"/>
  </sheetPr>
  <dimension ref="A1:T198"/>
  <sheetViews>
    <sheetView zoomScale="70" zoomScaleNormal="70" workbookViewId="0">
      <selection activeCell="P152" sqref="P152"/>
    </sheetView>
  </sheetViews>
  <sheetFormatPr defaultRowHeight="16.5"/>
  <cols>
    <col min="2" max="2" width="50.28515625" bestFit="1" customWidth="1"/>
    <col min="3" max="4" width="10.7109375" customWidth="1"/>
    <col min="5" max="5" width="13.140625" bestFit="1" customWidth="1"/>
    <col min="6" max="7" width="9.7109375" bestFit="1" customWidth="1"/>
    <col min="8" max="8" width="9.7109375" customWidth="1"/>
    <col min="9" max="9" width="16.28515625" customWidth="1"/>
    <col min="10" max="10" width="9.7109375" bestFit="1" customWidth="1"/>
    <col min="11" max="14" width="10.28515625" bestFit="1" customWidth="1"/>
    <col min="15" max="15" width="20" bestFit="1" customWidth="1"/>
    <col min="16" max="16" width="61.28515625" bestFit="1" customWidth="1"/>
    <col min="17" max="21" width="10.7109375" customWidth="1"/>
  </cols>
  <sheetData>
    <row r="1" spans="2:15">
      <c r="N1" s="422"/>
    </row>
    <row r="2" spans="2:15">
      <c r="B2" s="1215" t="s">
        <v>988</v>
      </c>
      <c r="C2" s="1215"/>
      <c r="D2" s="1216"/>
      <c r="E2" s="1217"/>
      <c r="F2" s="1218">
        <f>'Control Panel'!V5</f>
        <v>2020</v>
      </c>
      <c r="G2" s="1218">
        <f>'Control Panel'!W5</f>
        <v>2021</v>
      </c>
      <c r="H2" s="1218">
        <f>'Control Panel'!X5</f>
        <v>2022</v>
      </c>
      <c r="I2" s="1219">
        <f>'Control Panel'!Y5</f>
        <v>2023</v>
      </c>
      <c r="J2" s="1219">
        <f>'Control Panel'!Z5</f>
        <v>2024</v>
      </c>
      <c r="K2" s="1218">
        <f>'Control Panel'!AA5</f>
        <v>2025</v>
      </c>
      <c r="L2" s="1218">
        <f>'Control Panel'!AB5</f>
        <v>2026</v>
      </c>
      <c r="M2" s="1218">
        <f>'Control Panel'!AC5</f>
        <v>2027</v>
      </c>
      <c r="N2" s="1218">
        <f>'Control Panel'!AD5</f>
        <v>2028</v>
      </c>
    </row>
    <row r="3" spans="2:15">
      <c r="B3" s="1220"/>
      <c r="C3" s="1220"/>
      <c r="D3" s="1220"/>
      <c r="E3" s="1221" t="s">
        <v>117</v>
      </c>
      <c r="F3" s="1220">
        <f>'Control Panel'!V7</f>
        <v>366</v>
      </c>
      <c r="G3" s="1220">
        <f>'Control Panel'!W7</f>
        <v>365</v>
      </c>
      <c r="H3" s="1222">
        <f>'Control Panel'!X7</f>
        <v>365</v>
      </c>
      <c r="I3" s="1223">
        <f>'Control Panel'!Y7</f>
        <v>365</v>
      </c>
      <c r="J3" s="1223">
        <f>'Control Panel'!Z7</f>
        <v>366</v>
      </c>
      <c r="K3" s="1220">
        <f>'Control Panel'!AA7</f>
        <v>365</v>
      </c>
      <c r="L3" s="1220">
        <f>'Control Panel'!AB7</f>
        <v>365</v>
      </c>
      <c r="M3" s="1220">
        <f>'Control Panel'!AC7</f>
        <v>365</v>
      </c>
      <c r="N3" s="1220">
        <f>'Control Panel'!AD7</f>
        <v>365</v>
      </c>
    </row>
    <row r="4" spans="2:15">
      <c r="B4" s="1220"/>
      <c r="C4" s="1220"/>
      <c r="D4" s="1220"/>
      <c r="E4" s="1220"/>
      <c r="F4" s="1220"/>
      <c r="G4" s="1220"/>
      <c r="H4" s="1220"/>
      <c r="I4" s="1223"/>
      <c r="J4" s="1223"/>
      <c r="K4" s="1220"/>
      <c r="L4" s="1220"/>
      <c r="M4" s="1220"/>
      <c r="N4" s="1220"/>
    </row>
    <row r="5" spans="2:15">
      <c r="B5" s="1224" t="s">
        <v>1922</v>
      </c>
      <c r="C5" s="1224"/>
      <c r="D5" s="1225"/>
      <c r="E5" s="1226"/>
      <c r="F5" s="1227"/>
      <c r="G5" s="1228"/>
      <c r="H5" s="1229"/>
      <c r="I5" s="1229"/>
      <c r="J5" s="1230"/>
      <c r="K5" s="1231"/>
      <c r="L5" s="1231"/>
      <c r="M5" s="1231"/>
      <c r="N5" s="1231"/>
    </row>
    <row r="6" spans="2:15">
      <c r="B6" s="1232"/>
      <c r="C6" s="1232"/>
      <c r="D6" s="1233"/>
      <c r="E6" s="1421"/>
      <c r="F6" s="1435"/>
      <c r="G6" s="1235"/>
      <c r="H6" s="1235"/>
      <c r="I6" s="1438"/>
      <c r="J6" s="1236"/>
      <c r="K6" s="1235"/>
      <c r="L6" s="1235"/>
      <c r="M6" s="1235"/>
      <c r="N6" s="1235"/>
    </row>
    <row r="7" spans="2:15">
      <c r="B7" s="1233" t="s">
        <v>1896</v>
      </c>
      <c r="C7" s="1233"/>
      <c r="D7" s="1216"/>
      <c r="E7" s="1284"/>
      <c r="F7" s="1290"/>
      <c r="G7" s="1217"/>
      <c r="H7" s="1237">
        <f>H9/G9-1</f>
        <v>1.9650655021834051E-2</v>
      </c>
      <c r="I7" s="1439">
        <f>I9/H9-1</f>
        <v>2.0699500356887945E-2</v>
      </c>
      <c r="J7" s="1238">
        <v>0</v>
      </c>
      <c r="K7" s="1239">
        <v>0</v>
      </c>
      <c r="L7" s="1239">
        <v>0</v>
      </c>
      <c r="M7" s="1239">
        <v>0</v>
      </c>
      <c r="N7" s="1239">
        <v>0</v>
      </c>
    </row>
    <row r="8" spans="2:15">
      <c r="B8" s="1233"/>
      <c r="C8" s="1233"/>
      <c r="D8" s="1216"/>
      <c r="E8" s="1284"/>
      <c r="F8" s="1290"/>
      <c r="G8" s="1217"/>
      <c r="H8" s="1237"/>
      <c r="I8" s="1439"/>
      <c r="J8" s="1240"/>
      <c r="K8" s="1241"/>
      <c r="L8" s="1241"/>
      <c r="M8" s="1241"/>
      <c r="N8" s="1241"/>
    </row>
    <row r="9" spans="2:15">
      <c r="B9" s="1233" t="s">
        <v>986</v>
      </c>
      <c r="C9" s="1233"/>
      <c r="D9" s="1216"/>
      <c r="E9" s="1421" t="s">
        <v>974</v>
      </c>
      <c r="F9" s="1243">
        <v>1374</v>
      </c>
      <c r="G9" s="1242">
        <v>1374</v>
      </c>
      <c r="H9" s="1242">
        <v>1401</v>
      </c>
      <c r="I9" s="1440">
        <v>1430</v>
      </c>
      <c r="J9" s="1244">
        <f>I9*(1+J7)</f>
        <v>1430</v>
      </c>
      <c r="K9" s="1245">
        <f t="shared" ref="K9:N9" si="0">J9*(1+K7)</f>
        <v>1430</v>
      </c>
      <c r="L9" s="1245">
        <f t="shared" si="0"/>
        <v>1430</v>
      </c>
      <c r="M9" s="1245">
        <f t="shared" si="0"/>
        <v>1430</v>
      </c>
      <c r="N9" s="1245">
        <f t="shared" si="0"/>
        <v>1430</v>
      </c>
    </row>
    <row r="10" spans="2:15">
      <c r="B10" s="1233" t="s">
        <v>1897</v>
      </c>
      <c r="C10" s="1233"/>
      <c r="D10" s="1233"/>
      <c r="E10" s="1421" t="s">
        <v>974</v>
      </c>
      <c r="F10" s="1243">
        <v>1600</v>
      </c>
      <c r="G10" s="1242">
        <v>1600</v>
      </c>
      <c r="H10" s="1242">
        <v>1600</v>
      </c>
      <c r="I10" s="1440">
        <v>1600</v>
      </c>
      <c r="J10" s="1243">
        <v>1600</v>
      </c>
      <c r="K10" s="1243">
        <v>1600</v>
      </c>
      <c r="L10" s="1243">
        <v>1600</v>
      </c>
      <c r="M10" s="1243">
        <v>1600</v>
      </c>
      <c r="N10" s="1243">
        <v>1600</v>
      </c>
    </row>
    <row r="11" spans="2:15">
      <c r="B11" s="1233" t="s">
        <v>987</v>
      </c>
      <c r="C11" s="1233"/>
      <c r="D11" s="1216"/>
      <c r="E11" s="1284"/>
      <c r="F11" s="1247">
        <f>F9/F10</f>
        <v>0.85875000000000001</v>
      </c>
      <c r="G11" s="1246">
        <f>G9/G10</f>
        <v>0.85875000000000001</v>
      </c>
      <c r="H11" s="1246">
        <f t="shared" ref="H11:N11" si="1">H9/H10</f>
        <v>0.87562499999999999</v>
      </c>
      <c r="I11" s="1441">
        <f t="shared" si="1"/>
        <v>0.89375000000000004</v>
      </c>
      <c r="J11" s="1247">
        <f t="shared" si="1"/>
        <v>0.89375000000000004</v>
      </c>
      <c r="K11" s="1246">
        <f t="shared" si="1"/>
        <v>0.89375000000000004</v>
      </c>
      <c r="L11" s="1246">
        <f t="shared" si="1"/>
        <v>0.89375000000000004</v>
      </c>
      <c r="M11" s="1246">
        <f t="shared" si="1"/>
        <v>0.89375000000000004</v>
      </c>
      <c r="N11" s="1246">
        <f t="shared" si="1"/>
        <v>0.89375000000000004</v>
      </c>
    </row>
    <row r="12" spans="2:15">
      <c r="B12" s="1220"/>
      <c r="C12" s="1220"/>
      <c r="D12" s="1220"/>
      <c r="E12" s="1222"/>
      <c r="F12" s="1223"/>
      <c r="G12" s="1220"/>
      <c r="H12" s="1220"/>
      <c r="I12" s="1442"/>
      <c r="J12" s="1223"/>
      <c r="K12" s="1220"/>
      <c r="L12" s="1220"/>
      <c r="M12" s="1220"/>
      <c r="N12" s="1220"/>
    </row>
    <row r="13" spans="2:15">
      <c r="B13" s="1233" t="s">
        <v>1894</v>
      </c>
      <c r="C13" s="1233"/>
      <c r="D13" s="1220"/>
      <c r="E13" s="1222"/>
      <c r="F13" s="1223"/>
      <c r="G13" s="1220"/>
      <c r="H13" s="1220"/>
      <c r="I13" s="1442"/>
      <c r="J13" s="1223"/>
      <c r="K13" s="1220"/>
      <c r="L13" s="1220"/>
      <c r="M13" s="1220"/>
      <c r="N13" s="1220"/>
    </row>
    <row r="14" spans="2:15">
      <c r="B14" s="1248" t="s">
        <v>1898</v>
      </c>
      <c r="C14" s="1233"/>
      <c r="D14" s="1220"/>
      <c r="E14" s="1222"/>
      <c r="F14" s="1223">
        <v>5000</v>
      </c>
      <c r="G14" s="1220">
        <v>10000</v>
      </c>
      <c r="H14" s="1220">
        <v>10100</v>
      </c>
      <c r="I14" s="1442">
        <v>10100</v>
      </c>
      <c r="J14" s="1223">
        <v>10400</v>
      </c>
      <c r="K14" s="1220">
        <v>11400</v>
      </c>
      <c r="L14" s="1220">
        <v>12400</v>
      </c>
      <c r="M14" s="1220">
        <v>13400</v>
      </c>
      <c r="N14" s="1220">
        <v>14400</v>
      </c>
      <c r="O14" s="1210" t="s">
        <v>1929</v>
      </c>
    </row>
    <row r="15" spans="2:15">
      <c r="B15" s="1220"/>
      <c r="C15" s="1220"/>
      <c r="D15" s="1220"/>
      <c r="E15" s="1222"/>
      <c r="F15" s="1223"/>
      <c r="G15" s="1220"/>
      <c r="H15" s="1220"/>
      <c r="I15" s="1442"/>
      <c r="J15" s="1223"/>
      <c r="K15" s="1220"/>
      <c r="L15" s="1220"/>
      <c r="M15" s="1220"/>
      <c r="N15" s="1220"/>
    </row>
    <row r="16" spans="2:15">
      <c r="B16" s="1249" t="s">
        <v>989</v>
      </c>
      <c r="C16" s="1249"/>
      <c r="D16" s="1249"/>
      <c r="E16" s="1249"/>
      <c r="F16" s="1250"/>
      <c r="G16" s="1249"/>
      <c r="H16" s="1249"/>
      <c r="I16" s="1443"/>
      <c r="J16" s="1250"/>
      <c r="K16" s="1249"/>
      <c r="L16" s="1249"/>
      <c r="M16" s="1249"/>
      <c r="N16" s="1249"/>
      <c r="O16" s="629"/>
    </row>
    <row r="17" spans="2:15">
      <c r="B17" s="1220"/>
      <c r="C17" s="1220"/>
      <c r="D17" s="1220"/>
      <c r="E17" s="1222"/>
      <c r="F17" s="1223"/>
      <c r="G17" s="1220"/>
      <c r="H17" s="1220"/>
      <c r="I17" s="1442"/>
      <c r="J17" s="1223"/>
      <c r="K17" s="1220"/>
      <c r="L17" s="1220"/>
      <c r="M17" s="1220"/>
      <c r="N17" s="1220"/>
    </row>
    <row r="18" spans="2:15">
      <c r="B18" s="1232" t="s">
        <v>986</v>
      </c>
      <c r="C18" s="1232"/>
      <c r="D18" s="1216"/>
      <c r="E18" s="1421"/>
      <c r="F18" s="1252">
        <v>10000</v>
      </c>
      <c r="G18" s="1251">
        <v>10000</v>
      </c>
      <c r="H18" s="1251">
        <v>10000</v>
      </c>
      <c r="I18" s="1444">
        <v>10000</v>
      </c>
      <c r="J18" s="1252">
        <v>10000</v>
      </c>
      <c r="K18" s="1251">
        <v>10000</v>
      </c>
      <c r="L18" s="1251">
        <v>10000</v>
      </c>
      <c r="M18" s="1251">
        <v>10000</v>
      </c>
      <c r="N18" s="1251">
        <v>10000</v>
      </c>
    </row>
    <row r="19" spans="2:15">
      <c r="B19" s="1232" t="s">
        <v>883</v>
      </c>
      <c r="C19" s="1232"/>
      <c r="D19" s="1216"/>
      <c r="E19" s="1284"/>
      <c r="F19" s="1255">
        <v>2.4E-2</v>
      </c>
      <c r="G19" s="1253">
        <v>2.4E-2</v>
      </c>
      <c r="H19" s="1254">
        <v>2.1999999999999999E-2</v>
      </c>
      <c r="I19" s="1445">
        <v>2.3E-2</v>
      </c>
      <c r="J19" s="1255">
        <v>2.3E-2</v>
      </c>
      <c r="K19" s="1254">
        <v>2.3E-2</v>
      </c>
      <c r="L19" s="1254">
        <v>2.3E-2</v>
      </c>
      <c r="M19" s="1254">
        <v>2.3E-2</v>
      </c>
      <c r="N19" s="1254">
        <v>2.3E-2</v>
      </c>
    </row>
    <row r="20" spans="2:15">
      <c r="B20" s="1220"/>
      <c r="C20" s="1220"/>
      <c r="D20" s="1220"/>
      <c r="E20" s="1222"/>
      <c r="F20" s="1223"/>
      <c r="G20" s="1220"/>
      <c r="H20" s="1220"/>
      <c r="I20" s="1442"/>
      <c r="J20" s="1223"/>
      <c r="K20" s="1220"/>
      <c r="L20" s="1220"/>
      <c r="M20" s="1220"/>
      <c r="N20" s="1220"/>
    </row>
    <row r="21" spans="2:15">
      <c r="B21" s="1220" t="s">
        <v>990</v>
      </c>
      <c r="C21" s="1220"/>
      <c r="D21" s="1220"/>
      <c r="E21" s="1222"/>
      <c r="F21" s="1223">
        <v>100</v>
      </c>
      <c r="G21" s="1220">
        <v>100</v>
      </c>
      <c r="H21" s="1220">
        <v>100</v>
      </c>
      <c r="I21" s="1446">
        <v>100</v>
      </c>
      <c r="J21" s="1220">
        <v>100</v>
      </c>
      <c r="K21" s="1220">
        <v>100</v>
      </c>
      <c r="L21" s="1220">
        <v>100</v>
      </c>
      <c r="M21" s="1220">
        <v>100</v>
      </c>
      <c r="N21" s="1220">
        <v>100</v>
      </c>
    </row>
    <row r="22" spans="2:15">
      <c r="B22" s="1256" t="s">
        <v>991</v>
      </c>
      <c r="C22" s="1256"/>
      <c r="D22" s="1256"/>
      <c r="E22" s="1256"/>
      <c r="F22" s="1281">
        <v>100</v>
      </c>
      <c r="G22" s="1256">
        <v>100</v>
      </c>
      <c r="H22" s="1256">
        <v>100</v>
      </c>
      <c r="I22" s="1447">
        <v>100</v>
      </c>
      <c r="J22" s="1256">
        <v>100</v>
      </c>
      <c r="K22" s="1256">
        <v>100</v>
      </c>
      <c r="L22" s="1256">
        <v>100</v>
      </c>
      <c r="M22" s="1256">
        <v>100</v>
      </c>
      <c r="N22" s="1256">
        <v>100</v>
      </c>
    </row>
    <row r="23" spans="2:15">
      <c r="B23" s="1222"/>
      <c r="C23" s="1222"/>
      <c r="D23" s="1222"/>
      <c r="E23" s="1222"/>
      <c r="F23" s="1223"/>
      <c r="G23" s="1222"/>
      <c r="H23" s="1222"/>
      <c r="I23" s="1448"/>
      <c r="J23" s="1222"/>
      <c r="K23" s="1222"/>
      <c r="L23" s="1222"/>
      <c r="M23" s="1222"/>
      <c r="N23" s="1222"/>
    </row>
    <row r="24" spans="2:15">
      <c r="B24" s="1220" t="s">
        <v>1930</v>
      </c>
      <c r="C24" s="1220"/>
      <c r="D24" s="1220"/>
      <c r="E24" s="1222"/>
      <c r="F24" s="1223">
        <v>1000</v>
      </c>
      <c r="G24" s="1220">
        <v>1000</v>
      </c>
      <c r="H24" s="1220">
        <v>1000</v>
      </c>
      <c r="I24" s="1446">
        <v>1000</v>
      </c>
      <c r="J24" s="1223">
        <v>1500</v>
      </c>
      <c r="K24" s="1220">
        <v>2000</v>
      </c>
      <c r="L24" s="1220">
        <v>2500</v>
      </c>
      <c r="M24" s="1220">
        <v>3000</v>
      </c>
      <c r="N24" s="1220">
        <v>3500</v>
      </c>
    </row>
    <row r="25" spans="2:15">
      <c r="B25" s="1257" t="s">
        <v>1900</v>
      </c>
      <c r="C25" s="1257"/>
      <c r="D25" s="1258"/>
      <c r="E25" s="1258"/>
      <c r="F25" s="1259"/>
      <c r="G25" s="1258"/>
      <c r="H25" s="1258"/>
      <c r="I25" s="1258"/>
      <c r="J25" s="1259"/>
      <c r="K25" s="1258"/>
      <c r="L25" s="1258"/>
      <c r="M25" s="1258"/>
      <c r="N25" s="1258"/>
    </row>
    <row r="26" spans="2:15">
      <c r="B26" s="1220"/>
      <c r="C26" s="1220"/>
      <c r="D26" s="1220"/>
      <c r="E26" s="1222"/>
      <c r="F26" s="1219">
        <f>F2</f>
        <v>2020</v>
      </c>
      <c r="G26" s="1219">
        <f t="shared" ref="G26:N26" si="2">G2</f>
        <v>2021</v>
      </c>
      <c r="H26" s="1219">
        <f t="shared" si="2"/>
        <v>2022</v>
      </c>
      <c r="I26" s="1450">
        <f t="shared" si="2"/>
        <v>2023</v>
      </c>
      <c r="J26" s="1219">
        <f t="shared" si="2"/>
        <v>2024</v>
      </c>
      <c r="K26" s="1219">
        <f t="shared" si="2"/>
        <v>2025</v>
      </c>
      <c r="L26" s="1219">
        <f t="shared" si="2"/>
        <v>2026</v>
      </c>
      <c r="M26" s="1219">
        <f t="shared" si="2"/>
        <v>2027</v>
      </c>
      <c r="N26" s="1219">
        <f t="shared" si="2"/>
        <v>2028</v>
      </c>
    </row>
    <row r="27" spans="2:15">
      <c r="B27" s="1233" t="s">
        <v>1000</v>
      </c>
      <c r="C27" s="1248"/>
      <c r="D27" s="1233"/>
      <c r="E27" s="1421"/>
      <c r="F27" s="1260">
        <f>F3</f>
        <v>366</v>
      </c>
      <c r="G27" s="1260">
        <f t="shared" ref="G27:N27" si="3">G3</f>
        <v>365</v>
      </c>
      <c r="H27" s="1260">
        <f t="shared" si="3"/>
        <v>365</v>
      </c>
      <c r="I27" s="1451">
        <f t="shared" si="3"/>
        <v>365</v>
      </c>
      <c r="J27" s="1260">
        <f t="shared" si="3"/>
        <v>366</v>
      </c>
      <c r="K27" s="1260">
        <f t="shared" si="3"/>
        <v>365</v>
      </c>
      <c r="L27" s="1260">
        <f t="shared" si="3"/>
        <v>365</v>
      </c>
      <c r="M27" s="1260">
        <f t="shared" si="3"/>
        <v>365</v>
      </c>
      <c r="N27" s="1260">
        <f t="shared" si="3"/>
        <v>365</v>
      </c>
      <c r="O27" s="448"/>
    </row>
    <row r="28" spans="2:15">
      <c r="B28" s="1233" t="s">
        <v>234</v>
      </c>
      <c r="C28" s="1248"/>
      <c r="D28" s="1234"/>
      <c r="E28" s="1422"/>
      <c r="F28" s="1261">
        <f>F14</f>
        <v>5000</v>
      </c>
      <c r="G28" s="1261">
        <f t="shared" ref="G28:N28" si="4">G14</f>
        <v>10000</v>
      </c>
      <c r="H28" s="1261">
        <f t="shared" si="4"/>
        <v>10100</v>
      </c>
      <c r="I28" s="1452">
        <f t="shared" si="4"/>
        <v>10100</v>
      </c>
      <c r="J28" s="1260">
        <f t="shared" si="4"/>
        <v>10400</v>
      </c>
      <c r="K28" s="1260">
        <f t="shared" si="4"/>
        <v>11400</v>
      </c>
      <c r="L28" s="1260">
        <f t="shared" si="4"/>
        <v>12400</v>
      </c>
      <c r="M28" s="1260">
        <f t="shared" si="4"/>
        <v>13400</v>
      </c>
      <c r="N28" s="1260">
        <f t="shared" si="4"/>
        <v>14400</v>
      </c>
      <c r="O28" s="448"/>
    </row>
    <row r="29" spans="2:15">
      <c r="B29" s="1233" t="s">
        <v>992</v>
      </c>
      <c r="C29" s="1248"/>
      <c r="D29" s="1234"/>
      <c r="E29" s="1422"/>
      <c r="F29" s="1261">
        <f>F24</f>
        <v>1000</v>
      </c>
      <c r="G29" s="1261">
        <f t="shared" ref="G29:N29" si="5">G24</f>
        <v>1000</v>
      </c>
      <c r="H29" s="1261">
        <f t="shared" si="5"/>
        <v>1000</v>
      </c>
      <c r="I29" s="1452">
        <f t="shared" si="5"/>
        <v>1000</v>
      </c>
      <c r="J29" s="1260">
        <f t="shared" si="5"/>
        <v>1500</v>
      </c>
      <c r="K29" s="1260">
        <f t="shared" si="5"/>
        <v>2000</v>
      </c>
      <c r="L29" s="1260">
        <f t="shared" si="5"/>
        <v>2500</v>
      </c>
      <c r="M29" s="1260">
        <f t="shared" si="5"/>
        <v>3000</v>
      </c>
      <c r="N29" s="1260">
        <f t="shared" si="5"/>
        <v>3500</v>
      </c>
      <c r="O29" s="448"/>
    </row>
    <row r="30" spans="2:15">
      <c r="B30" s="1234"/>
      <c r="C30" s="1234"/>
      <c r="D30" s="1262"/>
      <c r="E30" s="1422"/>
      <c r="F30" s="1260"/>
      <c r="G30" s="1234"/>
      <c r="H30" s="1234"/>
      <c r="I30" s="1453"/>
      <c r="J30" s="1263"/>
      <c r="K30" s="1263"/>
      <c r="L30" s="1263"/>
      <c r="M30" s="1263"/>
      <c r="N30" s="1263"/>
      <c r="O30" s="448"/>
    </row>
    <row r="31" spans="2:15">
      <c r="B31" s="1249" t="s">
        <v>313</v>
      </c>
      <c r="C31" s="1249"/>
      <c r="D31" s="1264"/>
      <c r="E31" s="1265"/>
      <c r="F31" s="1266"/>
      <c r="G31" s="1265"/>
      <c r="H31" s="1265"/>
      <c r="I31" s="1454"/>
      <c r="J31" s="1263"/>
      <c r="K31" s="1263"/>
      <c r="L31" s="1263"/>
      <c r="M31" s="1263"/>
      <c r="N31" s="1263"/>
      <c r="O31" s="448"/>
    </row>
    <row r="32" spans="2:15">
      <c r="B32" s="1232" t="s">
        <v>1901</v>
      </c>
      <c r="C32" s="1267"/>
      <c r="D32" s="1262"/>
      <c r="E32" s="1422"/>
      <c r="F32" s="1261">
        <v>100</v>
      </c>
      <c r="G32" s="1268">
        <v>120</v>
      </c>
      <c r="H32" s="1268">
        <v>130</v>
      </c>
      <c r="I32" s="1455">
        <v>140</v>
      </c>
      <c r="J32" s="1263">
        <f>(J28/J27)*J51</f>
        <v>143.76454038846506</v>
      </c>
      <c r="K32" s="1263">
        <f t="shared" ref="K32:N32" si="6">(K28/K27)*K51</f>
        <v>158.01980198019803</v>
      </c>
      <c r="L32" s="1263">
        <f t="shared" si="6"/>
        <v>171.88118811881188</v>
      </c>
      <c r="M32" s="1263">
        <f t="shared" si="6"/>
        <v>185.74257425742576</v>
      </c>
      <c r="N32" s="1263">
        <f t="shared" si="6"/>
        <v>199.60396039603961</v>
      </c>
      <c r="O32" s="448"/>
    </row>
    <row r="33" spans="2:16">
      <c r="B33" s="1232" t="s">
        <v>47</v>
      </c>
      <c r="C33" s="1267"/>
      <c r="D33" s="1262"/>
      <c r="E33" s="1422"/>
      <c r="F33" s="1261">
        <v>50</v>
      </c>
      <c r="G33" s="1268">
        <v>50</v>
      </c>
      <c r="H33" s="1268">
        <v>50</v>
      </c>
      <c r="I33" s="1455">
        <v>50</v>
      </c>
      <c r="J33" s="1263">
        <f>(J29/J27)*J52</f>
        <v>74.795081967213108</v>
      </c>
      <c r="K33" s="1263">
        <f t="shared" ref="K33:N33" si="7">(K29/K27)*K52</f>
        <v>100</v>
      </c>
      <c r="L33" s="1263">
        <f t="shared" si="7"/>
        <v>125</v>
      </c>
      <c r="M33" s="1263">
        <f t="shared" si="7"/>
        <v>150.00000000000003</v>
      </c>
      <c r="N33" s="1263">
        <f t="shared" si="7"/>
        <v>175</v>
      </c>
      <c r="O33" s="448"/>
    </row>
    <row r="34" spans="2:16">
      <c r="B34" s="1232" t="s">
        <v>1902</v>
      </c>
      <c r="C34" s="1267"/>
      <c r="D34" s="1262"/>
      <c r="E34" s="1422"/>
      <c r="F34" s="1261">
        <v>75</v>
      </c>
      <c r="G34" s="1268">
        <v>75</v>
      </c>
      <c r="H34" s="1268">
        <v>75</v>
      </c>
      <c r="I34" s="1455">
        <v>75</v>
      </c>
      <c r="J34" s="1263">
        <f>J28*J53</f>
        <v>77.227722772277218</v>
      </c>
      <c r="K34" s="1263">
        <f t="shared" ref="K34:N34" si="8">K28*K53</f>
        <v>84.653465346534645</v>
      </c>
      <c r="L34" s="1263">
        <f t="shared" si="8"/>
        <v>92.079207920792072</v>
      </c>
      <c r="M34" s="1263">
        <f t="shared" si="8"/>
        <v>99.504950495049499</v>
      </c>
      <c r="N34" s="1263">
        <f t="shared" si="8"/>
        <v>106.93069306930693</v>
      </c>
      <c r="O34" s="448"/>
    </row>
    <row r="35" spans="2:16">
      <c r="B35" s="1248" t="s">
        <v>1277</v>
      </c>
      <c r="C35" s="1267"/>
      <c r="D35" s="1262"/>
      <c r="E35" s="1422"/>
      <c r="F35" s="1260">
        <f>SUM(F32:F34)</f>
        <v>225</v>
      </c>
      <c r="G35" s="1234">
        <f t="shared" ref="G35:I35" si="9">SUM(G32:G34)</f>
        <v>245</v>
      </c>
      <c r="H35" s="1234">
        <f t="shared" si="9"/>
        <v>255</v>
      </c>
      <c r="I35" s="1453">
        <f t="shared" si="9"/>
        <v>265</v>
      </c>
      <c r="J35" s="1263">
        <f>SUM(J32:J34)</f>
        <v>295.7873451279554</v>
      </c>
      <c r="K35" s="1263">
        <f t="shared" ref="K35:N35" si="10">SUM(K32:K34)</f>
        <v>342.67326732673268</v>
      </c>
      <c r="L35" s="1263">
        <f t="shared" si="10"/>
        <v>388.96039603960401</v>
      </c>
      <c r="M35" s="1263">
        <f t="shared" si="10"/>
        <v>435.24752475247527</v>
      </c>
      <c r="N35" s="1263">
        <f t="shared" si="10"/>
        <v>481.53465346534654</v>
      </c>
      <c r="O35" s="448"/>
    </row>
    <row r="36" spans="2:16">
      <c r="B36" s="1267" t="s">
        <v>77</v>
      </c>
      <c r="C36" s="1267"/>
      <c r="D36" s="1262"/>
      <c r="E36" s="1422"/>
      <c r="F36" s="1260"/>
      <c r="G36" s="1234"/>
      <c r="H36" s="1234"/>
      <c r="I36" s="1453"/>
      <c r="J36" s="1263"/>
      <c r="K36" s="1263"/>
      <c r="L36" s="1263"/>
      <c r="M36" s="1263"/>
      <c r="N36" s="1263"/>
      <c r="O36" s="448"/>
    </row>
    <row r="37" spans="2:16">
      <c r="B37" s="1249" t="s">
        <v>336</v>
      </c>
      <c r="C37" s="1249"/>
      <c r="D37" s="1264"/>
      <c r="E37" s="1265"/>
      <c r="F37" s="1266"/>
      <c r="G37" s="1265"/>
      <c r="H37" s="1265"/>
      <c r="I37" s="1454"/>
      <c r="J37" s="1263"/>
      <c r="K37" s="1263"/>
      <c r="L37" s="1263"/>
      <c r="M37" s="1263"/>
      <c r="N37" s="1263"/>
      <c r="O37" s="448"/>
    </row>
    <row r="38" spans="2:16">
      <c r="B38" s="1232" t="s">
        <v>1903</v>
      </c>
      <c r="C38" s="1267"/>
      <c r="D38" s="1262"/>
      <c r="E38" s="1422"/>
      <c r="F38" s="1261">
        <v>60</v>
      </c>
      <c r="G38" s="1268">
        <v>60</v>
      </c>
      <c r="H38" s="1268">
        <v>60</v>
      </c>
      <c r="I38" s="1455">
        <v>60</v>
      </c>
      <c r="J38" s="1263">
        <f>J29/J27*J56</f>
        <v>89.754098360655718</v>
      </c>
      <c r="K38" s="1263">
        <f t="shared" ref="K38:N38" si="11">K29/K27*K56</f>
        <v>119.99999999999999</v>
      </c>
      <c r="L38" s="1263">
        <f t="shared" si="11"/>
        <v>150</v>
      </c>
      <c r="M38" s="1263">
        <f t="shared" si="11"/>
        <v>180</v>
      </c>
      <c r="N38" s="1263">
        <f t="shared" si="11"/>
        <v>209.99999999999997</v>
      </c>
      <c r="O38" s="448"/>
    </row>
    <row r="39" spans="2:16">
      <c r="B39" s="1232" t="s">
        <v>1904</v>
      </c>
      <c r="C39" s="1267"/>
      <c r="D39" s="1262"/>
      <c r="E39" s="1422"/>
      <c r="F39" s="1261">
        <v>100</v>
      </c>
      <c r="G39" s="1268">
        <v>100</v>
      </c>
      <c r="H39" s="1268">
        <v>100</v>
      </c>
      <c r="I39" s="1455">
        <v>100</v>
      </c>
      <c r="J39" s="1263">
        <f>J57*J28</f>
        <v>102.97029702970298</v>
      </c>
      <c r="K39" s="1263">
        <f t="shared" ref="K39:N39" si="12">K57*K28</f>
        <v>112.87128712871288</v>
      </c>
      <c r="L39" s="1263">
        <f t="shared" si="12"/>
        <v>122.77227722772277</v>
      </c>
      <c r="M39" s="1263">
        <f t="shared" si="12"/>
        <v>132.67326732673268</v>
      </c>
      <c r="N39" s="1263">
        <f t="shared" si="12"/>
        <v>142.57425742574259</v>
      </c>
      <c r="O39" s="448"/>
    </row>
    <row r="40" spans="2:16" ht="18.75">
      <c r="B40" s="1232" t="s">
        <v>1905</v>
      </c>
      <c r="C40" s="1267"/>
      <c r="D40" s="1262"/>
      <c r="E40" s="1422"/>
      <c r="F40" s="1261">
        <v>30</v>
      </c>
      <c r="G40" s="1268">
        <v>30</v>
      </c>
      <c r="H40" s="1268">
        <v>30</v>
      </c>
      <c r="I40" s="1455">
        <v>30</v>
      </c>
      <c r="J40" s="1263">
        <f>J28*J58</f>
        <v>30.89108910891089</v>
      </c>
      <c r="K40" s="1263">
        <f t="shared" ref="K40:N40" si="13">K28*K58</f>
        <v>33.861386138613859</v>
      </c>
      <c r="L40" s="1263">
        <f t="shared" si="13"/>
        <v>36.831683168316829</v>
      </c>
      <c r="M40" s="1263">
        <f t="shared" si="13"/>
        <v>39.801980198019805</v>
      </c>
      <c r="N40" s="1263">
        <f t="shared" si="13"/>
        <v>42.772277227722775</v>
      </c>
      <c r="O40" s="448"/>
      <c r="P40" s="1211" t="s">
        <v>1906</v>
      </c>
    </row>
    <row r="41" spans="2:16">
      <c r="B41" s="1248" t="s">
        <v>1907</v>
      </c>
      <c r="C41" s="1267"/>
      <c r="D41" s="1262"/>
      <c r="E41" s="1422"/>
      <c r="F41" s="1260">
        <f>SUM(F38:F40)</f>
        <v>190</v>
      </c>
      <c r="G41" s="1234">
        <f t="shared" ref="G41:I41" si="14">SUM(G38:G40)</f>
        <v>190</v>
      </c>
      <c r="H41" s="1234">
        <f t="shared" si="14"/>
        <v>190</v>
      </c>
      <c r="I41" s="1453">
        <f t="shared" si="14"/>
        <v>190</v>
      </c>
      <c r="J41" s="1263">
        <f>SUM(J38:J40)</f>
        <v>223.6154844992696</v>
      </c>
      <c r="K41" s="1263">
        <f t="shared" ref="K41:N41" si="15">SUM(K38:K40)</f>
        <v>266.73267326732673</v>
      </c>
      <c r="L41" s="1263">
        <f t="shared" si="15"/>
        <v>309.60396039603961</v>
      </c>
      <c r="M41" s="1263">
        <f t="shared" si="15"/>
        <v>352.47524752475249</v>
      </c>
      <c r="N41" s="1263">
        <f t="shared" si="15"/>
        <v>395.34653465346531</v>
      </c>
      <c r="O41" s="448"/>
    </row>
    <row r="42" spans="2:16">
      <c r="B42" s="1267"/>
      <c r="C42" s="1267"/>
      <c r="D42" s="1262"/>
      <c r="E42" s="1422"/>
      <c r="F42" s="1260"/>
      <c r="G42" s="1234"/>
      <c r="H42" s="1234"/>
      <c r="I42" s="1453"/>
      <c r="J42" s="1263"/>
      <c r="K42" s="1263"/>
      <c r="L42" s="1263"/>
      <c r="M42" s="1263"/>
      <c r="N42" s="1263"/>
      <c r="O42" s="448"/>
    </row>
    <row r="43" spans="2:16">
      <c r="B43" s="1267" t="s">
        <v>1001</v>
      </c>
      <c r="C43" s="1267"/>
      <c r="D43" s="1262"/>
      <c r="E43" s="1422"/>
      <c r="F43" s="1260">
        <f>F35-F41</f>
        <v>35</v>
      </c>
      <c r="G43" s="1234">
        <f t="shared" ref="G43:N43" si="16">G35-G41</f>
        <v>55</v>
      </c>
      <c r="H43" s="1234">
        <f t="shared" si="16"/>
        <v>65</v>
      </c>
      <c r="I43" s="1453">
        <f t="shared" si="16"/>
        <v>75</v>
      </c>
      <c r="J43" s="1269">
        <f t="shared" si="16"/>
        <v>72.171860628685806</v>
      </c>
      <c r="K43" s="1269">
        <f t="shared" si="16"/>
        <v>75.940594059405953</v>
      </c>
      <c r="L43" s="1269">
        <f t="shared" si="16"/>
        <v>79.356435643564396</v>
      </c>
      <c r="M43" s="1269">
        <f t="shared" si="16"/>
        <v>82.772277227722782</v>
      </c>
      <c r="N43" s="1269">
        <f t="shared" si="16"/>
        <v>86.188118811881225</v>
      </c>
      <c r="O43" s="448"/>
    </row>
    <row r="44" spans="2:16">
      <c r="B44" s="1248" t="s">
        <v>1908</v>
      </c>
      <c r="C44" s="1267"/>
      <c r="D44" s="1262"/>
      <c r="E44" s="1422"/>
      <c r="F44" s="1260"/>
      <c r="G44" s="1234"/>
      <c r="H44" s="1234"/>
      <c r="I44" s="1453"/>
      <c r="J44" s="1263"/>
      <c r="K44" s="1263"/>
      <c r="L44" s="1263"/>
      <c r="M44" s="1263"/>
      <c r="N44" s="1263"/>
      <c r="O44" s="448"/>
    </row>
    <row r="45" spans="2:16">
      <c r="B45" s="1232"/>
      <c r="C45" s="1267"/>
      <c r="D45" s="1262"/>
      <c r="E45" s="1422"/>
      <c r="F45" s="1260"/>
      <c r="G45" s="1234"/>
      <c r="H45" s="1234"/>
      <c r="I45" s="1453"/>
      <c r="J45" s="1263"/>
      <c r="K45" s="1263"/>
      <c r="L45" s="1263"/>
      <c r="M45" s="1263"/>
      <c r="N45" s="1263"/>
      <c r="O45" s="448"/>
    </row>
    <row r="46" spans="2:16">
      <c r="B46" s="1270" t="s">
        <v>1909</v>
      </c>
      <c r="C46" s="1220"/>
      <c r="D46" s="1220"/>
      <c r="E46" s="1222"/>
      <c r="F46" s="1223"/>
      <c r="G46" s="1271">
        <f>F43-G43</f>
        <v>-20</v>
      </c>
      <c r="H46" s="1271">
        <f t="shared" ref="H46:N46" si="17">G43-H43</f>
        <v>-10</v>
      </c>
      <c r="I46" s="1456">
        <f t="shared" si="17"/>
        <v>-10</v>
      </c>
      <c r="J46" s="1272">
        <f t="shared" si="17"/>
        <v>2.8281393713141938</v>
      </c>
      <c r="K46" s="1272">
        <f t="shared" si="17"/>
        <v>-3.7687334307201468</v>
      </c>
      <c r="L46" s="1272">
        <f t="shared" si="17"/>
        <v>-3.4158415841584429</v>
      </c>
      <c r="M46" s="1272">
        <f t="shared" si="17"/>
        <v>-3.415841584158386</v>
      </c>
      <c r="N46" s="1272">
        <f>M43-N43</f>
        <v>-3.4158415841584429</v>
      </c>
      <c r="O46" s="448"/>
    </row>
    <row r="47" spans="2:16">
      <c r="B47" s="1220"/>
      <c r="C47" s="1220"/>
      <c r="D47" s="1220"/>
      <c r="E47" s="1222"/>
      <c r="F47" s="1223"/>
      <c r="G47" s="1220"/>
      <c r="H47" s="1220"/>
      <c r="I47" s="1457"/>
      <c r="J47" s="1222"/>
      <c r="K47" s="1222"/>
      <c r="L47" s="1222"/>
      <c r="M47" s="1222"/>
      <c r="N47" s="1222"/>
      <c r="O47" s="448"/>
    </row>
    <row r="48" spans="2:16">
      <c r="B48" s="1270" t="s">
        <v>1910</v>
      </c>
      <c r="C48" s="1220"/>
      <c r="D48" s="1220"/>
      <c r="E48" s="1222"/>
      <c r="F48" s="1223"/>
      <c r="G48" s="1220"/>
      <c r="H48" s="1220"/>
      <c r="I48" s="1458"/>
      <c r="J48" s="1222"/>
      <c r="K48" s="1222"/>
      <c r="L48" s="1222"/>
      <c r="M48" s="1222"/>
      <c r="N48" s="1222"/>
      <c r="O48" s="448"/>
    </row>
    <row r="49" spans="1:16">
      <c r="B49" s="1273"/>
      <c r="C49" s="1274"/>
      <c r="D49" s="1274"/>
      <c r="E49" s="1274"/>
      <c r="F49" s="1273"/>
      <c r="G49" s="1274"/>
      <c r="H49" s="1274"/>
      <c r="I49" s="1459"/>
      <c r="J49" s="1273"/>
      <c r="K49" s="1274"/>
      <c r="L49" s="1274"/>
      <c r="M49" s="1274"/>
      <c r="N49" s="1274"/>
      <c r="O49" s="1212"/>
    </row>
    <row r="50" spans="1:16">
      <c r="B50" s="1275" t="s">
        <v>1911</v>
      </c>
      <c r="C50" s="1222"/>
      <c r="D50" s="1222"/>
      <c r="E50" s="1222"/>
      <c r="F50" s="1223"/>
      <c r="G50" s="1222"/>
      <c r="H50" s="1222"/>
      <c r="I50" s="1442"/>
      <c r="J50" s="1223"/>
      <c r="K50" s="1222"/>
      <c r="L50" s="1222"/>
      <c r="M50" s="1222"/>
      <c r="N50" s="1222"/>
      <c r="O50" s="425"/>
    </row>
    <row r="51" spans="1:16">
      <c r="B51" s="1276" t="s">
        <v>1912</v>
      </c>
      <c r="C51" s="1222"/>
      <c r="D51" s="1222"/>
      <c r="E51" s="1222"/>
      <c r="F51" s="1277">
        <f>(F32/F28)*F27</f>
        <v>7.32</v>
      </c>
      <c r="G51" s="1277">
        <f t="shared" ref="G51:N51" si="18">(G32/G28)*G27</f>
        <v>4.38</v>
      </c>
      <c r="H51" s="1277">
        <f t="shared" si="18"/>
        <v>4.6980198019801982</v>
      </c>
      <c r="I51" s="1460">
        <f t="shared" si="18"/>
        <v>5.0594059405940595</v>
      </c>
      <c r="J51" s="1278">
        <f>I51</f>
        <v>5.0594059405940595</v>
      </c>
      <c r="K51" s="1278">
        <f t="shared" ref="K51:N51" si="19">J51</f>
        <v>5.0594059405940595</v>
      </c>
      <c r="L51" s="1278">
        <f t="shared" si="19"/>
        <v>5.0594059405940595</v>
      </c>
      <c r="M51" s="1278">
        <f t="shared" si="19"/>
        <v>5.0594059405940595</v>
      </c>
      <c r="N51" s="1278">
        <f t="shared" si="19"/>
        <v>5.0594059405940595</v>
      </c>
      <c r="O51" s="425"/>
      <c r="P51" t="s">
        <v>1913</v>
      </c>
    </row>
    <row r="52" spans="1:16">
      <c r="B52" s="1276" t="s">
        <v>1914</v>
      </c>
      <c r="C52" s="1222"/>
      <c r="D52" s="1222"/>
      <c r="E52" s="1222"/>
      <c r="F52" s="1223">
        <f>(F33/F29)*365</f>
        <v>18.25</v>
      </c>
      <c r="G52" s="1223">
        <f t="shared" ref="G52:I52" si="20">(G33/G29)*365</f>
        <v>18.25</v>
      </c>
      <c r="H52" s="1223">
        <f t="shared" si="20"/>
        <v>18.25</v>
      </c>
      <c r="I52" s="1442">
        <f>(I33/I29)*365</f>
        <v>18.25</v>
      </c>
      <c r="J52" s="1261">
        <f>I52</f>
        <v>18.25</v>
      </c>
      <c r="K52" s="1261">
        <f t="shared" ref="K52:N52" si="21">J52</f>
        <v>18.25</v>
      </c>
      <c r="L52" s="1261">
        <f t="shared" si="21"/>
        <v>18.25</v>
      </c>
      <c r="M52" s="1261">
        <f t="shared" si="21"/>
        <v>18.25</v>
      </c>
      <c r="N52" s="1261">
        <f t="shared" si="21"/>
        <v>18.25</v>
      </c>
      <c r="O52" s="425"/>
      <c r="P52" t="s">
        <v>1915</v>
      </c>
    </row>
    <row r="53" spans="1:16">
      <c r="B53" s="1276" t="s">
        <v>1916</v>
      </c>
      <c r="C53" s="1222"/>
      <c r="D53" s="1222"/>
      <c r="E53" s="1222"/>
      <c r="F53" s="1279">
        <f>F34/F28</f>
        <v>1.4999999999999999E-2</v>
      </c>
      <c r="G53" s="1279">
        <f t="shared" ref="G53:N53" si="22">G34/G28</f>
        <v>7.4999999999999997E-3</v>
      </c>
      <c r="H53" s="1279">
        <f t="shared" si="22"/>
        <v>7.4257425742574254E-3</v>
      </c>
      <c r="I53" s="1461">
        <v>7.4257425742574254E-3</v>
      </c>
      <c r="J53" s="1280">
        <f>I53</f>
        <v>7.4257425742574254E-3</v>
      </c>
      <c r="K53" s="1280">
        <f t="shared" ref="K53:N53" si="23">J53</f>
        <v>7.4257425742574254E-3</v>
      </c>
      <c r="L53" s="1280">
        <f t="shared" si="23"/>
        <v>7.4257425742574254E-3</v>
      </c>
      <c r="M53" s="1280">
        <f t="shared" si="23"/>
        <v>7.4257425742574254E-3</v>
      </c>
      <c r="N53" s="1280">
        <f t="shared" si="23"/>
        <v>7.4257425742574254E-3</v>
      </c>
      <c r="O53" s="425"/>
      <c r="P53" t="s">
        <v>1917</v>
      </c>
    </row>
    <row r="54" spans="1:16">
      <c r="B54" s="1223"/>
      <c r="C54" s="1222"/>
      <c r="D54" s="1222"/>
      <c r="E54" s="1222"/>
      <c r="F54" s="1223"/>
      <c r="G54" s="1222"/>
      <c r="H54" s="1222"/>
      <c r="I54" s="1442"/>
      <c r="J54" s="1223"/>
      <c r="K54" s="1222"/>
      <c r="L54" s="1222"/>
      <c r="M54" s="1222"/>
      <c r="N54" s="1222"/>
      <c r="O54" s="425"/>
    </row>
    <row r="55" spans="1:16">
      <c r="B55" s="1275" t="s">
        <v>1918</v>
      </c>
      <c r="C55" s="1222"/>
      <c r="D55" s="1222"/>
      <c r="E55" s="1222"/>
      <c r="F55" s="1223"/>
      <c r="G55" s="1222"/>
      <c r="H55" s="1222"/>
      <c r="I55" s="1442"/>
      <c r="J55" s="1223"/>
      <c r="K55" s="1222"/>
      <c r="L55" s="1222"/>
      <c r="M55" s="1222"/>
      <c r="N55" s="1222"/>
      <c r="O55" s="425"/>
    </row>
    <row r="56" spans="1:16">
      <c r="A56" s="1210" t="s">
        <v>1893</v>
      </c>
      <c r="B56" s="1276" t="s">
        <v>1919</v>
      </c>
      <c r="C56" s="1222"/>
      <c r="D56" s="1222"/>
      <c r="E56" s="1222"/>
      <c r="F56" s="1223">
        <f>(F38/F29)*365</f>
        <v>21.9</v>
      </c>
      <c r="G56" s="1223">
        <f t="shared" ref="G56:J56" si="24">(G38/G29)*365</f>
        <v>21.9</v>
      </c>
      <c r="H56" s="1223">
        <f t="shared" si="24"/>
        <v>21.9</v>
      </c>
      <c r="I56" s="1442">
        <f t="shared" si="24"/>
        <v>21.9</v>
      </c>
      <c r="J56" s="1261">
        <f>I56</f>
        <v>21.9</v>
      </c>
      <c r="K56" s="1261">
        <f t="shared" ref="K56:N56" si="25">J56</f>
        <v>21.9</v>
      </c>
      <c r="L56" s="1261">
        <f t="shared" si="25"/>
        <v>21.9</v>
      </c>
      <c r="M56" s="1261">
        <f t="shared" si="25"/>
        <v>21.9</v>
      </c>
      <c r="N56" s="1261">
        <f t="shared" si="25"/>
        <v>21.9</v>
      </c>
      <c r="O56" s="425"/>
      <c r="P56" t="s">
        <v>1913</v>
      </c>
    </row>
    <row r="57" spans="1:16">
      <c r="B57" s="1276" t="s">
        <v>1920</v>
      </c>
      <c r="C57" s="1222"/>
      <c r="D57" s="1222"/>
      <c r="E57" s="1222"/>
      <c r="F57" s="1279">
        <f>F39/F28</f>
        <v>0.02</v>
      </c>
      <c r="G57" s="1279">
        <f t="shared" ref="G57:I57" si="26">G39/G28</f>
        <v>0.01</v>
      </c>
      <c r="H57" s="1279">
        <f t="shared" si="26"/>
        <v>9.9009900990099011E-3</v>
      </c>
      <c r="I57" s="1461">
        <f t="shared" si="26"/>
        <v>9.9009900990099011E-3</v>
      </c>
      <c r="J57" s="1280">
        <f>I57</f>
        <v>9.9009900990099011E-3</v>
      </c>
      <c r="K57" s="1280">
        <f t="shared" ref="K57:N57" si="27">J57</f>
        <v>9.9009900990099011E-3</v>
      </c>
      <c r="L57" s="1280">
        <f t="shared" si="27"/>
        <v>9.9009900990099011E-3</v>
      </c>
      <c r="M57" s="1280">
        <f t="shared" si="27"/>
        <v>9.9009900990099011E-3</v>
      </c>
      <c r="N57" s="1280">
        <f t="shared" si="27"/>
        <v>9.9009900990099011E-3</v>
      </c>
      <c r="O57" s="425"/>
      <c r="P57" t="s">
        <v>1915</v>
      </c>
    </row>
    <row r="58" spans="1:16">
      <c r="B58" s="1276" t="s">
        <v>1921</v>
      </c>
      <c r="C58" s="1222"/>
      <c r="D58" s="1222"/>
      <c r="E58" s="1222"/>
      <c r="F58" s="1279">
        <f>F40/F28</f>
        <v>6.0000000000000001E-3</v>
      </c>
      <c r="G58" s="1279">
        <f t="shared" ref="G58:I58" si="28">G40/G28</f>
        <v>3.0000000000000001E-3</v>
      </c>
      <c r="H58" s="1279">
        <f t="shared" si="28"/>
        <v>2.9702970297029703E-3</v>
      </c>
      <c r="I58" s="1461">
        <f t="shared" si="28"/>
        <v>2.9702970297029703E-3</v>
      </c>
      <c r="J58" s="1280">
        <f>I58</f>
        <v>2.9702970297029703E-3</v>
      </c>
      <c r="K58" s="1280">
        <f t="shared" ref="K58:N58" si="29">J58</f>
        <v>2.9702970297029703E-3</v>
      </c>
      <c r="L58" s="1280">
        <f t="shared" si="29"/>
        <v>2.9702970297029703E-3</v>
      </c>
      <c r="M58" s="1280">
        <f t="shared" si="29"/>
        <v>2.9702970297029703E-3</v>
      </c>
      <c r="N58" s="1280">
        <f t="shared" si="29"/>
        <v>2.9702970297029703E-3</v>
      </c>
      <c r="O58" s="425"/>
      <c r="P58" t="s">
        <v>1917</v>
      </c>
    </row>
    <row r="59" spans="1:16">
      <c r="B59" s="1281"/>
      <c r="C59" s="1256"/>
      <c r="D59" s="1256"/>
      <c r="E59" s="1256"/>
      <c r="F59" s="1281"/>
      <c r="G59" s="1256"/>
      <c r="H59" s="1256"/>
      <c r="I59" s="1449"/>
      <c r="J59" s="1281"/>
      <c r="K59" s="1256"/>
      <c r="L59" s="1256"/>
      <c r="M59" s="1256"/>
      <c r="N59" s="1256"/>
      <c r="O59" s="1213"/>
    </row>
    <row r="60" spans="1:16">
      <c r="B60" s="1220"/>
      <c r="C60" s="1220"/>
      <c r="D60" s="1220"/>
      <c r="E60" s="1222"/>
      <c r="F60" s="1223"/>
      <c r="G60" s="1220"/>
      <c r="H60" s="1220"/>
      <c r="I60" s="1446"/>
      <c r="J60" s="1220"/>
      <c r="K60" s="1220"/>
      <c r="L60" s="1220"/>
      <c r="M60" s="1220"/>
      <c r="N60" s="1220"/>
    </row>
    <row r="61" spans="1:16">
      <c r="B61" s="1220"/>
      <c r="C61" s="1220"/>
      <c r="D61" s="1220"/>
      <c r="E61" s="1222"/>
      <c r="F61" s="1223"/>
      <c r="G61" s="1220"/>
      <c r="H61" s="1220"/>
      <c r="I61" s="1442"/>
      <c r="J61" s="1223"/>
      <c r="K61" s="1220"/>
      <c r="L61" s="1220"/>
      <c r="M61" s="1220"/>
      <c r="N61" s="1220"/>
    </row>
    <row r="62" spans="1:16">
      <c r="B62" s="1257" t="s">
        <v>1895</v>
      </c>
      <c r="C62" s="1257"/>
      <c r="D62" s="1258"/>
      <c r="E62" s="1258"/>
      <c r="F62" s="1259"/>
      <c r="G62" s="1258"/>
      <c r="H62" s="1258"/>
      <c r="I62" s="1258"/>
      <c r="J62" s="1259"/>
      <c r="K62" s="1258"/>
      <c r="L62" s="1258"/>
      <c r="M62" s="1258"/>
      <c r="N62" s="1258"/>
    </row>
    <row r="63" spans="1:16">
      <c r="B63" s="1220"/>
      <c r="C63" s="1220"/>
      <c r="D63" s="1220"/>
      <c r="E63" s="1222"/>
      <c r="F63" s="1219">
        <f>F26</f>
        <v>2020</v>
      </c>
      <c r="G63" s="1219">
        <f t="shared" ref="G63:N63" si="30">G26</f>
        <v>2021</v>
      </c>
      <c r="H63" s="1219">
        <f t="shared" si="30"/>
        <v>2022</v>
      </c>
      <c r="I63" s="1450">
        <f t="shared" si="30"/>
        <v>2023</v>
      </c>
      <c r="J63" s="1219">
        <f t="shared" si="30"/>
        <v>2024</v>
      </c>
      <c r="K63" s="1219">
        <f t="shared" si="30"/>
        <v>2025</v>
      </c>
      <c r="L63" s="1219">
        <f t="shared" si="30"/>
        <v>2026</v>
      </c>
      <c r="M63" s="1219">
        <f t="shared" si="30"/>
        <v>2027</v>
      </c>
      <c r="N63" s="1219">
        <f t="shared" si="30"/>
        <v>2028</v>
      </c>
    </row>
    <row r="64" spans="1:16">
      <c r="B64" s="1220"/>
      <c r="C64" s="1220"/>
      <c r="D64" s="1220"/>
      <c r="E64" s="1222"/>
      <c r="F64" s="1436"/>
      <c r="G64" s="1420"/>
      <c r="H64" s="1420"/>
      <c r="I64" s="1462"/>
      <c r="J64" s="1420"/>
      <c r="K64" s="1420"/>
      <c r="L64" s="1420"/>
      <c r="M64" s="1420"/>
      <c r="N64" s="1420"/>
    </row>
    <row r="65" spans="2:14">
      <c r="B65" s="1282" t="s">
        <v>1002</v>
      </c>
      <c r="C65" s="1282"/>
      <c r="D65" s="1283"/>
      <c r="E65" s="1284"/>
      <c r="F65" s="1287">
        <v>4982</v>
      </c>
      <c r="G65" s="1285">
        <v>4982</v>
      </c>
      <c r="H65" s="1286">
        <v>5199</v>
      </c>
      <c r="I65" s="1463">
        <v>4400</v>
      </c>
      <c r="J65" s="1288">
        <f>J102</f>
        <v>37.5</v>
      </c>
      <c r="K65" s="1288">
        <f>K102</f>
        <v>56.25</v>
      </c>
      <c r="L65" s="1288">
        <f t="shared" ref="K65:N65" si="31">L102</f>
        <v>84.375</v>
      </c>
      <c r="M65" s="1288">
        <f t="shared" si="31"/>
        <v>126.5625</v>
      </c>
      <c r="N65" s="1288">
        <f t="shared" si="31"/>
        <v>189.84375</v>
      </c>
    </row>
    <row r="66" spans="2:14">
      <c r="B66" s="1289"/>
      <c r="C66" s="1289"/>
      <c r="D66" s="1283"/>
      <c r="E66" s="1284"/>
      <c r="F66" s="1290"/>
      <c r="G66" s="1242"/>
      <c r="H66" s="1242"/>
      <c r="I66" s="1440"/>
      <c r="J66" s="1244"/>
      <c r="K66" s="1245"/>
      <c r="L66" s="1245"/>
      <c r="M66" s="1245"/>
      <c r="N66" s="1245"/>
    </row>
    <row r="67" spans="2:14">
      <c r="B67" s="1215"/>
      <c r="C67" s="1215"/>
      <c r="D67" s="1216"/>
      <c r="E67" s="1284"/>
      <c r="F67" s="1290"/>
      <c r="G67" s="1284"/>
      <c r="H67" s="1284"/>
      <c r="I67" s="1464"/>
      <c r="J67" s="1291"/>
      <c r="K67" s="1292"/>
      <c r="L67" s="1292"/>
      <c r="M67" s="1292"/>
      <c r="N67" s="1292"/>
    </row>
    <row r="68" spans="2:14" ht="19.5">
      <c r="B68" s="1293" t="s">
        <v>1923</v>
      </c>
      <c r="C68" s="1293"/>
      <c r="D68" s="1294"/>
      <c r="E68" s="1295" t="s">
        <v>1003</v>
      </c>
      <c r="F68" s="1290"/>
      <c r="G68" s="1284"/>
      <c r="H68" s="1284"/>
      <c r="I68" s="1464"/>
      <c r="J68" s="1296" t="s">
        <v>1004</v>
      </c>
      <c r="K68" s="1297"/>
      <c r="L68" s="1297"/>
      <c r="M68" s="1297"/>
      <c r="N68" s="1298"/>
    </row>
    <row r="69" spans="2:14">
      <c r="B69" s="1299" t="s">
        <v>131</v>
      </c>
      <c r="C69" s="1300"/>
      <c r="D69" s="1301"/>
      <c r="E69" s="1423">
        <v>16</v>
      </c>
      <c r="F69" s="1290"/>
      <c r="G69" s="1302"/>
      <c r="H69" s="1284"/>
      <c r="I69" s="1464"/>
      <c r="J69" s="1303">
        <v>1</v>
      </c>
      <c r="K69" s="1304">
        <f>J69+1</f>
        <v>2</v>
      </c>
      <c r="L69" s="1304">
        <f>K69+1</f>
        <v>3</v>
      </c>
      <c r="M69" s="1304">
        <f>L69+1</f>
        <v>4</v>
      </c>
      <c r="N69" s="1304">
        <f>M69+1</f>
        <v>5</v>
      </c>
    </row>
    <row r="70" spans="2:14">
      <c r="B70" s="1305" t="str">
        <f>CONCATENATE("PP&amp;E at End of ",I61)</f>
        <v xml:space="preserve">PP&amp;E at End of </v>
      </c>
      <c r="C70" s="1306"/>
      <c r="D70" s="1307"/>
      <c r="E70" s="1424">
        <v>65014</v>
      </c>
      <c r="F70" s="1290"/>
      <c r="G70" s="1302"/>
      <c r="H70" s="1284"/>
      <c r="I70" s="1465"/>
      <c r="J70" s="1308">
        <f>MIN($E69-SUM($I70:I70),1)</f>
        <v>1</v>
      </c>
      <c r="K70" s="1309">
        <f>MIN($E69-SUM($I70:J70),1)</f>
        <v>1</v>
      </c>
      <c r="L70" s="1309">
        <f>MIN($E69-SUM($I70:K70),1)</f>
        <v>1</v>
      </c>
      <c r="M70" s="1309">
        <f>MIN($E69-SUM($I70:L70),1)</f>
        <v>1</v>
      </c>
      <c r="N70" s="1310">
        <f>MIN($E69-SUM($I70:M70),1)</f>
        <v>1</v>
      </c>
    </row>
    <row r="71" spans="2:14">
      <c r="B71" s="1311"/>
      <c r="C71" s="1311"/>
      <c r="D71" s="1312"/>
      <c r="E71" s="1425"/>
      <c r="F71" s="1290"/>
      <c r="G71" s="1284"/>
      <c r="H71" s="1284"/>
      <c r="I71" s="1464"/>
      <c r="J71" s="1313"/>
      <c r="K71" s="1314"/>
      <c r="L71" s="1314"/>
      <c r="M71" s="1314"/>
      <c r="N71" s="1314"/>
    </row>
    <row r="72" spans="2:14">
      <c r="B72" s="1315"/>
      <c r="C72" s="1315"/>
      <c r="D72" s="1316"/>
      <c r="E72" s="1317"/>
      <c r="F72" s="1318"/>
      <c r="G72" s="1317"/>
      <c r="H72" s="1317"/>
      <c r="I72" s="1466"/>
      <c r="J72" s="1319"/>
      <c r="K72" s="1320"/>
      <c r="L72" s="1320"/>
      <c r="M72" s="1320"/>
      <c r="N72" s="1320"/>
    </row>
    <row r="73" spans="2:14">
      <c r="B73" s="1321"/>
      <c r="C73" s="1321"/>
      <c r="D73" s="1283"/>
      <c r="E73" s="1284"/>
      <c r="F73" s="1290"/>
      <c r="G73" s="1284"/>
      <c r="H73" s="1284"/>
      <c r="I73" s="1464"/>
      <c r="J73" s="1291"/>
      <c r="K73" s="1292"/>
      <c r="L73" s="1292"/>
      <c r="M73" s="1292"/>
      <c r="N73" s="1292"/>
    </row>
    <row r="74" spans="2:14" ht="19.5">
      <c r="B74" s="1293" t="s">
        <v>1924</v>
      </c>
      <c r="C74" s="1293"/>
      <c r="D74" s="1294"/>
      <c r="E74" s="1295" t="s">
        <v>1003</v>
      </c>
      <c r="F74" s="1290"/>
      <c r="G74" s="1284"/>
      <c r="H74" s="1284"/>
      <c r="I74" s="1464"/>
      <c r="J74" s="1296" t="s">
        <v>1004</v>
      </c>
      <c r="K74" s="1297"/>
      <c r="L74" s="1297"/>
      <c r="M74" s="1297"/>
      <c r="N74" s="1298"/>
    </row>
    <row r="75" spans="2:14">
      <c r="B75" s="1299" t="s">
        <v>133</v>
      </c>
      <c r="C75" s="1300"/>
      <c r="D75" s="1301"/>
      <c r="E75" s="1426">
        <v>20</v>
      </c>
      <c r="F75" s="1290"/>
      <c r="G75" s="1284"/>
      <c r="H75" s="1284"/>
      <c r="I75" s="1464"/>
      <c r="J75" s="1322">
        <v>1</v>
      </c>
      <c r="K75" s="1323">
        <f>J75+1</f>
        <v>2</v>
      </c>
      <c r="L75" s="1323">
        <f>K75+1</f>
        <v>3</v>
      </c>
      <c r="M75" s="1323">
        <f>L75+1</f>
        <v>4</v>
      </c>
      <c r="N75" s="1323">
        <f>M75+1</f>
        <v>5</v>
      </c>
    </row>
    <row r="76" spans="2:14">
      <c r="B76" s="1305" t="s">
        <v>130</v>
      </c>
      <c r="C76" s="1306"/>
      <c r="D76" s="1307"/>
      <c r="E76" s="1427">
        <v>0.5</v>
      </c>
      <c r="F76" s="1290"/>
      <c r="G76" s="1284"/>
      <c r="H76" s="1284"/>
      <c r="I76" s="1464"/>
      <c r="J76" s="1324">
        <f>IF(I76="",$E$204,MIN($E75-SUM($I76:I76),1))</f>
        <v>0</v>
      </c>
      <c r="K76" s="1325">
        <f>IF(J76="",$E$204,MIN($E75-SUM($I76:J76),1))</f>
        <v>1</v>
      </c>
      <c r="L76" s="1325">
        <f>IF(K76="",$E$204,MIN($E75-SUM($I76:K76),1))</f>
        <v>1</v>
      </c>
      <c r="M76" s="1325">
        <f>IF(L76="",$E$204,MIN($E75-SUM($I76:L76),1))</f>
        <v>1</v>
      </c>
      <c r="N76" s="1326">
        <f>IF(M76="",$E$204,MIN($E75-SUM($I76:M76),1))</f>
        <v>1</v>
      </c>
    </row>
    <row r="77" spans="2:14">
      <c r="B77" s="1311"/>
      <c r="C77" s="1311"/>
      <c r="D77" s="1327"/>
      <c r="E77" s="1328"/>
      <c r="F77" s="1290"/>
      <c r="G77" s="1284"/>
      <c r="H77" s="1284"/>
      <c r="I77" s="1464"/>
      <c r="J77" s="1313"/>
      <c r="K77" s="1314"/>
      <c r="L77" s="1314"/>
      <c r="M77" s="1314"/>
      <c r="N77" s="1314"/>
    </row>
    <row r="78" spans="2:14">
      <c r="B78" s="1215"/>
      <c r="C78" s="1215"/>
      <c r="D78" s="1216"/>
      <c r="E78" s="1284"/>
      <c r="F78" s="1290"/>
      <c r="G78" s="1284"/>
      <c r="H78" s="1284"/>
      <c r="I78" s="1464"/>
      <c r="J78" s="1296" t="s">
        <v>1004</v>
      </c>
      <c r="K78" s="1297"/>
      <c r="L78" s="1297"/>
      <c r="M78" s="1297"/>
      <c r="N78" s="1298"/>
    </row>
    <row r="79" spans="2:14">
      <c r="B79" s="1294"/>
      <c r="C79" s="1294"/>
      <c r="D79" s="1294"/>
      <c r="E79" s="1329"/>
      <c r="F79" s="1370"/>
      <c r="G79" s="1329" t="s">
        <v>1005</v>
      </c>
      <c r="H79" s="1329" t="s">
        <v>1006</v>
      </c>
      <c r="I79" s="1464"/>
      <c r="J79" s="1330">
        <f>J$190</f>
        <v>0</v>
      </c>
      <c r="K79" s="1331">
        <f>K$190</f>
        <v>0</v>
      </c>
      <c r="L79" s="1331">
        <f>L$190</f>
        <v>0</v>
      </c>
      <c r="M79" s="1331">
        <f>M$190</f>
        <v>0</v>
      </c>
      <c r="N79" s="1331">
        <f>N$190</f>
        <v>0</v>
      </c>
    </row>
    <row r="80" spans="2:14">
      <c r="B80" s="1215"/>
      <c r="C80" s="1215"/>
      <c r="D80" s="1294"/>
      <c r="E80" s="1329"/>
      <c r="F80" s="1370"/>
      <c r="G80" s="1332">
        <f>J61</f>
        <v>0</v>
      </c>
      <c r="H80" s="1333">
        <f>$E$203</f>
        <v>0</v>
      </c>
      <c r="I80" s="1467"/>
      <c r="J80" s="1334">
        <f>J76</f>
        <v>0</v>
      </c>
      <c r="K80" s="1335">
        <f>K76</f>
        <v>1</v>
      </c>
      <c r="L80" s="1335">
        <f>L76</f>
        <v>1</v>
      </c>
      <c r="M80" s="1335">
        <f>M76</f>
        <v>1</v>
      </c>
      <c r="N80" s="1336">
        <f>N76</f>
        <v>1</v>
      </c>
    </row>
    <row r="81" spans="2:14">
      <c r="B81" s="1215"/>
      <c r="C81" s="1215"/>
      <c r="D81" s="1294"/>
      <c r="E81" s="1329"/>
      <c r="F81" s="1370"/>
      <c r="G81" s="1337">
        <f>G80+1</f>
        <v>1</v>
      </c>
      <c r="H81" s="1338">
        <f t="shared" ref="H81:H84" si="32">$E$203</f>
        <v>0</v>
      </c>
      <c r="I81" s="1468"/>
      <c r="J81" s="1339">
        <f t="shared" ref="J81:N84" si="33">I80</f>
        <v>0</v>
      </c>
      <c r="K81" s="1340">
        <f t="shared" si="33"/>
        <v>0</v>
      </c>
      <c r="L81" s="1340">
        <f t="shared" si="33"/>
        <v>1</v>
      </c>
      <c r="M81" s="1340">
        <f t="shared" si="33"/>
        <v>1</v>
      </c>
      <c r="N81" s="1341">
        <f t="shared" si="33"/>
        <v>1</v>
      </c>
    </row>
    <row r="82" spans="2:14">
      <c r="B82" s="1215"/>
      <c r="C82" s="1215"/>
      <c r="D82" s="1294"/>
      <c r="E82" s="1329"/>
      <c r="F82" s="1370"/>
      <c r="G82" s="1337">
        <f>G81+1</f>
        <v>2</v>
      </c>
      <c r="H82" s="1338">
        <f t="shared" si="32"/>
        <v>0</v>
      </c>
      <c r="I82" s="1468"/>
      <c r="J82" s="1339">
        <f t="shared" si="33"/>
        <v>0</v>
      </c>
      <c r="K82" s="1340">
        <f t="shared" si="33"/>
        <v>0</v>
      </c>
      <c r="L82" s="1340">
        <f t="shared" si="33"/>
        <v>0</v>
      </c>
      <c r="M82" s="1340">
        <f t="shared" si="33"/>
        <v>1</v>
      </c>
      <c r="N82" s="1341">
        <f t="shared" si="33"/>
        <v>1</v>
      </c>
    </row>
    <row r="83" spans="2:14">
      <c r="B83" s="1215"/>
      <c r="C83" s="1215"/>
      <c r="D83" s="1294"/>
      <c r="E83" s="1329"/>
      <c r="F83" s="1370"/>
      <c r="G83" s="1337">
        <f>G82+1</f>
        <v>3</v>
      </c>
      <c r="H83" s="1338">
        <f t="shared" si="32"/>
        <v>0</v>
      </c>
      <c r="I83" s="1468"/>
      <c r="J83" s="1339">
        <f t="shared" si="33"/>
        <v>0</v>
      </c>
      <c r="K83" s="1340">
        <f t="shared" si="33"/>
        <v>0</v>
      </c>
      <c r="L83" s="1340">
        <f t="shared" si="33"/>
        <v>0</v>
      </c>
      <c r="M83" s="1340">
        <f t="shared" si="33"/>
        <v>0</v>
      </c>
      <c r="N83" s="1341">
        <f t="shared" si="33"/>
        <v>1</v>
      </c>
    </row>
    <row r="84" spans="2:14">
      <c r="B84" s="1215"/>
      <c r="C84" s="1215"/>
      <c r="D84" s="1294"/>
      <c r="E84" s="1329"/>
      <c r="F84" s="1370"/>
      <c r="G84" s="1342">
        <f>G83+1</f>
        <v>4</v>
      </c>
      <c r="H84" s="1343">
        <f t="shared" si="32"/>
        <v>0</v>
      </c>
      <c r="I84" s="1469"/>
      <c r="J84" s="1344">
        <f t="shared" si="33"/>
        <v>0</v>
      </c>
      <c r="K84" s="1345">
        <f t="shared" si="33"/>
        <v>0</v>
      </c>
      <c r="L84" s="1345">
        <f t="shared" si="33"/>
        <v>0</v>
      </c>
      <c r="M84" s="1345">
        <f t="shared" si="33"/>
        <v>0</v>
      </c>
      <c r="N84" s="1346">
        <f t="shared" si="33"/>
        <v>0</v>
      </c>
    </row>
    <row r="85" spans="2:14">
      <c r="B85" s="1215"/>
      <c r="C85" s="1215"/>
      <c r="D85" s="1216"/>
      <c r="E85" s="1329"/>
      <c r="F85" s="1290"/>
      <c r="G85" s="1284"/>
      <c r="H85" s="1284"/>
      <c r="I85" s="1464"/>
      <c r="J85" s="1291"/>
      <c r="K85" s="1292"/>
      <c r="L85" s="1292"/>
      <c r="M85" s="1292"/>
      <c r="N85" s="1292"/>
    </row>
    <row r="86" spans="2:14">
      <c r="B86" s="1215"/>
      <c r="C86" s="1215"/>
      <c r="D86" s="1216"/>
      <c r="E86" s="1284"/>
      <c r="F86" s="1290"/>
      <c r="G86" s="1284"/>
      <c r="H86" s="1284"/>
      <c r="I86" s="1464"/>
      <c r="J86" s="1296" t="s">
        <v>1007</v>
      </c>
      <c r="K86" s="1297"/>
      <c r="L86" s="1297"/>
      <c r="M86" s="1297"/>
      <c r="N86" s="1298"/>
    </row>
    <row r="87" spans="2:14">
      <c r="B87" s="1294"/>
      <c r="C87" s="1294"/>
      <c r="D87" s="1294"/>
      <c r="E87" s="1327"/>
      <c r="F87" s="1290"/>
      <c r="G87" s="1329" t="s">
        <v>1005</v>
      </c>
      <c r="H87" s="1329" t="s">
        <v>1008</v>
      </c>
      <c r="I87" s="1470" t="s">
        <v>1009</v>
      </c>
      <c r="J87" s="1330">
        <f>J$190</f>
        <v>0</v>
      </c>
      <c r="K87" s="1331">
        <f>K$190</f>
        <v>0</v>
      </c>
      <c r="L87" s="1331">
        <f>L$190</f>
        <v>0</v>
      </c>
      <c r="M87" s="1331">
        <f>M$190</f>
        <v>0</v>
      </c>
      <c r="N87" s="1331">
        <f>N$190</f>
        <v>0</v>
      </c>
    </row>
    <row r="88" spans="2:14">
      <c r="B88" s="1215"/>
      <c r="C88" s="1215"/>
      <c r="D88" s="1294"/>
      <c r="E88" s="1327"/>
      <c r="F88" s="1290"/>
      <c r="G88" s="1332">
        <f>G80</f>
        <v>0</v>
      </c>
      <c r="H88" s="1348">
        <f>SUMIF($J$190:$N$190,G88,$J$193:$N$193)</f>
        <v>0</v>
      </c>
      <c r="I88" s="1471" t="e">
        <f>H88/H80</f>
        <v>#DIV/0!</v>
      </c>
      <c r="J88" s="1349" t="e">
        <f>$I88*J80</f>
        <v>#DIV/0!</v>
      </c>
      <c r="K88" s="1350" t="e">
        <f t="shared" ref="J88:N92" si="34">$I88*K80</f>
        <v>#DIV/0!</v>
      </c>
      <c r="L88" s="1350" t="e">
        <f t="shared" si="34"/>
        <v>#DIV/0!</v>
      </c>
      <c r="M88" s="1350" t="e">
        <f t="shared" si="34"/>
        <v>#DIV/0!</v>
      </c>
      <c r="N88" s="1351" t="e">
        <f t="shared" si="34"/>
        <v>#DIV/0!</v>
      </c>
    </row>
    <row r="89" spans="2:14">
      <c r="B89" s="1215"/>
      <c r="C89" s="1215"/>
      <c r="D89" s="1294"/>
      <c r="E89" s="1327"/>
      <c r="F89" s="1290"/>
      <c r="G89" s="1337">
        <f>G81</f>
        <v>1</v>
      </c>
      <c r="H89" s="1352">
        <f>SUMIF($J$190:$N$190,G89,$J$193:$N$193)</f>
        <v>0</v>
      </c>
      <c r="I89" s="1472" t="e">
        <f>H89/H81</f>
        <v>#DIV/0!</v>
      </c>
      <c r="J89" s="1353" t="e">
        <f t="shared" si="34"/>
        <v>#DIV/0!</v>
      </c>
      <c r="K89" s="1354" t="e">
        <f t="shared" si="34"/>
        <v>#DIV/0!</v>
      </c>
      <c r="L89" s="1354" t="e">
        <f t="shared" si="34"/>
        <v>#DIV/0!</v>
      </c>
      <c r="M89" s="1354" t="e">
        <f t="shared" si="34"/>
        <v>#DIV/0!</v>
      </c>
      <c r="N89" s="1355" t="e">
        <f t="shared" si="34"/>
        <v>#DIV/0!</v>
      </c>
    </row>
    <row r="90" spans="2:14">
      <c r="B90" s="1215"/>
      <c r="C90" s="1215"/>
      <c r="D90" s="1294"/>
      <c r="E90" s="1327"/>
      <c r="F90" s="1290"/>
      <c r="G90" s="1337">
        <f>G82</f>
        <v>2</v>
      </c>
      <c r="H90" s="1352">
        <f>SUMIF($J$190:$N$190,G90,$J$193:$N$193)</f>
        <v>0</v>
      </c>
      <c r="I90" s="1472" t="e">
        <f>H90/H82</f>
        <v>#DIV/0!</v>
      </c>
      <c r="J90" s="1353" t="e">
        <f t="shared" si="34"/>
        <v>#DIV/0!</v>
      </c>
      <c r="K90" s="1354" t="e">
        <f t="shared" si="34"/>
        <v>#DIV/0!</v>
      </c>
      <c r="L90" s="1354" t="e">
        <f t="shared" si="34"/>
        <v>#DIV/0!</v>
      </c>
      <c r="M90" s="1354" t="e">
        <f t="shared" si="34"/>
        <v>#DIV/0!</v>
      </c>
      <c r="N90" s="1355" t="e">
        <f t="shared" si="34"/>
        <v>#DIV/0!</v>
      </c>
    </row>
    <row r="91" spans="2:14">
      <c r="B91" s="1215"/>
      <c r="C91" s="1215"/>
      <c r="D91" s="1294"/>
      <c r="E91" s="1327"/>
      <c r="F91" s="1290"/>
      <c r="G91" s="1337">
        <f>G83</f>
        <v>3</v>
      </c>
      <c r="H91" s="1352">
        <f>SUMIF($J$190:$N$190,G91,$J$193:$N$193)</f>
        <v>0</v>
      </c>
      <c r="I91" s="1472" t="e">
        <f>H91/H83</f>
        <v>#DIV/0!</v>
      </c>
      <c r="J91" s="1353" t="e">
        <f t="shared" si="34"/>
        <v>#DIV/0!</v>
      </c>
      <c r="K91" s="1354" t="e">
        <f t="shared" si="34"/>
        <v>#DIV/0!</v>
      </c>
      <c r="L91" s="1354" t="e">
        <f t="shared" si="34"/>
        <v>#DIV/0!</v>
      </c>
      <c r="M91" s="1354" t="e">
        <f t="shared" si="34"/>
        <v>#DIV/0!</v>
      </c>
      <c r="N91" s="1355" t="e">
        <f t="shared" si="34"/>
        <v>#DIV/0!</v>
      </c>
    </row>
    <row r="92" spans="2:14">
      <c r="B92" s="1215"/>
      <c r="C92" s="1215"/>
      <c r="D92" s="1294"/>
      <c r="E92" s="1327"/>
      <c r="F92" s="1290"/>
      <c r="G92" s="1342">
        <f>G84</f>
        <v>4</v>
      </c>
      <c r="H92" s="1356">
        <f>SUMIF($J$190:$N$190,G92,$J$193:$N$193)</f>
        <v>0</v>
      </c>
      <c r="I92" s="1473" t="e">
        <f>H92/H84</f>
        <v>#DIV/0!</v>
      </c>
      <c r="J92" s="1357" t="e">
        <f t="shared" si="34"/>
        <v>#DIV/0!</v>
      </c>
      <c r="K92" s="1358" t="e">
        <f t="shared" si="34"/>
        <v>#DIV/0!</v>
      </c>
      <c r="L92" s="1358" t="e">
        <f t="shared" si="34"/>
        <v>#DIV/0!</v>
      </c>
      <c r="M92" s="1358" t="e">
        <f t="shared" si="34"/>
        <v>#DIV/0!</v>
      </c>
      <c r="N92" s="1359" t="e">
        <f>$I92*N84</f>
        <v>#DIV/0!</v>
      </c>
    </row>
    <row r="93" spans="2:14">
      <c r="B93" s="1315"/>
      <c r="C93" s="1315"/>
      <c r="D93" s="1316"/>
      <c r="E93" s="1317"/>
      <c r="F93" s="1318"/>
      <c r="G93" s="1317"/>
      <c r="H93" s="1317"/>
      <c r="I93" s="1466"/>
      <c r="J93" s="1319"/>
      <c r="K93" s="1320"/>
      <c r="L93" s="1320"/>
      <c r="M93" s="1320"/>
      <c r="N93" s="1320"/>
    </row>
    <row r="94" spans="2:14">
      <c r="B94" s="1321"/>
      <c r="C94" s="1321"/>
      <c r="D94" s="1283"/>
      <c r="E94" s="1284"/>
      <c r="F94" s="1290"/>
      <c r="G94" s="1284"/>
      <c r="H94" s="1284"/>
      <c r="I94" s="1464"/>
      <c r="J94" s="1291"/>
      <c r="K94" s="1292"/>
      <c r="L94" s="1292"/>
      <c r="M94" s="1292"/>
      <c r="N94" s="1292"/>
    </row>
    <row r="95" spans="2:14" ht="19.5">
      <c r="B95" s="1293" t="s">
        <v>1925</v>
      </c>
      <c r="C95" s="1293"/>
      <c r="D95" s="1216"/>
      <c r="E95" s="1284"/>
      <c r="F95" s="1290"/>
      <c r="G95" s="1284"/>
      <c r="H95" s="1284"/>
      <c r="I95" s="1464"/>
      <c r="J95" s="1291"/>
      <c r="K95" s="1292"/>
      <c r="L95" s="1292"/>
      <c r="M95" s="1292"/>
      <c r="N95" s="1292"/>
    </row>
    <row r="96" spans="2:14">
      <c r="B96" s="1360" t="s">
        <v>1010</v>
      </c>
      <c r="C96" s="1360"/>
      <c r="D96" s="1216"/>
      <c r="E96" s="1284"/>
      <c r="F96" s="1290"/>
      <c r="G96" s="1361"/>
      <c r="H96" s="1361"/>
      <c r="I96" s="1438"/>
      <c r="J96" s="1244" t="e">
        <f>($E$198/$E$197)*J70</f>
        <v>#DIV/0!</v>
      </c>
      <c r="K96" s="1245" t="e">
        <f>($E$198/$E$197)*K70</f>
        <v>#DIV/0!</v>
      </c>
      <c r="L96" s="1245" t="e">
        <f>($E$198/$E$197)*L70</f>
        <v>#DIV/0!</v>
      </c>
      <c r="M96" s="1245" t="e">
        <f>($E$198/$E$197)*M70</f>
        <v>#DIV/0!</v>
      </c>
      <c r="N96" s="1245" t="e">
        <f>($E$198/$E$197)*N70</f>
        <v>#DIV/0!</v>
      </c>
    </row>
    <row r="97" spans="2:17">
      <c r="B97" s="1360" t="s">
        <v>1011</v>
      </c>
      <c r="C97" s="1360"/>
      <c r="D97" s="1216"/>
      <c r="E97" s="1284"/>
      <c r="F97" s="1290"/>
      <c r="G97" s="1284"/>
      <c r="H97" s="1284"/>
      <c r="I97" s="1464"/>
      <c r="J97" s="1244" t="e">
        <f>SUM(J88:J92)</f>
        <v>#DIV/0!</v>
      </c>
      <c r="K97" s="1245" t="e">
        <f>SUM(K88:K92)</f>
        <v>#DIV/0!</v>
      </c>
      <c r="L97" s="1245" t="e">
        <f>SUM(L88:L92)</f>
        <v>#DIV/0!</v>
      </c>
      <c r="M97" s="1245" t="e">
        <f>SUM(M88:M92)</f>
        <v>#DIV/0!</v>
      </c>
      <c r="N97" s="1245" t="e">
        <f>SUM(N88:N92)</f>
        <v>#DIV/0!</v>
      </c>
    </row>
    <row r="98" spans="2:17" ht="17.25" thickBot="1">
      <c r="B98" s="1360" t="s">
        <v>1012</v>
      </c>
      <c r="C98" s="1360"/>
      <c r="D98" s="1216"/>
      <c r="E98" s="1284"/>
      <c r="F98" s="1290"/>
      <c r="G98" s="1284"/>
      <c r="H98" s="1284"/>
      <c r="I98" s="1464"/>
      <c r="J98" s="1362" t="e">
        <f>SUM(J96:J97)</f>
        <v>#DIV/0!</v>
      </c>
      <c r="K98" s="1363" t="e">
        <f>SUM(K96:K97)</f>
        <v>#DIV/0!</v>
      </c>
      <c r="L98" s="1363" t="e">
        <f>SUM(L96:L97)</f>
        <v>#DIV/0!</v>
      </c>
      <c r="M98" s="1363" t="e">
        <f>SUM(M96:M97)</f>
        <v>#DIV/0!</v>
      </c>
      <c r="N98" s="1363" t="e">
        <f>SUM(N96:N97)</f>
        <v>#DIV/0!</v>
      </c>
    </row>
    <row r="99" spans="2:17">
      <c r="B99" s="1215"/>
      <c r="C99" s="1215"/>
      <c r="D99" s="1216"/>
      <c r="E99" s="1284"/>
      <c r="F99" s="1290"/>
      <c r="G99" s="1284"/>
      <c r="H99" s="1284"/>
      <c r="I99" s="1464"/>
      <c r="J99" s="1236"/>
      <c r="K99" s="1235"/>
      <c r="L99" s="1235"/>
      <c r="M99" s="1235"/>
      <c r="N99" s="1235"/>
    </row>
    <row r="100" spans="2:17">
      <c r="B100" s="1364" t="s">
        <v>1013</v>
      </c>
      <c r="C100" s="1364"/>
      <c r="D100" s="1258"/>
      <c r="E100" s="1258"/>
      <c r="F100" s="1259"/>
      <c r="G100" s="1258"/>
      <c r="H100" s="1258"/>
      <c r="I100" s="1258"/>
      <c r="J100" s="1259"/>
      <c r="K100" s="1258"/>
      <c r="L100" s="1258"/>
      <c r="M100" s="1258"/>
      <c r="N100" s="1258"/>
      <c r="O100" s="1210" t="s">
        <v>1931</v>
      </c>
      <c r="P100" s="1210" t="s">
        <v>1932</v>
      </c>
      <c r="Q100" s="1210" t="s">
        <v>1933</v>
      </c>
    </row>
    <row r="101" spans="2:17">
      <c r="B101" s="1220"/>
      <c r="C101" s="1220"/>
      <c r="D101" s="1220"/>
      <c r="E101" s="1222"/>
      <c r="F101" s="1223"/>
      <c r="G101" s="1220"/>
      <c r="H101" s="1220"/>
      <c r="I101" s="1442"/>
      <c r="J101" s="1223"/>
      <c r="K101" s="1220"/>
      <c r="L101" s="1220"/>
      <c r="M101" s="1220"/>
      <c r="N101" s="1220"/>
    </row>
    <row r="102" spans="2:17">
      <c r="B102" s="1311" t="s">
        <v>978</v>
      </c>
      <c r="C102" s="1311"/>
      <c r="D102" s="1283"/>
      <c r="E102" s="1284"/>
      <c r="F102" s="1437">
        <v>10</v>
      </c>
      <c r="G102" s="1417">
        <v>15</v>
      </c>
      <c r="H102" s="1417">
        <v>20</v>
      </c>
      <c r="I102" s="1474">
        <v>25</v>
      </c>
      <c r="J102" s="1417">
        <f>I102*(1+$C$103)</f>
        <v>37.5</v>
      </c>
      <c r="K102" s="1417">
        <f>J102*(1+$C$103)</f>
        <v>56.25</v>
      </c>
      <c r="L102" s="1417">
        <f>K102*(1+$C$103)</f>
        <v>84.375</v>
      </c>
      <c r="M102" s="1417">
        <f>L102*(1+$C$103)</f>
        <v>126.5625</v>
      </c>
      <c r="N102" s="1417">
        <f>M102*(1+$C$103)</f>
        <v>189.84375</v>
      </c>
    </row>
    <row r="103" spans="2:17">
      <c r="B103" s="1418" t="s">
        <v>1934</v>
      </c>
      <c r="C103" s="1419">
        <f>G102/F102-1</f>
        <v>0.5</v>
      </c>
      <c r="D103" s="1216"/>
      <c r="E103" s="1284"/>
      <c r="F103" s="1290"/>
      <c r="G103" s="1284"/>
      <c r="H103" s="1284"/>
      <c r="I103" s="1464"/>
      <c r="J103" s="1291"/>
      <c r="K103" s="1292"/>
      <c r="L103" s="1292"/>
      <c r="M103" s="1292"/>
      <c r="N103" s="1292"/>
    </row>
    <row r="104" spans="2:17">
      <c r="B104" s="1215"/>
      <c r="C104" s="1215"/>
      <c r="D104" s="1216"/>
      <c r="E104" s="1284"/>
      <c r="F104" s="1290"/>
      <c r="G104" s="1284"/>
      <c r="H104" s="1284"/>
      <c r="I104" s="1464"/>
      <c r="J104" s="1291"/>
      <c r="K104" s="1292"/>
      <c r="L104" s="1292"/>
      <c r="M104" s="1292"/>
      <c r="N104" s="1292"/>
    </row>
    <row r="105" spans="2:17">
      <c r="B105" s="1365" t="s">
        <v>1018</v>
      </c>
      <c r="C105" s="1366"/>
      <c r="D105" s="1367"/>
      <c r="E105" s="1428">
        <v>0.5</v>
      </c>
      <c r="F105" s="1290"/>
      <c r="G105" s="1284"/>
      <c r="H105" s="1284"/>
      <c r="I105" s="1464"/>
      <c r="J105" s="1291"/>
      <c r="K105" s="1292"/>
      <c r="L105" s="1292"/>
      <c r="M105" s="1292"/>
      <c r="N105" s="1292"/>
    </row>
    <row r="106" spans="2:17">
      <c r="B106" s="1368" t="s">
        <v>977</v>
      </c>
      <c r="C106" s="1369"/>
      <c r="D106" s="1307"/>
      <c r="E106" s="1429">
        <v>0.15</v>
      </c>
      <c r="F106" s="1290"/>
      <c r="G106" s="1284"/>
      <c r="H106" s="1284"/>
      <c r="I106" s="1464"/>
      <c r="J106" s="1370"/>
      <c r="K106" s="1292"/>
      <c r="L106" s="1292"/>
      <c r="M106" s="1292"/>
      <c r="N106" s="1292"/>
    </row>
    <row r="107" spans="2:17">
      <c r="B107" s="1371"/>
      <c r="C107" s="1371"/>
      <c r="D107" s="1372"/>
      <c r="E107" s="1373"/>
      <c r="F107" s="1290"/>
      <c r="G107" s="1284"/>
      <c r="H107" s="1284"/>
      <c r="I107" s="1464"/>
      <c r="J107" s="1374"/>
      <c r="K107" s="1375"/>
      <c r="L107" s="1375"/>
      <c r="M107" s="1375"/>
      <c r="N107" s="1375"/>
    </row>
    <row r="108" spans="2:17">
      <c r="B108" s="1371"/>
      <c r="C108" s="1371"/>
      <c r="D108" s="1372"/>
      <c r="E108" s="1373"/>
      <c r="F108" s="1290"/>
      <c r="G108" s="1284"/>
      <c r="H108" s="1284"/>
      <c r="I108" s="1464"/>
      <c r="J108" s="1374"/>
      <c r="K108" s="1375"/>
      <c r="L108" s="1375"/>
      <c r="M108" s="1375"/>
      <c r="N108" s="1375"/>
    </row>
    <row r="109" spans="2:17">
      <c r="B109" s="1293" t="s">
        <v>1178</v>
      </c>
      <c r="C109" s="1293"/>
      <c r="D109" s="1216"/>
      <c r="E109" s="1284"/>
      <c r="F109" s="1290"/>
      <c r="G109" s="1284"/>
      <c r="H109" s="1284"/>
      <c r="I109" s="1464"/>
      <c r="J109" s="1291"/>
      <c r="K109" s="1292"/>
      <c r="L109" s="1292"/>
      <c r="M109" s="1292"/>
      <c r="N109" s="1292"/>
    </row>
    <row r="110" spans="2:17">
      <c r="B110" s="1360" t="s">
        <v>1014</v>
      </c>
      <c r="C110" s="1360"/>
      <c r="D110" s="1216"/>
      <c r="E110" s="1284"/>
      <c r="F110" s="1244">
        <f>E113</f>
        <v>0</v>
      </c>
      <c r="G110" s="1376">
        <f>F113</f>
        <v>10</v>
      </c>
      <c r="H110" s="1376">
        <f>G113</f>
        <v>24</v>
      </c>
      <c r="I110" s="1475">
        <f>H113</f>
        <v>44</v>
      </c>
      <c r="J110" s="1244" t="e">
        <f>I113</f>
        <v>#DIV/0!</v>
      </c>
      <c r="K110" s="1376" t="e">
        <f>J113</f>
        <v>#DIV/0!</v>
      </c>
      <c r="L110" s="1376" t="e">
        <f>K113</f>
        <v>#DIV/0!</v>
      </c>
      <c r="M110" s="1376" t="e">
        <f>L113</f>
        <v>#DIV/0!</v>
      </c>
      <c r="N110" s="1376" t="e">
        <f>M113</f>
        <v>#DIV/0!</v>
      </c>
    </row>
    <row r="111" spans="2:17">
      <c r="B111" s="1360" t="s">
        <v>978</v>
      </c>
      <c r="C111" s="1360"/>
      <c r="D111" s="1216"/>
      <c r="E111" s="1284"/>
      <c r="F111" s="1244">
        <f>F102</f>
        <v>10</v>
      </c>
      <c r="G111" s="1376">
        <f>G102</f>
        <v>15</v>
      </c>
      <c r="H111" s="1376">
        <f>H102</f>
        <v>20</v>
      </c>
      <c r="I111" s="1475">
        <f>I102</f>
        <v>25</v>
      </c>
      <c r="J111" s="1244">
        <f>J102</f>
        <v>37.5</v>
      </c>
      <c r="K111" s="1376">
        <f>K102</f>
        <v>56.25</v>
      </c>
      <c r="L111" s="1376">
        <f>L102</f>
        <v>84.375</v>
      </c>
      <c r="M111" s="1376">
        <f>M102</f>
        <v>126.5625</v>
      </c>
      <c r="N111" s="1376">
        <f>N102</f>
        <v>189.84375</v>
      </c>
    </row>
    <row r="112" spans="2:17">
      <c r="B112" s="1360" t="s">
        <v>1015</v>
      </c>
      <c r="C112" s="1360"/>
      <c r="D112" s="1216"/>
      <c r="E112" s="1284"/>
      <c r="F112" s="1377">
        <f>-F89</f>
        <v>0</v>
      </c>
      <c r="G112" s="1378">
        <f>-G89</f>
        <v>-1</v>
      </c>
      <c r="H112" s="1378">
        <f>-H89</f>
        <v>0</v>
      </c>
      <c r="I112" s="1476" t="e">
        <f>-I89</f>
        <v>#DIV/0!</v>
      </c>
      <c r="J112" s="1377" t="e">
        <f>-J89</f>
        <v>#DIV/0!</v>
      </c>
      <c r="K112" s="1378" t="e">
        <f>-K89</f>
        <v>#DIV/0!</v>
      </c>
      <c r="L112" s="1378" t="e">
        <f>-L89</f>
        <v>#DIV/0!</v>
      </c>
      <c r="M112" s="1378" t="e">
        <f>-M89</f>
        <v>#DIV/0!</v>
      </c>
      <c r="N112" s="1378" t="e">
        <f>-N89</f>
        <v>#DIV/0!</v>
      </c>
    </row>
    <row r="113" spans="2:20">
      <c r="B113" s="1360" t="s">
        <v>1016</v>
      </c>
      <c r="C113" s="1360"/>
      <c r="D113" s="1216"/>
      <c r="E113" s="1284"/>
      <c r="F113" s="1244">
        <f>SUM(F110:F112)</f>
        <v>10</v>
      </c>
      <c r="G113" s="1245">
        <f>SUM(G110:G112)</f>
        <v>24</v>
      </c>
      <c r="H113" s="1245">
        <f>SUM(H110:H112)</f>
        <v>44</v>
      </c>
      <c r="I113" s="1477" t="e">
        <f>SUM(I110:I112)</f>
        <v>#DIV/0!</v>
      </c>
      <c r="J113" s="1244" t="e">
        <f>SUM(J110:J112)</f>
        <v>#DIV/0!</v>
      </c>
      <c r="K113" s="1245" t="e">
        <f>SUM(K110:K112)</f>
        <v>#DIV/0!</v>
      </c>
      <c r="L113" s="1245" t="e">
        <f>SUM(L110:L112)</f>
        <v>#DIV/0!</v>
      </c>
      <c r="M113" s="1245" t="e">
        <f>SUM(M110:M112)</f>
        <v>#DIV/0!</v>
      </c>
      <c r="N113" s="1245" t="e">
        <f>SUM(N110:N112)</f>
        <v>#DIV/0!</v>
      </c>
    </row>
    <row r="114" spans="2:20">
      <c r="B114" s="1360"/>
      <c r="C114" s="1360"/>
      <c r="D114" s="1216"/>
      <c r="E114" s="1284"/>
      <c r="F114" s="1244"/>
      <c r="G114" s="1245"/>
      <c r="H114" s="1245"/>
      <c r="I114" s="1477"/>
      <c r="J114" s="1244"/>
      <c r="K114" s="1245"/>
      <c r="L114" s="1245"/>
      <c r="M114" s="1245"/>
      <c r="N114" s="1245"/>
    </row>
    <row r="115" spans="2:20">
      <c r="B115" s="1379" t="s">
        <v>187</v>
      </c>
      <c r="C115" s="1379"/>
      <c r="D115" s="1379"/>
      <c r="E115" s="1430"/>
      <c r="F115" s="1380">
        <f>+F119-F118-F116</f>
        <v>9.1050000000000004</v>
      </c>
      <c r="G115" s="1381">
        <f t="shared" ref="G115" si="35">+F119</f>
        <v>6.5</v>
      </c>
      <c r="H115" s="1381">
        <f t="shared" ref="H115" si="36">+G119</f>
        <v>7.8019999999999996</v>
      </c>
      <c r="I115" s="1478">
        <f t="shared" ref="I115" si="37">+H119</f>
        <v>9.17</v>
      </c>
      <c r="J115" s="1380">
        <f>+J119-J118-J116</f>
        <v>9.1050000000000004</v>
      </c>
      <c r="K115" s="1381">
        <f t="shared" ref="K115:N115" si="38">+J119</f>
        <v>6.5</v>
      </c>
      <c r="L115" s="1381">
        <f t="shared" si="38"/>
        <v>7.8019999999999996</v>
      </c>
      <c r="M115" s="1381">
        <f t="shared" si="38"/>
        <v>9.17</v>
      </c>
      <c r="N115" s="1381">
        <f t="shared" si="38"/>
        <v>10.558</v>
      </c>
      <c r="O115" s="666"/>
      <c r="P115" s="634"/>
      <c r="Q115" s="634"/>
      <c r="R115" s="634"/>
      <c r="S115" s="634"/>
      <c r="T115" s="634"/>
    </row>
    <row r="116" spans="2:20">
      <c r="B116" s="1382" t="s">
        <v>1175</v>
      </c>
      <c r="C116" s="1382"/>
      <c r="D116" s="1382"/>
      <c r="E116" s="1431"/>
      <c r="F116" s="1380">
        <v>0</v>
      </c>
      <c r="G116" s="1381">
        <v>0</v>
      </c>
      <c r="H116" s="1381">
        <v>0</v>
      </c>
      <c r="I116" s="1478">
        <v>0</v>
      </c>
      <c r="J116" s="1380">
        <v>0</v>
      </c>
      <c r="K116" s="1381">
        <v>0</v>
      </c>
      <c r="L116" s="1381">
        <v>0</v>
      </c>
      <c r="M116" s="1381">
        <v>0</v>
      </c>
      <c r="N116" s="1381">
        <v>0</v>
      </c>
      <c r="O116" s="666"/>
      <c r="P116" s="634"/>
      <c r="Q116" s="634"/>
      <c r="R116" s="634"/>
      <c r="S116" s="634"/>
      <c r="T116" s="634"/>
    </row>
    <row r="117" spans="2:20">
      <c r="B117" s="1382" t="s">
        <v>1176</v>
      </c>
      <c r="C117" s="1382"/>
      <c r="D117" s="1382"/>
      <c r="E117" s="1431"/>
      <c r="F117" s="1383">
        <v>0</v>
      </c>
      <c r="G117" s="1384">
        <v>0</v>
      </c>
      <c r="H117" s="1384">
        <v>0</v>
      </c>
      <c r="I117" s="1479">
        <v>0</v>
      </c>
      <c r="J117" s="1383">
        <v>0</v>
      </c>
      <c r="K117" s="1384">
        <v>0</v>
      </c>
      <c r="L117" s="1384">
        <v>0</v>
      </c>
      <c r="M117" s="1384">
        <v>0</v>
      </c>
      <c r="N117" s="1384">
        <v>0</v>
      </c>
      <c r="O117" s="666"/>
      <c r="P117" s="634"/>
      <c r="Q117" s="634"/>
      <c r="R117" s="634"/>
      <c r="S117" s="634"/>
      <c r="T117" s="634"/>
    </row>
    <row r="118" spans="2:20">
      <c r="B118" s="1382" t="s">
        <v>1177</v>
      </c>
      <c r="C118" s="1382"/>
      <c r="D118" s="1382"/>
      <c r="E118" s="1431"/>
      <c r="F118" s="1380">
        <v>-2.6050000000000004</v>
      </c>
      <c r="G118" s="1381">
        <f t="shared" ref="G118:I118" si="39">+(-G115-G116)+G119</f>
        <v>1.3019999999999996</v>
      </c>
      <c r="H118" s="1381">
        <f t="shared" si="39"/>
        <v>1.3680000000000003</v>
      </c>
      <c r="I118" s="1478">
        <f t="shared" si="39"/>
        <v>1.3879999999999999</v>
      </c>
      <c r="J118" s="1380">
        <v>-2.6050000000000004</v>
      </c>
      <c r="K118" s="1381">
        <f t="shared" ref="K118:N118" si="40">+(-K115-K116)+K119</f>
        <v>1.3019999999999996</v>
      </c>
      <c r="L118" s="1381">
        <f t="shared" si="40"/>
        <v>1.3680000000000003</v>
      </c>
      <c r="M118" s="1381">
        <f t="shared" si="40"/>
        <v>1.3879999999999999</v>
      </c>
      <c r="N118" s="1381">
        <f t="shared" si="40"/>
        <v>0.72900000000000098</v>
      </c>
      <c r="O118" s="666"/>
      <c r="P118" s="634"/>
      <c r="Q118" s="634"/>
      <c r="R118" s="634"/>
      <c r="S118" s="634"/>
      <c r="T118" s="634"/>
    </row>
    <row r="119" spans="2:20" ht="17.25" thickBot="1">
      <c r="B119" s="1385" t="s">
        <v>189</v>
      </c>
      <c r="C119" s="1385"/>
      <c r="D119" s="1385"/>
      <c r="E119" s="1385"/>
      <c r="F119" s="1386">
        <v>6.5</v>
      </c>
      <c r="G119" s="1387">
        <v>7.8019999999999996</v>
      </c>
      <c r="H119" s="1387">
        <v>9.17</v>
      </c>
      <c r="I119" s="1387">
        <v>10.558</v>
      </c>
      <c r="J119" s="1386">
        <v>6.5</v>
      </c>
      <c r="K119" s="1387">
        <v>7.8019999999999996</v>
      </c>
      <c r="L119" s="1387">
        <v>9.17</v>
      </c>
      <c r="M119" s="1387">
        <v>10.558</v>
      </c>
      <c r="N119" s="1387">
        <v>11.287000000000001</v>
      </c>
      <c r="O119" s="666"/>
      <c r="P119" s="634"/>
      <c r="Q119" s="634"/>
      <c r="R119" s="634"/>
      <c r="S119" s="634"/>
      <c r="T119" s="634"/>
    </row>
    <row r="120" spans="2:20" ht="17.25" thickTop="1">
      <c r="B120" s="1388"/>
      <c r="C120" s="1388"/>
      <c r="D120" s="1389"/>
      <c r="E120" s="1432"/>
      <c r="F120" s="1244"/>
      <c r="G120" s="1245"/>
      <c r="H120" s="1245"/>
      <c r="I120" s="1477"/>
      <c r="J120" s="1244"/>
      <c r="K120" s="1245"/>
      <c r="L120" s="1245"/>
      <c r="M120" s="1245"/>
      <c r="N120" s="1245"/>
    </row>
    <row r="121" spans="2:20">
      <c r="B121" s="1215"/>
      <c r="C121" s="1215"/>
      <c r="D121" s="1216"/>
      <c r="E121" s="1284"/>
      <c r="F121" s="1390"/>
      <c r="G121" s="1391"/>
      <c r="H121" s="1391"/>
      <c r="I121" s="1480"/>
      <c r="J121" s="1390"/>
      <c r="K121" s="1391"/>
      <c r="L121" s="1391"/>
      <c r="M121" s="1391"/>
      <c r="N121" s="1391"/>
    </row>
    <row r="122" spans="2:20" ht="19.5">
      <c r="B122" s="1293" t="s">
        <v>1926</v>
      </c>
      <c r="C122" s="1293"/>
      <c r="D122" s="1216"/>
      <c r="E122" s="1284"/>
      <c r="F122" s="1390"/>
      <c r="G122" s="1391"/>
      <c r="H122" s="1391"/>
      <c r="I122" s="1480"/>
      <c r="J122" s="1390"/>
      <c r="K122" s="1391"/>
      <c r="L122" s="1391"/>
      <c r="M122" s="1391"/>
      <c r="N122" s="1391"/>
    </row>
    <row r="123" spans="2:20">
      <c r="B123" s="1360" t="s">
        <v>1014</v>
      </c>
      <c r="C123" s="1360"/>
      <c r="D123" s="1216"/>
      <c r="E123" s="1284"/>
      <c r="F123" s="1244">
        <f>E126</f>
        <v>0</v>
      </c>
      <c r="G123" s="1376">
        <f>F126</f>
        <v>10</v>
      </c>
      <c r="H123" s="1376">
        <f>G126</f>
        <v>25</v>
      </c>
      <c r="I123" s="1475">
        <f>H126</f>
        <v>45</v>
      </c>
      <c r="J123" s="1244">
        <f>I126</f>
        <v>70</v>
      </c>
      <c r="K123" s="1376">
        <f>J126</f>
        <v>107.5</v>
      </c>
      <c r="L123" s="1376">
        <f>K126</f>
        <v>163.75</v>
      </c>
      <c r="M123" s="1376">
        <f>L126</f>
        <v>248.125</v>
      </c>
      <c r="N123" s="1376">
        <f>M126</f>
        <v>374.6875</v>
      </c>
    </row>
    <row r="124" spans="2:20">
      <c r="B124" s="1360" t="s">
        <v>978</v>
      </c>
      <c r="C124" s="1360"/>
      <c r="D124" s="1216"/>
      <c r="E124" s="1284"/>
      <c r="F124" s="1244">
        <f>F111</f>
        <v>10</v>
      </c>
      <c r="G124" s="1376">
        <f>G111</f>
        <v>15</v>
      </c>
      <c r="H124" s="1376">
        <f>H111</f>
        <v>20</v>
      </c>
      <c r="I124" s="1475">
        <f>I111</f>
        <v>25</v>
      </c>
      <c r="J124" s="1244">
        <f>J111</f>
        <v>37.5</v>
      </c>
      <c r="K124" s="1376">
        <f>K111</f>
        <v>56.25</v>
      </c>
      <c r="L124" s="1376">
        <f>L111</f>
        <v>84.375</v>
      </c>
      <c r="M124" s="1376">
        <f>M111</f>
        <v>126.5625</v>
      </c>
      <c r="N124" s="1376">
        <f>N111</f>
        <v>189.84375</v>
      </c>
    </row>
    <row r="125" spans="2:20">
      <c r="B125" s="1360" t="s">
        <v>1017</v>
      </c>
      <c r="C125" s="1360"/>
      <c r="D125" s="1294"/>
      <c r="E125" s="1327"/>
      <c r="F125" s="1377">
        <f>-(F123+F124*$E$241)*$E$242</f>
        <v>0</v>
      </c>
      <c r="G125" s="1378">
        <f>-(G123+G124*$E$241)*$E$242</f>
        <v>0</v>
      </c>
      <c r="H125" s="1378">
        <f>-(H123+H124*$E$241)*$E$242</f>
        <v>0</v>
      </c>
      <c r="I125" s="1476">
        <f>-(I123+I124*$E$241)*$E$242</f>
        <v>0</v>
      </c>
      <c r="J125" s="1377">
        <f>-(J123+J124*$E$241)*$E$242</f>
        <v>0</v>
      </c>
      <c r="K125" s="1378">
        <f>-(K123+K124*$E$241)*$E$242</f>
        <v>0</v>
      </c>
      <c r="L125" s="1378">
        <f>-(L123+L124*$E$241)*$E$242</f>
        <v>0</v>
      </c>
      <c r="M125" s="1378">
        <f>-(M123+M124*$E$241)*$E$242</f>
        <v>0</v>
      </c>
      <c r="N125" s="1378">
        <f>-(N123+N124*$E$241)*$E$242</f>
        <v>0</v>
      </c>
    </row>
    <row r="126" spans="2:20">
      <c r="B126" s="1360" t="s">
        <v>1016</v>
      </c>
      <c r="C126" s="1360"/>
      <c r="D126" s="1216"/>
      <c r="E126" s="1284"/>
      <c r="F126" s="1244">
        <f>SUM(F123:F125)</f>
        <v>10</v>
      </c>
      <c r="G126" s="1245">
        <f>SUM(G123:G125)</f>
        <v>25</v>
      </c>
      <c r="H126" s="1245">
        <f>SUM(H123:H125)</f>
        <v>45</v>
      </c>
      <c r="I126" s="1477">
        <f>SUM(I123:I125)</f>
        <v>70</v>
      </c>
      <c r="J126" s="1244">
        <f>SUM(J123:J125)</f>
        <v>107.5</v>
      </c>
      <c r="K126" s="1245">
        <f>SUM(K123:K125)</f>
        <v>163.75</v>
      </c>
      <c r="L126" s="1245">
        <f>SUM(L123:L125)</f>
        <v>248.125</v>
      </c>
      <c r="M126" s="1245">
        <f>SUM(M123:M125)</f>
        <v>374.6875</v>
      </c>
      <c r="N126" s="1245">
        <f>SUM(N123:N125)</f>
        <v>564.53125</v>
      </c>
    </row>
    <row r="127" spans="2:20">
      <c r="B127" s="1220"/>
      <c r="C127" s="1220"/>
      <c r="D127" s="1220"/>
      <c r="E127" s="1222"/>
      <c r="F127" s="1223"/>
      <c r="G127" s="1220"/>
      <c r="H127" s="1220"/>
      <c r="I127" s="1442"/>
      <c r="J127" s="1223"/>
      <c r="K127" s="1220"/>
      <c r="L127" s="1220"/>
      <c r="M127" s="1220"/>
      <c r="N127" s="1220"/>
    </row>
    <row r="128" spans="2:20">
      <c r="B128" s="1392" t="s">
        <v>1033</v>
      </c>
      <c r="C128" s="1392"/>
      <c r="D128" s="1393"/>
      <c r="E128" s="1393"/>
      <c r="F128" s="1394"/>
      <c r="G128" s="1393"/>
      <c r="H128" s="1393"/>
      <c r="I128" s="1393"/>
      <c r="J128" s="1394"/>
      <c r="K128" s="1393"/>
      <c r="L128" s="1393"/>
      <c r="M128" s="1393"/>
      <c r="N128" s="1393"/>
    </row>
    <row r="129" spans="2:14">
      <c r="B129" s="1220"/>
      <c r="C129" s="1220"/>
      <c r="D129" s="1220"/>
      <c r="E129" s="1222"/>
      <c r="F129" s="1223"/>
      <c r="G129" s="1220"/>
      <c r="H129" s="1220"/>
      <c r="I129" s="1442"/>
      <c r="J129" s="1223"/>
      <c r="K129" s="1220"/>
      <c r="L129" s="1220"/>
      <c r="M129" s="1220"/>
      <c r="N129" s="1220"/>
    </row>
    <row r="130" spans="2:14">
      <c r="B130" s="1311" t="s">
        <v>1019</v>
      </c>
      <c r="C130" s="1311"/>
      <c r="D130" s="1283"/>
      <c r="E130" s="1284"/>
      <c r="F130" s="1290" t="e">
        <f>#REF!</f>
        <v>#REF!</v>
      </c>
      <c r="G130" s="1235" t="e">
        <f>#REF!</f>
        <v>#REF!</v>
      </c>
      <c r="H130" s="1235" t="e">
        <f>#REF!</f>
        <v>#REF!</v>
      </c>
      <c r="I130" s="1481" t="e">
        <f>#REF!</f>
        <v>#REF!</v>
      </c>
      <c r="J130" s="1252" t="e">
        <f>#REF!</f>
        <v>#REF!</v>
      </c>
      <c r="K130" s="1395" t="e">
        <f>#REF!</f>
        <v>#REF!</v>
      </c>
      <c r="L130" s="1395" t="e">
        <f>#REF!</f>
        <v>#REF!</v>
      </c>
      <c r="M130" s="1395" t="e">
        <f>#REF!</f>
        <v>#REF!</v>
      </c>
      <c r="N130" s="1396" t="e">
        <f>#REF!</f>
        <v>#REF!</v>
      </c>
    </row>
    <row r="131" spans="2:14">
      <c r="B131" s="1311" t="s">
        <v>1020</v>
      </c>
      <c r="C131" s="1311"/>
      <c r="D131" s="1283"/>
      <c r="E131" s="1284"/>
      <c r="F131" s="1290" t="e">
        <f>IF(F140&gt;0,1,0)</f>
        <v>#REF!</v>
      </c>
      <c r="G131" s="1284" t="e">
        <f t="shared" ref="G131:I131" si="41">IF(G140&gt;0,1,0)</f>
        <v>#REF!</v>
      </c>
      <c r="H131" s="1284" t="e">
        <f t="shared" si="41"/>
        <v>#REF!</v>
      </c>
      <c r="I131" s="1464" t="e">
        <f t="shared" si="41"/>
        <v>#REF!</v>
      </c>
      <c r="J131" s="1397" t="e">
        <f>IF(J140&gt;0,1,0)</f>
        <v>#REF!</v>
      </c>
      <c r="K131" s="1398" t="e">
        <f t="shared" ref="K131:N131" si="42">IF(K140&gt;0,1,0)</f>
        <v>#REF!</v>
      </c>
      <c r="L131" s="1398" t="e">
        <f t="shared" si="42"/>
        <v>#REF!</v>
      </c>
      <c r="M131" s="1398" t="e">
        <f t="shared" si="42"/>
        <v>#REF!</v>
      </c>
      <c r="N131" s="1399" t="e">
        <f t="shared" si="42"/>
        <v>#REF!</v>
      </c>
    </row>
    <row r="132" spans="2:14">
      <c r="B132" s="1215"/>
      <c r="C132" s="1215"/>
      <c r="D132" s="1216"/>
      <c r="E132" s="1284"/>
      <c r="F132" s="1290"/>
      <c r="G132" s="1284"/>
      <c r="H132" s="1284"/>
      <c r="I132" s="1464"/>
      <c r="J132" s="1291"/>
      <c r="K132" s="1292"/>
      <c r="L132" s="1292"/>
      <c r="M132" s="1292"/>
      <c r="N132" s="1292"/>
    </row>
    <row r="133" spans="2:14">
      <c r="B133" s="1365" t="s">
        <v>660</v>
      </c>
      <c r="C133" s="1366"/>
      <c r="D133" s="1400"/>
      <c r="E133" s="1433">
        <v>0.25</v>
      </c>
      <c r="F133" s="1290"/>
      <c r="G133" s="1284"/>
      <c r="H133" s="1284"/>
      <c r="I133" s="1464"/>
      <c r="J133" s="1291"/>
      <c r="K133" s="1292"/>
      <c r="L133" s="1292"/>
      <c r="M133" s="1292"/>
      <c r="N133" s="1292"/>
    </row>
    <row r="134" spans="2:14">
      <c r="B134" s="1321"/>
      <c r="C134" s="1321"/>
      <c r="D134" s="1283"/>
      <c r="E134" s="1401"/>
      <c r="F134" s="1290"/>
      <c r="G134" s="1284"/>
      <c r="H134" s="1284"/>
      <c r="I134" s="1464"/>
      <c r="J134" s="1291"/>
      <c r="K134" s="1292"/>
      <c r="L134" s="1292"/>
      <c r="M134" s="1292"/>
      <c r="N134" s="1292"/>
    </row>
    <row r="135" spans="2:14">
      <c r="B135" s="1321"/>
      <c r="C135" s="1321"/>
      <c r="D135" s="1283"/>
      <c r="E135" s="1401"/>
      <c r="F135" s="1290"/>
      <c r="G135" s="1284"/>
      <c r="H135" s="1284"/>
      <c r="I135" s="1464"/>
      <c r="J135" s="1291"/>
      <c r="K135" s="1292"/>
      <c r="L135" s="1292"/>
      <c r="M135" s="1292"/>
      <c r="N135" s="1292"/>
    </row>
    <row r="136" spans="2:14">
      <c r="B136" s="1402" t="s">
        <v>1021</v>
      </c>
      <c r="C136" s="1402"/>
      <c r="D136" s="1216"/>
      <c r="E136" s="1284"/>
      <c r="F136" s="1290"/>
      <c r="G136" s="1284"/>
      <c r="H136" s="1284"/>
      <c r="I136" s="1482"/>
      <c r="J136" s="1390"/>
      <c r="K136" s="1391"/>
      <c r="L136" s="1391"/>
      <c r="M136" s="1391"/>
      <c r="N136" s="1391"/>
    </row>
    <row r="137" spans="2:14">
      <c r="B137" s="1360" t="s">
        <v>199</v>
      </c>
      <c r="C137" s="1360"/>
      <c r="D137" s="1216"/>
      <c r="E137" s="1284"/>
      <c r="F137" s="1290" t="e">
        <f>F130</f>
        <v>#REF!</v>
      </c>
      <c r="G137" s="1361" t="e">
        <f>G130</f>
        <v>#REF!</v>
      </c>
      <c r="H137" s="1361" t="e">
        <f>H130</f>
        <v>#REF!</v>
      </c>
      <c r="I137" s="1481" t="e">
        <f>I130</f>
        <v>#REF!</v>
      </c>
      <c r="J137" s="1244" t="e">
        <f>J130</f>
        <v>#REF!</v>
      </c>
      <c r="K137" s="1376" t="e">
        <f>K130</f>
        <v>#REF!</v>
      </c>
      <c r="L137" s="1376" t="e">
        <f>L130</f>
        <v>#REF!</v>
      </c>
      <c r="M137" s="1376" t="e">
        <f>M130</f>
        <v>#REF!</v>
      </c>
      <c r="N137" s="1376" t="e">
        <f>N130</f>
        <v>#REF!</v>
      </c>
    </row>
    <row r="138" spans="2:14">
      <c r="B138" s="1360" t="s">
        <v>1022</v>
      </c>
      <c r="C138" s="1360"/>
      <c r="D138" s="1216"/>
      <c r="E138" s="1284"/>
      <c r="F138" s="1290">
        <f>-F$248</f>
        <v>0</v>
      </c>
      <c r="G138" s="1284">
        <f>-G$248</f>
        <v>0</v>
      </c>
      <c r="H138" s="1284">
        <f>-H$248</f>
        <v>0</v>
      </c>
      <c r="I138" s="1482">
        <f>-I$248</f>
        <v>0</v>
      </c>
      <c r="J138" s="1244">
        <f>-J$248</f>
        <v>0</v>
      </c>
      <c r="K138" s="1376">
        <f>-K$248</f>
        <v>0</v>
      </c>
      <c r="L138" s="1376">
        <f>-L$248</f>
        <v>0</v>
      </c>
      <c r="M138" s="1376">
        <f>-M$248</f>
        <v>0</v>
      </c>
      <c r="N138" s="1376">
        <f>-N$248</f>
        <v>0</v>
      </c>
    </row>
    <row r="139" spans="2:14">
      <c r="B139" s="1360" t="s">
        <v>1023</v>
      </c>
      <c r="C139" s="1360"/>
      <c r="D139" s="1216"/>
      <c r="E139" s="1284"/>
      <c r="F139" s="1290">
        <f>F$255</f>
        <v>0</v>
      </c>
      <c r="G139" s="1284">
        <f>G$255</f>
        <v>0</v>
      </c>
      <c r="H139" s="1284">
        <f>H$255</f>
        <v>0</v>
      </c>
      <c r="I139" s="1482">
        <f>I$255</f>
        <v>0</v>
      </c>
      <c r="J139" s="1377">
        <f>J$255</f>
        <v>0</v>
      </c>
      <c r="K139" s="1378">
        <f>K$255</f>
        <v>0</v>
      </c>
      <c r="L139" s="1378">
        <f>L$255</f>
        <v>0</v>
      </c>
      <c r="M139" s="1378">
        <f>M$255</f>
        <v>0</v>
      </c>
      <c r="N139" s="1378">
        <f>N$255</f>
        <v>0</v>
      </c>
    </row>
    <row r="140" spans="2:14">
      <c r="B140" s="1360" t="s">
        <v>1024</v>
      </c>
      <c r="C140" s="1360"/>
      <c r="D140" s="1216"/>
      <c r="E140" s="1284"/>
      <c r="F140" s="1290" t="e">
        <f>SUM(F137:F139)</f>
        <v>#REF!</v>
      </c>
      <c r="G140" s="1361" t="e">
        <f>SUM(G137:G139)</f>
        <v>#REF!</v>
      </c>
      <c r="H140" s="1361" t="e">
        <f>SUM(H137:H139)</f>
        <v>#REF!</v>
      </c>
      <c r="I140" s="1481" t="e">
        <f>SUM(I137:I139)</f>
        <v>#REF!</v>
      </c>
      <c r="J140" s="1244" t="e">
        <f>SUM(J137:J139)</f>
        <v>#REF!</v>
      </c>
      <c r="K140" s="1245" t="e">
        <f>SUM(K137:K139)</f>
        <v>#REF!</v>
      </c>
      <c r="L140" s="1245" t="e">
        <f>SUM(L137:L139)</f>
        <v>#REF!</v>
      </c>
      <c r="M140" s="1245" t="e">
        <f>SUM(M137:M139)</f>
        <v>#REF!</v>
      </c>
      <c r="N140" s="1245" t="e">
        <f>SUM(N137:N139)</f>
        <v>#REF!</v>
      </c>
    </row>
    <row r="141" spans="2:14">
      <c r="B141" s="1215"/>
      <c r="C141" s="1215"/>
      <c r="D141" s="1216"/>
      <c r="E141" s="1284"/>
      <c r="F141" s="1290"/>
      <c r="G141" s="1284"/>
      <c r="H141" s="1284"/>
      <c r="I141" s="1482"/>
      <c r="J141" s="1244"/>
      <c r="K141" s="1376"/>
      <c r="L141" s="1376"/>
      <c r="M141" s="1376"/>
      <c r="N141" s="1376"/>
    </row>
    <row r="142" spans="2:14" ht="19.5">
      <c r="B142" s="1293" t="s">
        <v>1927</v>
      </c>
      <c r="C142" s="1293"/>
      <c r="D142" s="1216"/>
      <c r="E142" s="1284"/>
      <c r="F142" s="1290"/>
      <c r="G142" s="1284"/>
      <c r="H142" s="1284"/>
      <c r="I142" s="1482"/>
      <c r="J142" s="1244"/>
      <c r="K142" s="1376"/>
      <c r="L142" s="1376"/>
      <c r="M142" s="1376"/>
      <c r="N142" s="1376"/>
    </row>
    <row r="143" spans="2:14">
      <c r="B143" s="1360" t="s">
        <v>1024</v>
      </c>
      <c r="C143" s="1360"/>
      <c r="D143" s="1216"/>
      <c r="E143" s="1284"/>
      <c r="F143" s="1290" t="e">
        <f>F140</f>
        <v>#REF!</v>
      </c>
      <c r="G143" s="1361" t="e">
        <f>G140</f>
        <v>#REF!</v>
      </c>
      <c r="H143" s="1361" t="e">
        <f>H140</f>
        <v>#REF!</v>
      </c>
      <c r="I143" s="1481" t="e">
        <f>I140</f>
        <v>#REF!</v>
      </c>
      <c r="J143" s="1244" t="e">
        <f>J140</f>
        <v>#REF!</v>
      </c>
      <c r="K143" s="1245" t="e">
        <f>K140</f>
        <v>#REF!</v>
      </c>
      <c r="L143" s="1245" t="e">
        <f>L140</f>
        <v>#REF!</v>
      </c>
      <c r="M143" s="1245" t="e">
        <f>M140</f>
        <v>#REF!</v>
      </c>
      <c r="N143" s="1245" t="e">
        <f>N140</f>
        <v>#REF!</v>
      </c>
    </row>
    <row r="144" spans="2:14" ht="19.5">
      <c r="B144" s="1403" t="s">
        <v>1928</v>
      </c>
      <c r="C144" s="1403"/>
      <c r="D144" s="1216"/>
      <c r="E144" s="1284"/>
      <c r="F144" s="1290" t="e">
        <f>F150</f>
        <v>#REF!</v>
      </c>
      <c r="G144" s="1284" t="e">
        <f>G150</f>
        <v>#REF!</v>
      </c>
      <c r="H144" s="1284" t="e">
        <f>H150</f>
        <v>#REF!</v>
      </c>
      <c r="I144" s="1482" t="e">
        <f>I150</f>
        <v>#REF!</v>
      </c>
      <c r="J144" s="1377" t="e">
        <f>J150</f>
        <v>#REF!</v>
      </c>
      <c r="K144" s="1378" t="e">
        <f>K150</f>
        <v>#REF!</v>
      </c>
      <c r="L144" s="1378" t="e">
        <f>L150</f>
        <v>#REF!</v>
      </c>
      <c r="M144" s="1378" t="e">
        <f>M150</f>
        <v>#REF!</v>
      </c>
      <c r="N144" s="1378" t="e">
        <f>N150</f>
        <v>#REF!</v>
      </c>
    </row>
    <row r="145" spans="2:14">
      <c r="B145" s="1360" t="s">
        <v>1025</v>
      </c>
      <c r="C145" s="1360"/>
      <c r="D145" s="1216"/>
      <c r="E145" s="1284"/>
      <c r="F145" s="1290" t="e">
        <f xml:space="preserve"> MAX(SUM(F143:F144),0)</f>
        <v>#REF!</v>
      </c>
      <c r="G145" s="1284" t="e">
        <f xml:space="preserve"> MAX(SUM(G143:G144),0)</f>
        <v>#REF!</v>
      </c>
      <c r="H145" s="1284" t="e">
        <f xml:space="preserve"> MAX(SUM(H143:H144),0)</f>
        <v>#REF!</v>
      </c>
      <c r="I145" s="1482" t="e">
        <f xml:space="preserve"> MAX(SUM(I143:I144),0)</f>
        <v>#REF!</v>
      </c>
      <c r="J145" s="1244" t="e">
        <f xml:space="preserve"> MAX(SUM(J143:J144),0)</f>
        <v>#REF!</v>
      </c>
      <c r="K145" s="1245" t="e">
        <f xml:space="preserve"> MAX(SUM(K143:K144),0)</f>
        <v>#REF!</v>
      </c>
      <c r="L145" s="1245" t="e">
        <f xml:space="preserve"> MAX(SUM(L143:L144),0)</f>
        <v>#REF!</v>
      </c>
      <c r="M145" s="1245" t="e">
        <f xml:space="preserve"> MAX(SUM(M143:M144),0)</f>
        <v>#REF!</v>
      </c>
      <c r="N145" s="1245" t="e">
        <f xml:space="preserve"> MAX(SUM(N143:N144),0)</f>
        <v>#REF!</v>
      </c>
    </row>
    <row r="146" spans="2:14">
      <c r="B146" s="1215"/>
      <c r="C146" s="1215"/>
      <c r="D146" s="1216"/>
      <c r="E146" s="1284"/>
      <c r="F146" s="1290"/>
      <c r="G146" s="1284"/>
      <c r="H146" s="1284"/>
      <c r="I146" s="1482"/>
      <c r="J146" s="1390"/>
      <c r="K146" s="1391"/>
      <c r="L146" s="1391"/>
      <c r="M146" s="1391"/>
      <c r="N146" s="1391"/>
    </row>
    <row r="147" spans="2:14">
      <c r="B147" s="1402" t="s">
        <v>1026</v>
      </c>
      <c r="C147" s="1402"/>
      <c r="D147" s="1216"/>
      <c r="E147" s="1284"/>
      <c r="F147" s="1290"/>
      <c r="G147" s="1284"/>
      <c r="H147" s="1284"/>
      <c r="I147" s="1482"/>
      <c r="J147" s="1390"/>
      <c r="K147" s="1391"/>
      <c r="L147" s="1391"/>
      <c r="M147" s="1391"/>
      <c r="N147" s="1391"/>
    </row>
    <row r="148" spans="2:14">
      <c r="B148" s="1360" t="s">
        <v>1014</v>
      </c>
      <c r="C148" s="1360"/>
      <c r="D148" s="1216"/>
      <c r="E148" s="1284"/>
      <c r="F148" s="1290">
        <f>E151</f>
        <v>0</v>
      </c>
      <c r="G148" s="1284" t="e">
        <f>F151</f>
        <v>#REF!</v>
      </c>
      <c r="H148" s="1284" t="e">
        <f>G151</f>
        <v>#REF!</v>
      </c>
      <c r="I148" s="1482" t="e">
        <f>H151</f>
        <v>#REF!</v>
      </c>
      <c r="J148" s="1244" t="e">
        <f>I151</f>
        <v>#REF!</v>
      </c>
      <c r="K148" s="1376" t="e">
        <f>J151</f>
        <v>#REF!</v>
      </c>
      <c r="L148" s="1376" t="e">
        <f>K151</f>
        <v>#REF!</v>
      </c>
      <c r="M148" s="1376" t="e">
        <f>L151</f>
        <v>#REF!</v>
      </c>
      <c r="N148" s="1376" t="e">
        <f>M151</f>
        <v>#REF!</v>
      </c>
    </row>
    <row r="149" spans="2:14">
      <c r="B149" s="1360" t="s">
        <v>1027</v>
      </c>
      <c r="C149" s="1360"/>
      <c r="D149" s="1216"/>
      <c r="E149" s="1284"/>
      <c r="F149" s="1290" t="e">
        <f>-MIN(F137,0)</f>
        <v>#REF!</v>
      </c>
      <c r="G149" s="1284" t="e">
        <f>-MIN(G137,0)</f>
        <v>#REF!</v>
      </c>
      <c r="H149" s="1284" t="e">
        <f>-MIN(H137,0)</f>
        <v>#REF!</v>
      </c>
      <c r="I149" s="1482" t="e">
        <f>-MIN(I137,0)</f>
        <v>#REF!</v>
      </c>
      <c r="J149" s="1244" t="e">
        <f>-MIN(J137,0)</f>
        <v>#REF!</v>
      </c>
      <c r="K149" s="1376" t="e">
        <f>-MIN(K137,0)</f>
        <v>#REF!</v>
      </c>
      <c r="L149" s="1376" t="e">
        <f>-MIN(L137,0)</f>
        <v>#REF!</v>
      </c>
      <c r="M149" s="1376" t="e">
        <f>-MIN(M137,0)</f>
        <v>#REF!</v>
      </c>
      <c r="N149" s="1376" t="e">
        <f>-MIN(N137,0)</f>
        <v>#REF!</v>
      </c>
    </row>
    <row r="150" spans="2:14">
      <c r="B150" s="1360" t="s">
        <v>1028</v>
      </c>
      <c r="C150" s="1360"/>
      <c r="D150" s="1216"/>
      <c r="E150" s="1284"/>
      <c r="F150" s="1290" t="e">
        <f>-MIN(F148,F143)*F131</f>
        <v>#REF!</v>
      </c>
      <c r="G150" s="1284" t="e">
        <f>-MIN(G148,G143)*G131</f>
        <v>#REF!</v>
      </c>
      <c r="H150" s="1284" t="e">
        <f>-MIN(H148,H143)*H131</f>
        <v>#REF!</v>
      </c>
      <c r="I150" s="1483" t="e">
        <f>-MIN(I148,I143)*I131</f>
        <v>#REF!</v>
      </c>
      <c r="J150" s="1377" t="e">
        <f>-MIN(J148,J143)*J131</f>
        <v>#REF!</v>
      </c>
      <c r="K150" s="1378" t="e">
        <f>-MIN(K148,K143)*K131</f>
        <v>#REF!</v>
      </c>
      <c r="L150" s="1378" t="e">
        <f>-MIN(L148,L143)*L131</f>
        <v>#REF!</v>
      </c>
      <c r="M150" s="1378" t="e">
        <f>-MIN(M148,M143)*M131</f>
        <v>#REF!</v>
      </c>
      <c r="N150" s="1378" t="e">
        <f>-MIN(N148,N143)*N131</f>
        <v>#REF!</v>
      </c>
    </row>
    <row r="151" spans="2:14">
      <c r="B151" s="1360" t="s">
        <v>1016</v>
      </c>
      <c r="C151" s="1360"/>
      <c r="D151" s="1216"/>
      <c r="E151" s="1284"/>
      <c r="F151" s="1290" t="e">
        <f>SUM(F148:F150)</f>
        <v>#REF!</v>
      </c>
      <c r="G151" s="1284" t="e">
        <f>SUM(G148:G150)</f>
        <v>#REF!</v>
      </c>
      <c r="H151" s="1284" t="e">
        <f>SUM(H148:H150)</f>
        <v>#REF!</v>
      </c>
      <c r="I151" s="1481" t="e">
        <f>SUM(I148:I150)</f>
        <v>#REF!</v>
      </c>
      <c r="J151" s="1244" t="e">
        <f>SUM(J148:J150)</f>
        <v>#REF!</v>
      </c>
      <c r="K151" s="1245" t="e">
        <f>SUM(K148:K150)</f>
        <v>#REF!</v>
      </c>
      <c r="L151" s="1245" t="e">
        <f>SUM(L148:L150)</f>
        <v>#REF!</v>
      </c>
      <c r="M151" s="1245" t="e">
        <f>SUM(M148:M150)</f>
        <v>#REF!</v>
      </c>
      <c r="N151" s="1245" t="e">
        <f>SUM(N148:N150)</f>
        <v>#REF!</v>
      </c>
    </row>
    <row r="152" spans="2:14">
      <c r="B152" s="1215"/>
      <c r="C152" s="1215"/>
      <c r="D152" s="1216"/>
      <c r="E152" s="1284"/>
      <c r="F152" s="1290"/>
      <c r="G152" s="1284"/>
      <c r="H152" s="1284"/>
      <c r="I152" s="1482"/>
      <c r="J152" s="1390"/>
      <c r="K152" s="1391"/>
      <c r="L152" s="1391"/>
      <c r="M152" s="1391"/>
      <c r="N152" s="1391"/>
    </row>
    <row r="153" spans="2:14">
      <c r="B153" s="1321"/>
      <c r="C153" s="1321"/>
      <c r="D153" s="1283"/>
      <c r="E153" s="1284"/>
      <c r="F153" s="1290"/>
      <c r="G153" s="1284"/>
      <c r="H153" s="1284"/>
      <c r="I153" s="1482"/>
      <c r="J153" s="1390"/>
      <c r="K153" s="1391"/>
      <c r="L153" s="1391"/>
      <c r="M153" s="1391"/>
      <c r="N153" s="1391"/>
    </row>
    <row r="154" spans="2:14">
      <c r="B154" s="1402" t="s">
        <v>1029</v>
      </c>
      <c r="C154" s="1402"/>
      <c r="D154" s="1216"/>
      <c r="E154" s="1284"/>
      <c r="F154" s="1290"/>
      <c r="G154" s="1284"/>
      <c r="H154" s="1284"/>
      <c r="I154" s="1482"/>
      <c r="J154" s="1390"/>
      <c r="K154" s="1391"/>
      <c r="L154" s="1391"/>
      <c r="M154" s="1391"/>
      <c r="N154" s="1391"/>
    </row>
    <row r="155" spans="2:14">
      <c r="B155" s="1360" t="s">
        <v>1030</v>
      </c>
      <c r="C155" s="1360"/>
      <c r="D155" s="1216"/>
      <c r="E155" s="1284"/>
      <c r="F155" s="1290" t="e">
        <f>$E$313*F145</f>
        <v>#REF!</v>
      </c>
      <c r="G155" s="1361" t="e">
        <f>$E$313*G145</f>
        <v>#REF!</v>
      </c>
      <c r="H155" s="1361" t="e">
        <f>$E$313*H145</f>
        <v>#REF!</v>
      </c>
      <c r="I155" s="1481" t="e">
        <f>$E$313*I145</f>
        <v>#REF!</v>
      </c>
      <c r="J155" s="1244" t="e">
        <f>$E$313*J145</f>
        <v>#REF!</v>
      </c>
      <c r="K155" s="1245" t="e">
        <f>$E$313*K145</f>
        <v>#REF!</v>
      </c>
      <c r="L155" s="1245" t="e">
        <f>$E$313*L145</f>
        <v>#REF!</v>
      </c>
      <c r="M155" s="1245" t="e">
        <f>$E$313*M145</f>
        <v>#REF!</v>
      </c>
      <c r="N155" s="1245" t="e">
        <f>$E$313*N145</f>
        <v>#REF!</v>
      </c>
    </row>
    <row r="156" spans="2:14">
      <c r="B156" s="1360" t="s">
        <v>1031</v>
      </c>
      <c r="C156" s="1360"/>
      <c r="D156" s="1216"/>
      <c r="E156" s="1284"/>
      <c r="F156" s="1290" t="e">
        <f>F157-F155</f>
        <v>#REF!</v>
      </c>
      <c r="G156" s="1284" t="e">
        <f>G157-G155</f>
        <v>#REF!</v>
      </c>
      <c r="H156" s="1284" t="e">
        <f>H157-H155</f>
        <v>#REF!</v>
      </c>
      <c r="I156" s="1482" t="e">
        <f>I157-I155</f>
        <v>#REF!</v>
      </c>
      <c r="J156" s="1244" t="e">
        <f>J157-J155</f>
        <v>#REF!</v>
      </c>
      <c r="K156" s="1245" t="e">
        <f>K157-K155</f>
        <v>#REF!</v>
      </c>
      <c r="L156" s="1245" t="e">
        <f>L157-L155</f>
        <v>#REF!</v>
      </c>
      <c r="M156" s="1245" t="e">
        <f>M157-M155</f>
        <v>#REF!</v>
      </c>
      <c r="N156" s="1245" t="e">
        <f>N157-N155</f>
        <v>#REF!</v>
      </c>
    </row>
    <row r="157" spans="2:14" ht="17.25" thickBot="1">
      <c r="B157" s="1360" t="s">
        <v>1032</v>
      </c>
      <c r="C157" s="1360"/>
      <c r="D157" s="1216"/>
      <c r="E157" s="1284"/>
      <c r="F157" s="1290" t="e">
        <f>MAX($E$313*F137,0)</f>
        <v>#REF!</v>
      </c>
      <c r="G157" s="1284" t="e">
        <f>MAX($E$313*G137,0)</f>
        <v>#REF!</v>
      </c>
      <c r="H157" s="1284" t="e">
        <f>MAX($E$313*H137,0)</f>
        <v>#REF!</v>
      </c>
      <c r="I157" s="1482" t="e">
        <f>MAX($E$313*I137,0)</f>
        <v>#REF!</v>
      </c>
      <c r="J157" s="1362" t="e">
        <f>MAX($E$313*J137,0)</f>
        <v>#REF!</v>
      </c>
      <c r="K157" s="1363" t="e">
        <f>MAX($E$313*K137,0)</f>
        <v>#REF!</v>
      </c>
      <c r="L157" s="1363" t="e">
        <f>MAX($E$313*L137,0)</f>
        <v>#REF!</v>
      </c>
      <c r="M157" s="1363" t="e">
        <f>MAX($E$313*M137,0)</f>
        <v>#REF!</v>
      </c>
      <c r="N157" s="1363" t="e">
        <f>MAX($E$313*N137,0)</f>
        <v>#REF!</v>
      </c>
    </row>
    <row r="158" spans="2:14">
      <c r="B158" s="1220"/>
      <c r="C158" s="1220"/>
      <c r="D158" s="1220"/>
      <c r="E158" s="1222"/>
      <c r="F158" s="1223"/>
      <c r="G158" s="1220"/>
      <c r="H158" s="1220"/>
      <c r="I158" s="1442"/>
      <c r="J158" s="1223"/>
      <c r="K158" s="1220"/>
      <c r="L158" s="1220"/>
      <c r="M158" s="1220"/>
      <c r="N158" s="1220"/>
    </row>
    <row r="159" spans="2:14">
      <c r="B159" s="1404" t="s">
        <v>1899</v>
      </c>
      <c r="C159" s="1220"/>
      <c r="D159" s="1220"/>
      <c r="E159" s="1222"/>
      <c r="F159" s="1223"/>
      <c r="G159" s="1220"/>
      <c r="H159" s="1220"/>
      <c r="I159" s="1442"/>
      <c r="J159" s="1223"/>
      <c r="K159" s="1220"/>
      <c r="L159" s="1220"/>
      <c r="M159" s="1220"/>
      <c r="N159" s="1220"/>
    </row>
    <row r="160" spans="2:14">
      <c r="B160" s="1220"/>
      <c r="C160" s="1220"/>
      <c r="D160" s="1220"/>
      <c r="E160" s="1222"/>
      <c r="F160" s="1223"/>
      <c r="G160" s="1220"/>
      <c r="H160" s="1220"/>
      <c r="I160" s="1442"/>
      <c r="J160" s="1223"/>
      <c r="K160" s="1220"/>
      <c r="L160" s="1220"/>
      <c r="M160" s="1220"/>
      <c r="N160" s="1220"/>
    </row>
    <row r="161" spans="2:14">
      <c r="B161" s="1379" t="s">
        <v>187</v>
      </c>
      <c r="C161" s="1379"/>
      <c r="D161" s="1379"/>
      <c r="E161" s="1430"/>
      <c r="F161" s="1380">
        <f>+F164-F163</f>
        <v>55</v>
      </c>
      <c r="G161" s="1381">
        <f t="shared" ref="G161" si="43">+F164</f>
        <v>50</v>
      </c>
      <c r="H161" s="1381">
        <f t="shared" ref="H161" si="44">+G164</f>
        <v>45</v>
      </c>
      <c r="I161" s="1478">
        <f t="shared" ref="I161" si="45">+H164</f>
        <v>40</v>
      </c>
      <c r="J161" s="1380">
        <f>+J164-J163</f>
        <v>55</v>
      </c>
      <c r="K161" s="1381">
        <f t="shared" ref="K161:N161" si="46">+J164</f>
        <v>50</v>
      </c>
      <c r="L161" s="1381">
        <f t="shared" si="46"/>
        <v>45</v>
      </c>
      <c r="M161" s="1381">
        <f t="shared" si="46"/>
        <v>40</v>
      </c>
      <c r="N161" s="1381">
        <f t="shared" si="46"/>
        <v>35</v>
      </c>
    </row>
    <row r="162" spans="2:14">
      <c r="B162" s="1382" t="s">
        <v>1175</v>
      </c>
      <c r="C162" s="1382"/>
      <c r="D162" s="1382"/>
      <c r="E162" s="1431"/>
      <c r="F162" s="1380">
        <v>0</v>
      </c>
      <c r="G162" s="1381">
        <v>0</v>
      </c>
      <c r="H162" s="1381">
        <v>0</v>
      </c>
      <c r="I162" s="1478">
        <v>0</v>
      </c>
      <c r="J162" s="1380">
        <v>0</v>
      </c>
      <c r="K162" s="1381">
        <v>0</v>
      </c>
      <c r="L162" s="1381">
        <v>0</v>
      </c>
      <c r="M162" s="1381">
        <v>0</v>
      </c>
      <c r="N162" s="1381">
        <v>0</v>
      </c>
    </row>
    <row r="163" spans="2:14">
      <c r="B163" s="1382" t="s">
        <v>1180</v>
      </c>
      <c r="C163" s="1402"/>
      <c r="D163" s="1216"/>
      <c r="E163" s="1284"/>
      <c r="F163" s="1383">
        <f>+G163</f>
        <v>-5</v>
      </c>
      <c r="G163" s="1384">
        <f t="shared" ref="G163:I163" si="47">-G161+G164</f>
        <v>-5</v>
      </c>
      <c r="H163" s="1384">
        <f t="shared" si="47"/>
        <v>-5</v>
      </c>
      <c r="I163" s="1479">
        <f t="shared" si="47"/>
        <v>-5</v>
      </c>
      <c r="J163" s="1383">
        <f>+K163</f>
        <v>-5</v>
      </c>
      <c r="K163" s="1384">
        <f t="shared" ref="K163:N163" si="48">-K161+K164</f>
        <v>-5</v>
      </c>
      <c r="L163" s="1384">
        <f t="shared" si="48"/>
        <v>-5</v>
      </c>
      <c r="M163" s="1384">
        <f t="shared" si="48"/>
        <v>-5</v>
      </c>
      <c r="N163" s="1384">
        <f t="shared" si="48"/>
        <v>-5</v>
      </c>
    </row>
    <row r="164" spans="2:14" ht="17.25" thickBot="1">
      <c r="B164" s="1405" t="s">
        <v>189</v>
      </c>
      <c r="C164" s="1360"/>
      <c r="D164" s="1216"/>
      <c r="E164" s="1284"/>
      <c r="F164" s="1406">
        <v>50</v>
      </c>
      <c r="G164" s="1407">
        <v>45</v>
      </c>
      <c r="H164" s="1407">
        <v>40</v>
      </c>
      <c r="I164" s="1484">
        <v>35</v>
      </c>
      <c r="J164" s="1406">
        <v>50</v>
      </c>
      <c r="K164" s="1407">
        <v>45</v>
      </c>
      <c r="L164" s="1407">
        <v>40</v>
      </c>
      <c r="M164" s="1407">
        <v>35</v>
      </c>
      <c r="N164" s="1407">
        <v>30</v>
      </c>
    </row>
    <row r="165" spans="2:14" ht="17.25" thickTop="1">
      <c r="B165" s="1388"/>
      <c r="C165" s="1360"/>
      <c r="D165" s="1216"/>
      <c r="E165" s="1284"/>
      <c r="F165" s="1290"/>
      <c r="G165" s="1360"/>
      <c r="H165" s="1216"/>
      <c r="I165" s="1464"/>
      <c r="J165" s="1408"/>
      <c r="K165" s="1389"/>
      <c r="L165" s="1389"/>
      <c r="M165" s="1389"/>
      <c r="N165" s="1389"/>
    </row>
    <row r="166" spans="2:14">
      <c r="B166" s="1409" t="s">
        <v>1181</v>
      </c>
      <c r="C166" s="1410"/>
      <c r="D166" s="1411"/>
      <c r="E166" s="1434"/>
      <c r="F166" s="1412"/>
      <c r="G166" s="1410"/>
      <c r="H166" s="1411"/>
      <c r="I166" s="1411"/>
      <c r="J166" s="1413">
        <v>0.06</v>
      </c>
      <c r="K166" s="1389"/>
      <c r="L166" s="1389"/>
      <c r="M166" s="1389"/>
      <c r="N166" s="1389"/>
    </row>
    <row r="167" spans="2:14">
      <c r="B167" s="1382"/>
      <c r="C167" s="1360"/>
      <c r="D167" s="1216"/>
      <c r="E167" s="1284"/>
      <c r="F167" s="1290"/>
      <c r="G167" s="1360"/>
      <c r="H167" s="1216"/>
      <c r="I167" s="1464"/>
      <c r="J167" s="1380"/>
      <c r="K167" s="1381"/>
      <c r="L167" s="1381"/>
      <c r="M167" s="1381"/>
      <c r="N167" s="1381"/>
    </row>
    <row r="168" spans="2:14">
      <c r="B168" s="1409" t="s">
        <v>247</v>
      </c>
      <c r="C168" s="1414"/>
      <c r="D168" s="1411"/>
      <c r="E168" s="1434"/>
      <c r="F168" s="1412"/>
      <c r="G168" s="1414"/>
      <c r="H168" s="1411"/>
      <c r="I168" s="1411"/>
      <c r="J168" s="1411"/>
      <c r="K168" s="1415">
        <f t="shared" ref="J168:N168" si="49">+K161*$C$10</f>
        <v>0</v>
      </c>
      <c r="L168" s="1416">
        <f t="shared" si="49"/>
        <v>0</v>
      </c>
      <c r="M168" s="1416">
        <f t="shared" si="49"/>
        <v>0</v>
      </c>
      <c r="N168" s="1416">
        <f t="shared" si="49"/>
        <v>0</v>
      </c>
    </row>
    <row r="169" spans="2:14">
      <c r="B169" s="1402"/>
      <c r="C169" s="1402"/>
      <c r="D169" s="1402"/>
      <c r="E169" s="1402"/>
      <c r="F169" s="1402"/>
      <c r="G169" s="1402"/>
      <c r="H169" s="1402"/>
      <c r="I169" s="1485"/>
      <c r="J169" s="1347"/>
      <c r="K169" s="1402"/>
      <c r="L169" s="1402"/>
      <c r="M169" s="1402"/>
      <c r="N169" s="1402"/>
    </row>
    <row r="170" spans="2:14">
      <c r="B170" s="1214"/>
      <c r="C170" s="1214"/>
      <c r="D170" s="1214"/>
      <c r="E170" s="1214"/>
      <c r="F170" s="1214"/>
      <c r="G170" s="1214"/>
      <c r="H170" s="1214"/>
      <c r="I170" s="1214"/>
      <c r="J170" s="1214"/>
      <c r="K170" s="1214"/>
      <c r="L170" s="1214"/>
      <c r="M170" s="1214"/>
      <c r="N170" s="1214"/>
    </row>
    <row r="171" spans="2:14">
      <c r="B171" s="668"/>
      <c r="C171" s="668"/>
      <c r="D171" s="668"/>
      <c r="E171" s="668"/>
      <c r="F171" s="668"/>
      <c r="G171" s="668"/>
      <c r="H171" s="668"/>
      <c r="I171" s="668"/>
      <c r="J171" s="668"/>
      <c r="K171" s="668"/>
      <c r="L171" s="668"/>
      <c r="M171" s="668"/>
      <c r="N171" s="668"/>
    </row>
    <row r="172" spans="2:14">
      <c r="B172" s="668"/>
      <c r="C172" s="668"/>
      <c r="D172" s="668"/>
      <c r="E172" s="668"/>
      <c r="F172" s="668"/>
      <c r="G172" s="668"/>
      <c r="H172" s="668"/>
      <c r="I172" s="668"/>
      <c r="J172" s="668"/>
      <c r="K172" s="668"/>
      <c r="L172" s="668"/>
      <c r="M172" s="668"/>
      <c r="N172" s="668"/>
    </row>
    <row r="173" spans="2:14">
      <c r="B173" s="668"/>
      <c r="C173" s="668"/>
      <c r="D173" s="668"/>
      <c r="E173" s="668"/>
      <c r="F173" s="668"/>
      <c r="G173" s="668"/>
      <c r="H173" s="668"/>
      <c r="I173" s="668"/>
      <c r="J173" s="668"/>
      <c r="K173" s="668"/>
      <c r="L173" s="668"/>
      <c r="M173" s="668"/>
      <c r="N173" s="668"/>
    </row>
    <row r="174" spans="2:14">
      <c r="B174" s="668"/>
      <c r="C174" s="668"/>
      <c r="D174" s="668"/>
      <c r="E174" s="668"/>
      <c r="F174" s="668"/>
      <c r="G174" s="668"/>
      <c r="H174" s="668"/>
      <c r="I174" s="668"/>
      <c r="J174" s="668"/>
      <c r="K174" s="668"/>
      <c r="L174" s="668"/>
      <c r="M174" s="668"/>
      <c r="N174" s="668"/>
    </row>
    <row r="175" spans="2:14">
      <c r="B175" s="668"/>
      <c r="C175" s="668"/>
      <c r="D175" s="668"/>
      <c r="E175" s="668"/>
      <c r="F175" s="668"/>
      <c r="G175" s="668"/>
      <c r="H175" s="668"/>
      <c r="I175" s="668"/>
      <c r="J175" s="668"/>
      <c r="K175" s="668"/>
      <c r="L175" s="668"/>
      <c r="M175" s="668"/>
      <c r="N175" s="668"/>
    </row>
    <row r="176" spans="2:14">
      <c r="B176" s="668"/>
      <c r="C176" s="668"/>
      <c r="D176" s="668"/>
      <c r="E176" s="668"/>
      <c r="F176" s="668"/>
      <c r="G176" s="668"/>
      <c r="H176" s="668"/>
      <c r="I176" s="668"/>
      <c r="J176" s="668"/>
      <c r="K176" s="668"/>
      <c r="L176" s="668"/>
      <c r="M176" s="668"/>
      <c r="N176" s="668"/>
    </row>
    <row r="177" spans="2:14">
      <c r="B177" s="668"/>
      <c r="C177" s="668"/>
      <c r="D177" s="668"/>
      <c r="E177" s="668"/>
      <c r="F177" s="668"/>
      <c r="G177" s="668"/>
      <c r="H177" s="668"/>
      <c r="I177" s="668"/>
      <c r="J177" s="668"/>
      <c r="K177" s="668"/>
      <c r="L177" s="668"/>
      <c r="M177" s="668"/>
      <c r="N177" s="668"/>
    </row>
    <row r="178" spans="2:14">
      <c r="B178" s="668"/>
      <c r="C178" s="668"/>
      <c r="D178" s="668"/>
      <c r="E178" s="668"/>
      <c r="F178" s="668"/>
      <c r="G178" s="668"/>
      <c r="H178" s="668"/>
      <c r="I178" s="668"/>
      <c r="J178" s="668"/>
      <c r="K178" s="668"/>
      <c r="L178" s="668"/>
      <c r="M178" s="668"/>
      <c r="N178" s="668"/>
    </row>
    <row r="179" spans="2:14">
      <c r="B179" s="668"/>
      <c r="C179" s="668"/>
      <c r="D179" s="668"/>
      <c r="E179" s="668"/>
      <c r="F179" s="668"/>
      <c r="G179" s="668"/>
      <c r="H179" s="668"/>
      <c r="I179" s="668"/>
      <c r="J179" s="668"/>
      <c r="K179" s="668"/>
      <c r="L179" s="668"/>
      <c r="M179" s="668"/>
      <c r="N179" s="668"/>
    </row>
    <row r="180" spans="2:14">
      <c r="B180" s="668"/>
      <c r="C180" s="668"/>
      <c r="D180" s="668"/>
      <c r="E180" s="668"/>
      <c r="F180" s="668"/>
      <c r="G180" s="668"/>
      <c r="H180" s="668"/>
      <c r="I180" s="668"/>
      <c r="J180" s="668"/>
      <c r="K180" s="668"/>
      <c r="L180" s="668"/>
      <c r="M180" s="668"/>
      <c r="N180" s="668"/>
    </row>
    <row r="181" spans="2:14">
      <c r="B181" s="668"/>
      <c r="C181" s="668"/>
      <c r="D181" s="668"/>
      <c r="E181" s="668"/>
      <c r="F181" s="668"/>
      <c r="G181" s="668"/>
      <c r="H181" s="668"/>
      <c r="I181" s="668"/>
      <c r="J181" s="668"/>
      <c r="K181" s="668"/>
      <c r="L181" s="668"/>
      <c r="M181" s="668"/>
      <c r="N181" s="668"/>
    </row>
    <row r="182" spans="2:14">
      <c r="B182" s="668"/>
      <c r="C182" s="668"/>
      <c r="D182" s="668"/>
      <c r="E182" s="668"/>
      <c r="F182" s="668"/>
      <c r="G182" s="668"/>
      <c r="H182" s="668"/>
      <c r="I182" s="668"/>
      <c r="J182" s="668"/>
      <c r="K182" s="668"/>
      <c r="L182" s="668"/>
      <c r="M182" s="668"/>
      <c r="N182" s="668"/>
    </row>
    <row r="183" spans="2:14">
      <c r="B183" s="668"/>
      <c r="C183" s="668"/>
      <c r="D183" s="668"/>
      <c r="E183" s="668"/>
      <c r="F183" s="668"/>
      <c r="G183" s="668"/>
      <c r="H183" s="668"/>
      <c r="I183" s="668"/>
      <c r="J183" s="668"/>
      <c r="K183" s="668"/>
      <c r="L183" s="668"/>
      <c r="M183" s="668"/>
      <c r="N183" s="668"/>
    </row>
    <row r="184" spans="2:14">
      <c r="B184" s="668"/>
      <c r="C184" s="668"/>
      <c r="D184" s="668"/>
      <c r="E184" s="668"/>
      <c r="F184" s="668"/>
      <c r="G184" s="668"/>
      <c r="H184" s="668"/>
      <c r="I184" s="668"/>
      <c r="J184" s="668"/>
      <c r="K184" s="668"/>
      <c r="L184" s="668"/>
      <c r="M184" s="668"/>
      <c r="N184" s="668"/>
    </row>
    <row r="185" spans="2:14">
      <c r="B185" s="668"/>
      <c r="C185" s="668"/>
      <c r="D185" s="668"/>
      <c r="E185" s="668"/>
      <c r="F185" s="668"/>
      <c r="G185" s="668"/>
      <c r="H185" s="668"/>
      <c r="I185" s="668"/>
      <c r="J185" s="668"/>
      <c r="K185" s="668"/>
      <c r="L185" s="668"/>
      <c r="M185" s="668"/>
      <c r="N185" s="668"/>
    </row>
    <row r="186" spans="2:14">
      <c r="B186" s="668"/>
      <c r="C186" s="668"/>
      <c r="D186" s="668"/>
      <c r="E186" s="668"/>
      <c r="F186" s="668"/>
      <c r="G186" s="668"/>
      <c r="H186" s="668"/>
      <c r="I186" s="668"/>
      <c r="J186" s="668"/>
      <c r="K186" s="668"/>
      <c r="L186" s="668"/>
      <c r="M186" s="668"/>
      <c r="N186" s="668"/>
    </row>
    <row r="187" spans="2:14">
      <c r="B187" s="668"/>
      <c r="C187" s="668"/>
      <c r="D187" s="668"/>
      <c r="E187" s="668"/>
      <c r="F187" s="668"/>
      <c r="G187" s="668"/>
      <c r="H187" s="668"/>
      <c r="I187" s="668"/>
      <c r="J187" s="668"/>
      <c r="K187" s="668"/>
      <c r="L187" s="668"/>
      <c r="M187" s="668"/>
      <c r="N187" s="668"/>
    </row>
    <row r="188" spans="2:14">
      <c r="B188" s="668"/>
      <c r="C188" s="668"/>
      <c r="D188" s="668"/>
      <c r="E188" s="668"/>
      <c r="F188" s="668"/>
      <c r="G188" s="668"/>
      <c r="H188" s="668"/>
      <c r="I188" s="668"/>
      <c r="J188" s="668"/>
      <c r="K188" s="668"/>
      <c r="L188" s="668"/>
      <c r="M188" s="668"/>
      <c r="N188" s="668"/>
    </row>
    <row r="189" spans="2:14">
      <c r="B189" s="668"/>
      <c r="C189" s="668"/>
      <c r="D189" s="668"/>
      <c r="E189" s="668"/>
      <c r="F189" s="668"/>
      <c r="G189" s="668"/>
      <c r="H189" s="668"/>
      <c r="I189" s="668"/>
      <c r="J189" s="668"/>
      <c r="K189" s="668"/>
      <c r="L189" s="668"/>
      <c r="M189" s="668"/>
      <c r="N189" s="668"/>
    </row>
    <row r="190" spans="2:14">
      <c r="B190" s="668"/>
      <c r="C190" s="668"/>
      <c r="D190" s="668"/>
      <c r="E190" s="668"/>
      <c r="F190" s="668"/>
      <c r="G190" s="668"/>
      <c r="H190" s="668"/>
      <c r="I190" s="668"/>
      <c r="J190" s="668"/>
      <c r="K190" s="668"/>
      <c r="L190" s="668"/>
      <c r="M190" s="668"/>
      <c r="N190" s="668"/>
    </row>
    <row r="191" spans="2:14">
      <c r="B191" s="668"/>
      <c r="C191" s="668"/>
      <c r="D191" s="668"/>
      <c r="E191" s="668"/>
      <c r="F191" s="668"/>
      <c r="G191" s="668"/>
      <c r="H191" s="668"/>
      <c r="I191" s="668"/>
      <c r="J191" s="668"/>
      <c r="K191" s="668"/>
      <c r="L191" s="668"/>
      <c r="M191" s="668"/>
      <c r="N191" s="668"/>
    </row>
    <row r="192" spans="2:14">
      <c r="B192" s="668"/>
      <c r="C192" s="668"/>
      <c r="D192" s="668"/>
      <c r="E192" s="668"/>
      <c r="F192" s="668"/>
      <c r="G192" s="668"/>
      <c r="H192" s="668"/>
      <c r="I192" s="668"/>
      <c r="J192" s="668"/>
      <c r="K192" s="668"/>
      <c r="L192" s="668"/>
      <c r="M192" s="668"/>
      <c r="N192" s="668"/>
    </row>
    <row r="193" spans="2:14">
      <c r="B193" s="668"/>
      <c r="C193" s="668"/>
      <c r="D193" s="668"/>
      <c r="E193" s="668"/>
      <c r="F193" s="668"/>
      <c r="G193" s="668"/>
      <c r="H193" s="668"/>
      <c r="I193" s="668"/>
      <c r="J193" s="668"/>
      <c r="K193" s="668"/>
      <c r="L193" s="668"/>
      <c r="M193" s="668"/>
      <c r="N193" s="668"/>
    </row>
    <row r="194" spans="2:14">
      <c r="B194" s="668"/>
      <c r="C194" s="668"/>
      <c r="D194" s="668"/>
      <c r="E194" s="668"/>
      <c r="F194" s="668"/>
      <c r="G194" s="668"/>
      <c r="H194" s="668"/>
      <c r="I194" s="668"/>
      <c r="J194" s="668"/>
      <c r="K194" s="668"/>
      <c r="L194" s="668"/>
      <c r="M194" s="668"/>
      <c r="N194" s="668"/>
    </row>
    <row r="195" spans="2:14">
      <c r="B195" s="668"/>
      <c r="C195" s="668"/>
      <c r="D195" s="668"/>
      <c r="E195" s="668"/>
      <c r="F195" s="668"/>
      <c r="G195" s="668"/>
      <c r="H195" s="668"/>
      <c r="I195" s="668"/>
      <c r="J195" s="668"/>
      <c r="K195" s="668"/>
      <c r="L195" s="668"/>
      <c r="M195" s="668"/>
      <c r="N195" s="668"/>
    </row>
    <row r="196" spans="2:14">
      <c r="B196" s="668"/>
      <c r="C196" s="668"/>
      <c r="D196" s="668"/>
      <c r="E196" s="668"/>
      <c r="F196" s="668"/>
      <c r="G196" s="668"/>
      <c r="H196" s="668"/>
      <c r="I196" s="668"/>
      <c r="J196" s="668"/>
      <c r="K196" s="668"/>
      <c r="L196" s="668"/>
      <c r="M196" s="668"/>
      <c r="N196" s="668"/>
    </row>
    <row r="197" spans="2:14">
      <c r="B197" s="668"/>
      <c r="C197" s="668"/>
      <c r="D197" s="668"/>
      <c r="E197" s="668"/>
      <c r="F197" s="668"/>
      <c r="G197" s="668"/>
      <c r="H197" s="668"/>
      <c r="I197" s="668"/>
      <c r="J197" s="668"/>
      <c r="K197" s="668"/>
      <c r="L197" s="668"/>
      <c r="M197" s="668"/>
      <c r="N197" s="668"/>
    </row>
    <row r="198" spans="2:14">
      <c r="B198" s="668"/>
      <c r="C198" s="668"/>
      <c r="D198" s="668"/>
      <c r="E198" s="668"/>
      <c r="F198" s="668"/>
      <c r="G198" s="668"/>
      <c r="H198" s="668"/>
      <c r="I198" s="668"/>
      <c r="J198" s="668"/>
      <c r="K198" s="668"/>
      <c r="L198" s="668"/>
      <c r="M198" s="668"/>
      <c r="N198" s="668"/>
    </row>
  </sheetData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1B90A-99EA-4702-BB73-A2F22D6F024C}">
  <dimension ref="A1:D79"/>
  <sheetViews>
    <sheetView workbookViewId="0">
      <selection activeCell="C17" sqref="C17"/>
    </sheetView>
  </sheetViews>
  <sheetFormatPr defaultRowHeight="16.5"/>
  <cols>
    <col min="1" max="1" width="35" bestFit="1" customWidth="1"/>
    <col min="2" max="2" width="29" bestFit="1" customWidth="1"/>
    <col min="3" max="4" width="15.5703125" bestFit="1" customWidth="1"/>
  </cols>
  <sheetData>
    <row r="1" spans="1:4">
      <c r="A1" s="1060" t="s">
        <v>2203</v>
      </c>
    </row>
    <row r="2" spans="1:4">
      <c r="A2" s="1060" t="s">
        <v>2141</v>
      </c>
      <c r="B2" s="1057"/>
      <c r="C2" s="1632">
        <v>2020</v>
      </c>
      <c r="D2" s="1632">
        <v>2021</v>
      </c>
    </row>
    <row r="3" spans="1:4">
      <c r="A3" s="1057"/>
      <c r="B3" s="1633" t="s">
        <v>2142</v>
      </c>
      <c r="C3" s="1634">
        <v>191984000000</v>
      </c>
      <c r="D3" s="1634">
        <v>195782000000</v>
      </c>
    </row>
    <row r="4" spans="1:4" ht="25.5">
      <c r="A4" s="1057"/>
      <c r="B4" s="1633" t="s">
        <v>2143</v>
      </c>
      <c r="C4" s="1634">
        <v>42046000000</v>
      </c>
      <c r="D4" s="1634">
        <v>48703000000</v>
      </c>
    </row>
    <row r="5" spans="1:4" ht="25.5">
      <c r="A5" s="1057"/>
      <c r="B5" s="1633" t="s">
        <v>2144</v>
      </c>
      <c r="C5" s="1634">
        <v>28086000000</v>
      </c>
      <c r="D5" s="1634">
        <v>15711000000</v>
      </c>
    </row>
    <row r="6" spans="1:4" ht="25.5">
      <c r="A6" s="1057"/>
      <c r="B6" s="1633" t="s">
        <v>2145</v>
      </c>
      <c r="C6" s="1634">
        <v>0</v>
      </c>
      <c r="D6" s="1634">
        <v>0</v>
      </c>
    </row>
    <row r="7" spans="1:4" ht="25.5">
      <c r="A7" s="1057"/>
      <c r="B7" s="1633" t="s">
        <v>2146</v>
      </c>
      <c r="C7" s="1634">
        <v>0</v>
      </c>
      <c r="D7" s="1634">
        <v>0</v>
      </c>
    </row>
    <row r="8" spans="1:4" ht="37.5">
      <c r="A8" s="1057"/>
      <c r="B8" s="1633" t="s">
        <v>2147</v>
      </c>
      <c r="C8" s="1634">
        <v>960000000</v>
      </c>
      <c r="D8" s="1634">
        <v>952000000</v>
      </c>
    </row>
    <row r="9" spans="1:4">
      <c r="A9" s="1057"/>
      <c r="B9" s="1633" t="s">
        <v>2148</v>
      </c>
      <c r="C9" s="1634">
        <v>1816000000</v>
      </c>
      <c r="D9" s="1634">
        <v>1825000000</v>
      </c>
    </row>
    <row r="10" spans="1:4">
      <c r="A10" s="1057"/>
      <c r="B10" s="1633" t="s">
        <v>2149</v>
      </c>
      <c r="C10" s="1634">
        <v>72842000000</v>
      </c>
      <c r="D10" s="1634">
        <v>72117000000</v>
      </c>
    </row>
    <row r="11" spans="1:4">
      <c r="A11" s="1057"/>
      <c r="B11" s="1633" t="s">
        <v>2150</v>
      </c>
      <c r="C11" s="1634">
        <v>17131000000</v>
      </c>
      <c r="D11" s="1634">
        <v>21941000000</v>
      </c>
    </row>
    <row r="12" spans="1:4" ht="25.5">
      <c r="A12" s="1057"/>
      <c r="B12" s="1633" t="s">
        <v>2151</v>
      </c>
      <c r="C12" s="1634">
        <v>94000000</v>
      </c>
      <c r="D12" s="1634">
        <v>145000000</v>
      </c>
    </row>
    <row r="13" spans="1:4" ht="25.5">
      <c r="A13" s="1057"/>
      <c r="B13" s="1633" t="s">
        <v>2152</v>
      </c>
      <c r="C13" s="1634">
        <v>2924000000</v>
      </c>
      <c r="D13" s="1634">
        <v>3475000000</v>
      </c>
    </row>
    <row r="14" spans="1:4" ht="25.5">
      <c r="A14" s="1057"/>
      <c r="B14" s="1633" t="s">
        <v>2153</v>
      </c>
      <c r="C14" s="1634">
        <v>0</v>
      </c>
      <c r="D14" s="1634">
        <v>0</v>
      </c>
    </row>
    <row r="15" spans="1:4" ht="37.5">
      <c r="A15" s="1057"/>
      <c r="B15" s="1633" t="s">
        <v>2154</v>
      </c>
      <c r="C15" s="1634">
        <v>0</v>
      </c>
      <c r="D15" s="1634">
        <v>0</v>
      </c>
    </row>
    <row r="16" spans="1:4" ht="25.5">
      <c r="A16" s="1057"/>
      <c r="B16" s="1633" t="s">
        <v>2155</v>
      </c>
      <c r="C16" s="1634">
        <v>0</v>
      </c>
      <c r="D16" s="1634">
        <v>0</v>
      </c>
    </row>
    <row r="17" spans="1:4" ht="25.5">
      <c r="A17" s="1057"/>
      <c r="B17" s="1633" t="s">
        <v>2156</v>
      </c>
      <c r="C17" s="1634">
        <v>0</v>
      </c>
      <c r="D17" s="1634">
        <v>0</v>
      </c>
    </row>
    <row r="18" spans="1:4" ht="25.5">
      <c r="A18" s="1057"/>
      <c r="B18" s="1633" t="s">
        <v>2157</v>
      </c>
      <c r="C18" s="1634">
        <v>3218000000</v>
      </c>
      <c r="D18" s="1634">
        <v>3003000000</v>
      </c>
    </row>
    <row r="19" spans="1:4">
      <c r="A19" s="1057"/>
      <c r="B19" s="1635" t="s">
        <v>2158</v>
      </c>
      <c r="C19" s="1636">
        <f t="shared" ref="C19:D19" si="0">SUM(C4:C9,C11:C18)</f>
        <v>96275000000</v>
      </c>
      <c r="D19" s="1636">
        <f t="shared" si="0"/>
        <v>95755000000</v>
      </c>
    </row>
    <row r="20" spans="1:4">
      <c r="A20" s="1525" t="s">
        <v>2159</v>
      </c>
      <c r="B20" s="1637"/>
      <c r="C20" s="1638">
        <f t="shared" ref="C20:D20" si="1">SUM(C3:C18)</f>
        <v>361101000000</v>
      </c>
      <c r="D20" s="1638">
        <f t="shared" si="1"/>
        <v>363654000000</v>
      </c>
    </row>
    <row r="21" spans="1:4">
      <c r="A21" s="1057"/>
      <c r="B21" s="1057"/>
      <c r="C21" s="1634"/>
      <c r="D21" s="1634"/>
    </row>
    <row r="22" spans="1:4">
      <c r="A22" s="1060" t="s">
        <v>313</v>
      </c>
      <c r="B22" s="1057"/>
      <c r="C22" s="1634"/>
      <c r="D22" s="1634"/>
    </row>
    <row r="23" spans="1:4">
      <c r="A23" s="1057"/>
      <c r="B23" s="1633" t="s">
        <v>2015</v>
      </c>
      <c r="C23" s="1634">
        <v>26659000000</v>
      </c>
      <c r="D23" s="1634">
        <v>46455000000</v>
      </c>
    </row>
    <row r="24" spans="1:4">
      <c r="A24" s="1057"/>
      <c r="B24" s="1633" t="s">
        <v>2160</v>
      </c>
      <c r="C24" s="1634">
        <v>643000000</v>
      </c>
      <c r="D24" s="1634">
        <v>1429000000</v>
      </c>
    </row>
    <row r="25" spans="1:4">
      <c r="A25" s="1057"/>
      <c r="B25" s="1633" t="s">
        <v>2161</v>
      </c>
      <c r="C25" s="1634">
        <v>29151000000</v>
      </c>
      <c r="D25" s="1634">
        <v>24898000000</v>
      </c>
    </row>
    <row r="26" spans="1:4">
      <c r="A26" s="1057"/>
      <c r="B26" s="1633" t="s">
        <v>2162</v>
      </c>
      <c r="C26" s="1634">
        <v>3706000000</v>
      </c>
      <c r="D26" s="1634">
        <v>4614000000</v>
      </c>
    </row>
    <row r="27" spans="1:4">
      <c r="A27" s="1057"/>
      <c r="B27" s="1633" t="s">
        <v>2163</v>
      </c>
      <c r="C27" s="1634">
        <v>0</v>
      </c>
      <c r="D27" s="1634">
        <v>0</v>
      </c>
    </row>
    <row r="28" spans="1:4" ht="25.5">
      <c r="A28" s="1057"/>
      <c r="B28" s="1633" t="s">
        <v>2164</v>
      </c>
      <c r="C28" s="1634">
        <v>2000000</v>
      </c>
      <c r="D28" s="1634">
        <v>26000000</v>
      </c>
    </row>
    <row r="29" spans="1:4" ht="37.5">
      <c r="A29" s="1057"/>
      <c r="B29" s="1633" t="s">
        <v>2165</v>
      </c>
      <c r="C29" s="1634">
        <v>295000000</v>
      </c>
      <c r="D29" s="1634">
        <v>51000000</v>
      </c>
    </row>
    <row r="30" spans="1:4">
      <c r="A30" s="1057"/>
      <c r="B30" s="1633" t="s">
        <v>2166</v>
      </c>
      <c r="C30" s="1634">
        <v>6406000000</v>
      </c>
      <c r="D30" s="1634">
        <v>5798000000</v>
      </c>
    </row>
    <row r="31" spans="1:4" ht="37.5">
      <c r="A31" s="1057"/>
      <c r="B31" s="1633" t="s">
        <v>2167</v>
      </c>
      <c r="C31" s="1634">
        <v>0</v>
      </c>
      <c r="D31" s="1634">
        <v>0</v>
      </c>
    </row>
    <row r="32" spans="1:4" ht="25.5">
      <c r="A32" s="1057"/>
      <c r="B32" s="1633" t="s">
        <v>2168</v>
      </c>
      <c r="C32" s="1634">
        <v>0</v>
      </c>
      <c r="D32" s="1634">
        <v>0</v>
      </c>
    </row>
    <row r="33" spans="1:4" ht="25.5">
      <c r="A33" s="1057"/>
      <c r="B33" s="1633" t="s">
        <v>2169</v>
      </c>
      <c r="C33" s="1634">
        <v>0</v>
      </c>
      <c r="D33" s="1634">
        <v>0</v>
      </c>
    </row>
    <row r="34" spans="1:4" ht="25.5">
      <c r="A34" s="1057"/>
      <c r="B34" s="1633" t="s">
        <v>2170</v>
      </c>
      <c r="C34" s="1634">
        <v>8332000000</v>
      </c>
      <c r="D34" s="1634">
        <v>8170000000</v>
      </c>
    </row>
    <row r="35" spans="1:4">
      <c r="A35" s="1057"/>
      <c r="B35" s="1635" t="s">
        <v>1984</v>
      </c>
      <c r="C35" s="1636">
        <f t="shared" ref="C35:D35" si="2">SUM(C24,C27:C29,C31:C34)</f>
        <v>9272000000</v>
      </c>
      <c r="D35" s="1636">
        <f t="shared" si="2"/>
        <v>9676000000</v>
      </c>
    </row>
    <row r="36" spans="1:4">
      <c r="A36" s="1525" t="s">
        <v>1277</v>
      </c>
      <c r="B36" s="1639"/>
      <c r="C36" s="1638">
        <f t="shared" ref="C36:D36" si="3">SUM(C23:C34)</f>
        <v>75194000000</v>
      </c>
      <c r="D36" s="1638">
        <f t="shared" si="3"/>
        <v>91441000000</v>
      </c>
    </row>
    <row r="37" spans="1:4">
      <c r="A37" s="1525" t="s">
        <v>308</v>
      </c>
      <c r="B37" s="1639"/>
      <c r="C37" s="1638">
        <f t="shared" ref="C37:D37" si="4">C20+C36</f>
        <v>436295000000</v>
      </c>
      <c r="D37" s="1638">
        <f t="shared" si="4"/>
        <v>455095000000</v>
      </c>
    </row>
    <row r="38" spans="1:4">
      <c r="A38" s="1057"/>
      <c r="B38" s="1633"/>
      <c r="C38" s="1634"/>
      <c r="D38" s="1634"/>
    </row>
    <row r="39" spans="1:4">
      <c r="A39" s="1060" t="s">
        <v>2171</v>
      </c>
      <c r="B39" s="1633"/>
      <c r="C39" s="1634"/>
      <c r="D39" s="1634"/>
    </row>
    <row r="40" spans="1:4">
      <c r="A40" s="1060" t="s">
        <v>658</v>
      </c>
      <c r="B40" s="1633"/>
      <c r="C40" s="1634"/>
      <c r="D40" s="1634"/>
    </row>
    <row r="41" spans="1:4">
      <c r="A41" s="1057"/>
      <c r="B41" s="1633" t="s">
        <v>2172</v>
      </c>
      <c r="C41" s="1634">
        <v>360000000</v>
      </c>
      <c r="D41" s="1634">
        <v>360000000</v>
      </c>
    </row>
    <row r="42" spans="1:4">
      <c r="A42" s="1057"/>
      <c r="B42" s="1633" t="s">
        <v>2173</v>
      </c>
      <c r="C42" s="1634">
        <v>150000000</v>
      </c>
      <c r="D42" s="1634">
        <v>150000000</v>
      </c>
    </row>
    <row r="43" spans="1:4">
      <c r="A43" s="1057"/>
      <c r="B43" s="1635" t="s">
        <v>2057</v>
      </c>
      <c r="C43" s="1636">
        <f>SUM(C41:C42)</f>
        <v>510000000</v>
      </c>
      <c r="D43" s="1636">
        <f t="shared" ref="D43" si="5">SUM(D41:D42)</f>
        <v>510000000</v>
      </c>
    </row>
    <row r="44" spans="1:4">
      <c r="A44" s="1057"/>
      <c r="B44" s="1633" t="s">
        <v>2174</v>
      </c>
      <c r="C44" s="1634">
        <v>1093000000</v>
      </c>
      <c r="D44" s="1634">
        <v>1093000000</v>
      </c>
    </row>
    <row r="45" spans="1:4">
      <c r="A45" s="1057"/>
      <c r="B45" s="1633" t="s">
        <v>2175</v>
      </c>
      <c r="C45" s="1634"/>
      <c r="D45" s="1634"/>
    </row>
    <row r="46" spans="1:4">
      <c r="A46" s="1057"/>
      <c r="B46" s="1633" t="s">
        <v>2176</v>
      </c>
      <c r="C46" s="1634">
        <v>-6505000000</v>
      </c>
      <c r="D46" s="1634">
        <v>-6505000000</v>
      </c>
    </row>
    <row r="47" spans="1:4" ht="25.5">
      <c r="A47" s="1057"/>
      <c r="B47" s="1633" t="s">
        <v>2177</v>
      </c>
      <c r="C47" s="1634">
        <v>0</v>
      </c>
      <c r="D47" s="1634">
        <v>0</v>
      </c>
    </row>
    <row r="48" spans="1:4">
      <c r="A48" s="1057"/>
      <c r="B48" s="1633" t="s">
        <v>2178</v>
      </c>
      <c r="C48" s="1634">
        <v>130521000000</v>
      </c>
      <c r="D48" s="1634">
        <v>130517000000</v>
      </c>
    </row>
    <row r="49" spans="1:4">
      <c r="A49" s="1057"/>
      <c r="B49" s="1633" t="s">
        <v>2179</v>
      </c>
      <c r="C49" s="1634">
        <v>0</v>
      </c>
      <c r="D49" s="1634">
        <v>0</v>
      </c>
    </row>
    <row r="50" spans="1:4">
      <c r="A50" s="1057"/>
      <c r="B50" s="1633" t="s">
        <v>2180</v>
      </c>
      <c r="C50" s="1634">
        <v>17030000000</v>
      </c>
      <c r="D50" s="1634">
        <v>6195000000</v>
      </c>
    </row>
    <row r="51" spans="1:4">
      <c r="A51" s="1057"/>
      <c r="B51" s="1633" t="s">
        <v>2181</v>
      </c>
      <c r="C51" s="1634">
        <v>-8285000000</v>
      </c>
      <c r="D51" s="1634">
        <v>-18202000000</v>
      </c>
    </row>
    <row r="52" spans="1:4">
      <c r="A52" s="1057"/>
      <c r="B52" s="1635" t="s">
        <v>2182</v>
      </c>
      <c r="C52" s="1636">
        <f>SUM(C44:C51)</f>
        <v>133854000000</v>
      </c>
      <c r="D52" s="1636">
        <f t="shared" ref="D52" si="6">SUM(D44:D51)</f>
        <v>113098000000</v>
      </c>
    </row>
    <row r="53" spans="1:4">
      <c r="A53" s="1525" t="s">
        <v>2183</v>
      </c>
      <c r="B53" s="1639"/>
      <c r="C53" s="1638">
        <f>SUM(C43:C51)</f>
        <v>134364000000</v>
      </c>
      <c r="D53" s="1638">
        <f t="shared" ref="D53" si="7">SUM(D43:D51)</f>
        <v>113608000000</v>
      </c>
    </row>
    <row r="54" spans="1:4">
      <c r="A54" s="1057"/>
      <c r="B54" s="1633" t="s">
        <v>2184</v>
      </c>
      <c r="C54" s="1634">
        <v>304000000</v>
      </c>
      <c r="D54" s="1634">
        <v>290000000</v>
      </c>
    </row>
    <row r="55" spans="1:4">
      <c r="A55" s="1525" t="s">
        <v>459</v>
      </c>
      <c r="B55" s="1639"/>
      <c r="C55" s="1638">
        <f t="shared" ref="C55:D55" si="8">C53+C54</f>
        <v>134668000000</v>
      </c>
      <c r="D55" s="1638">
        <f t="shared" si="8"/>
        <v>113898000000</v>
      </c>
    </row>
    <row r="56" spans="1:4">
      <c r="A56" s="1057"/>
      <c r="B56" s="1633"/>
      <c r="C56" s="1634"/>
      <c r="D56" s="1634"/>
    </row>
    <row r="57" spans="1:4">
      <c r="A57" s="1060" t="s">
        <v>2185</v>
      </c>
      <c r="B57" s="1633"/>
      <c r="C57" s="1634"/>
      <c r="D57" s="1634"/>
    </row>
    <row r="58" spans="1:4" ht="25.5">
      <c r="A58" s="1057"/>
      <c r="B58" s="1633" t="s">
        <v>2186</v>
      </c>
      <c r="C58" s="1634">
        <v>115400000000</v>
      </c>
      <c r="D58" s="1634">
        <v>143982000000</v>
      </c>
    </row>
    <row r="59" spans="1:4">
      <c r="A59" s="1057"/>
      <c r="B59" s="1633" t="s">
        <v>2187</v>
      </c>
      <c r="C59" s="1634">
        <v>4427000000</v>
      </c>
      <c r="D59" s="1634">
        <v>3704000000</v>
      </c>
    </row>
    <row r="60" spans="1:4" ht="25.5">
      <c r="A60" s="1057"/>
      <c r="B60" s="1633" t="s">
        <v>2188</v>
      </c>
      <c r="C60" s="1634">
        <v>1460000000</v>
      </c>
      <c r="D60" s="1634">
        <v>736000000</v>
      </c>
    </row>
    <row r="61" spans="1:4">
      <c r="A61" s="1057"/>
      <c r="B61" s="1633" t="s">
        <v>2189</v>
      </c>
      <c r="C61" s="1634">
        <v>2438000000</v>
      </c>
      <c r="D61" s="1634">
        <v>2430000000</v>
      </c>
    </row>
    <row r="62" spans="1:4" ht="25.5">
      <c r="A62" s="1057"/>
      <c r="B62" s="1633" t="s">
        <v>2190</v>
      </c>
      <c r="C62" s="1634">
        <v>13131000000</v>
      </c>
      <c r="D62" s="1634">
        <v>10197000000</v>
      </c>
    </row>
    <row r="63" spans="1:4" ht="25.5">
      <c r="A63" s="1057"/>
      <c r="B63" s="1633" t="s">
        <v>2191</v>
      </c>
      <c r="C63" s="1634">
        <v>21924000000</v>
      </c>
      <c r="D63" s="1634">
        <v>21482000000</v>
      </c>
    </row>
    <row r="64" spans="1:4">
      <c r="A64" s="1057"/>
      <c r="B64" s="1635" t="s">
        <v>2192</v>
      </c>
      <c r="C64" s="1636">
        <f t="shared" ref="C64:D64" si="9">SUM(C59:C61,C63)</f>
        <v>30249000000</v>
      </c>
      <c r="D64" s="1636">
        <f t="shared" si="9"/>
        <v>28352000000</v>
      </c>
    </row>
    <row r="65" spans="1:4">
      <c r="A65" s="1525" t="s">
        <v>2193</v>
      </c>
      <c r="B65" s="1639"/>
      <c r="C65" s="1638">
        <f t="shared" ref="C65:D65" si="10">SUM(C58:C63)</f>
        <v>158780000000</v>
      </c>
      <c r="D65" s="1638">
        <f t="shared" si="10"/>
        <v>182531000000</v>
      </c>
    </row>
    <row r="66" spans="1:4">
      <c r="A66" s="1057"/>
      <c r="B66" s="1633"/>
      <c r="C66" s="1634"/>
      <c r="D66" s="1634"/>
    </row>
    <row r="67" spans="1:4">
      <c r="A67" s="1060" t="s">
        <v>2194</v>
      </c>
      <c r="B67" s="1633"/>
      <c r="C67" s="1634"/>
      <c r="D67" s="1634"/>
    </row>
    <row r="68" spans="1:4">
      <c r="A68" s="1057"/>
      <c r="B68" s="1633" t="s">
        <v>1903</v>
      </c>
      <c r="C68" s="1634">
        <v>40923000000</v>
      </c>
      <c r="D68" s="1634">
        <v>52679000000</v>
      </c>
    </row>
    <row r="69" spans="1:4" ht="25.5">
      <c r="A69" s="1057"/>
      <c r="B69" s="1633" t="s">
        <v>2195</v>
      </c>
      <c r="C69" s="1634">
        <v>82678000000</v>
      </c>
      <c r="D69" s="1634">
        <v>84286000000</v>
      </c>
    </row>
    <row r="70" spans="1:4" ht="25.5">
      <c r="A70" s="1057"/>
      <c r="B70" s="1633" t="s">
        <v>2196</v>
      </c>
      <c r="C70" s="1634">
        <v>14729000000</v>
      </c>
      <c r="D70" s="1634">
        <v>16911000000</v>
      </c>
    </row>
    <row r="71" spans="1:4" ht="25.5">
      <c r="A71" s="1057"/>
      <c r="B71" s="1633" t="s">
        <v>2197</v>
      </c>
      <c r="C71" s="1634">
        <v>897000000</v>
      </c>
      <c r="D71" s="1634">
        <v>897000000</v>
      </c>
    </row>
    <row r="72" spans="1:4">
      <c r="A72" s="1057"/>
      <c r="B72" s="1633" t="s">
        <v>2198</v>
      </c>
      <c r="C72" s="1634">
        <v>1070000000</v>
      </c>
      <c r="D72" s="1634">
        <v>1461000000</v>
      </c>
    </row>
    <row r="73" spans="1:4" ht="25.5">
      <c r="A73" s="1057"/>
      <c r="B73" s="1633" t="s">
        <v>2199</v>
      </c>
      <c r="C73" s="1634">
        <v>254000000</v>
      </c>
      <c r="D73" s="1634">
        <v>306000000</v>
      </c>
    </row>
    <row r="74" spans="1:4">
      <c r="A74" s="1057"/>
      <c r="B74" s="1633" t="s">
        <v>2200</v>
      </c>
      <c r="C74" s="1634">
        <v>2296000000</v>
      </c>
      <c r="D74" s="1634">
        <v>2126000000</v>
      </c>
    </row>
    <row r="75" spans="1:4">
      <c r="A75" s="1057"/>
      <c r="B75" s="1635" t="s">
        <v>1987</v>
      </c>
      <c r="C75" s="1636">
        <f>SUM(C70:C74)</f>
        <v>19246000000</v>
      </c>
      <c r="D75" s="1636">
        <f t="shared" ref="D75" si="11">SUM(D70:D74)</f>
        <v>21701000000</v>
      </c>
    </row>
    <row r="76" spans="1:4">
      <c r="A76" s="1525" t="s">
        <v>2201</v>
      </c>
      <c r="B76" s="1637"/>
      <c r="C76" s="1638">
        <f t="shared" ref="C76:D76" si="12">SUM(C68:C74)</f>
        <v>142847000000</v>
      </c>
      <c r="D76" s="1638">
        <f t="shared" si="12"/>
        <v>158666000000</v>
      </c>
    </row>
    <row r="77" spans="1:4">
      <c r="A77" s="1060" t="s">
        <v>415</v>
      </c>
      <c r="B77" s="1057"/>
      <c r="C77" s="1640">
        <f t="shared" ref="C77:D77" si="13">C65+C76</f>
        <v>301627000000</v>
      </c>
      <c r="D77" s="1640">
        <f t="shared" si="13"/>
        <v>341197000000</v>
      </c>
    </row>
    <row r="78" spans="1:4">
      <c r="A78" s="1525" t="s">
        <v>2202</v>
      </c>
      <c r="B78" s="1637"/>
      <c r="C78" s="1638">
        <f t="shared" ref="C78:D78" si="14">C77+C55</f>
        <v>436295000000</v>
      </c>
      <c r="D78" s="1638">
        <f t="shared" si="14"/>
        <v>455095000000</v>
      </c>
    </row>
    <row r="79" spans="1:4">
      <c r="A79" s="1057"/>
      <c r="B79" s="1057"/>
      <c r="C79" s="1057" t="b">
        <f>C78=C37</f>
        <v>1</v>
      </c>
      <c r="D79" s="1057" t="b">
        <f>D78=D37</f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K45"/>
  <sheetViews>
    <sheetView workbookViewId="0">
      <selection activeCell="E24" sqref="E24"/>
    </sheetView>
  </sheetViews>
  <sheetFormatPr defaultRowHeight="16.5"/>
  <cols>
    <col min="1" max="1" width="26.85546875" bestFit="1" customWidth="1"/>
    <col min="2" max="11" width="10.7109375" customWidth="1"/>
  </cols>
  <sheetData>
    <row r="2" spans="1:11">
      <c r="B2" s="622" t="s">
        <v>1298</v>
      </c>
      <c r="C2" s="422">
        <f>'Control Panel'!V5</f>
        <v>2020</v>
      </c>
      <c r="D2" s="422">
        <f>'Control Panel'!W5</f>
        <v>2021</v>
      </c>
      <c r="E2" s="422">
        <f>'Control Panel'!X5</f>
        <v>2022</v>
      </c>
      <c r="F2" s="422">
        <f>'Control Panel'!Y5</f>
        <v>2023</v>
      </c>
      <c r="G2" s="422">
        <f>'Control Panel'!Z5</f>
        <v>2024</v>
      </c>
      <c r="H2" s="422">
        <f>'Control Panel'!AA5</f>
        <v>2025</v>
      </c>
      <c r="I2" s="422">
        <f>'Control Panel'!AB5</f>
        <v>2026</v>
      </c>
      <c r="J2" s="422">
        <f>'Control Panel'!AC5</f>
        <v>2027</v>
      </c>
      <c r="K2" s="422">
        <f>'Control Panel'!AD5</f>
        <v>2028</v>
      </c>
    </row>
    <row r="3" spans="1:11">
      <c r="A3" t="s">
        <v>234</v>
      </c>
      <c r="C3">
        <v>70697</v>
      </c>
      <c r="D3">
        <v>85965</v>
      </c>
      <c r="E3">
        <v>117929</v>
      </c>
    </row>
    <row r="4" spans="1:11">
      <c r="A4" s="669" t="s">
        <v>32</v>
      </c>
      <c r="B4" s="669"/>
      <c r="C4" s="669">
        <v>-12770</v>
      </c>
      <c r="D4" s="669">
        <v>-16692</v>
      </c>
      <c r="E4" s="669">
        <v>-22649</v>
      </c>
    </row>
    <row r="5" spans="1:11">
      <c r="A5" t="s">
        <v>1054</v>
      </c>
      <c r="C5">
        <f t="shared" ref="C5:E5" si="0">C3+C4</f>
        <v>57927</v>
      </c>
      <c r="D5">
        <f t="shared" si="0"/>
        <v>69273</v>
      </c>
      <c r="E5">
        <f t="shared" si="0"/>
        <v>95280</v>
      </c>
    </row>
    <row r="6" spans="1:11">
      <c r="A6" t="s">
        <v>1299</v>
      </c>
    </row>
    <row r="7" spans="1:11">
      <c r="A7" t="s">
        <v>1295</v>
      </c>
      <c r="C7">
        <v>-13600</v>
      </c>
      <c r="D7">
        <v>-18447</v>
      </c>
      <c r="E7">
        <v>-24655</v>
      </c>
    </row>
    <row r="8" spans="1:11">
      <c r="A8" t="s">
        <v>1296</v>
      </c>
      <c r="C8">
        <v>-9876</v>
      </c>
      <c r="D8">
        <v>-11591</v>
      </c>
      <c r="E8">
        <v>-14043</v>
      </c>
    </row>
    <row r="9" spans="1:11">
      <c r="A9" t="s">
        <v>1300</v>
      </c>
      <c r="C9">
        <f>-2000</f>
        <v>-2000</v>
      </c>
      <c r="D9">
        <v>-6564</v>
      </c>
      <c r="E9">
        <v>-9829</v>
      </c>
    </row>
    <row r="10" spans="1:11">
      <c r="A10" t="s">
        <v>1301</v>
      </c>
    </row>
    <row r="11" spans="1:11">
      <c r="A11" s="669" t="s">
        <v>1302</v>
      </c>
      <c r="B11" s="669"/>
      <c r="C11" s="669">
        <f>SUM(C7:C10)</f>
        <v>-25476</v>
      </c>
      <c r="D11" s="669">
        <f t="shared" ref="D11:E11" si="1">SUM(D7:D10)</f>
        <v>-36602</v>
      </c>
      <c r="E11" s="669">
        <f t="shared" si="1"/>
        <v>-48527</v>
      </c>
    </row>
    <row r="12" spans="1:11">
      <c r="A12" t="s">
        <v>245</v>
      </c>
      <c r="C12">
        <f t="shared" ref="C12:E12" si="2">C5+C11</f>
        <v>32451</v>
      </c>
      <c r="D12">
        <f t="shared" si="2"/>
        <v>32671</v>
      </c>
      <c r="E12">
        <f t="shared" si="2"/>
        <v>46753</v>
      </c>
    </row>
    <row r="13" spans="1:11">
      <c r="A13" t="s">
        <v>1303</v>
      </c>
      <c r="C13">
        <v>826</v>
      </c>
      <c r="D13">
        <v>509</v>
      </c>
      <c r="E13">
        <v>531</v>
      </c>
    </row>
    <row r="14" spans="1:11">
      <c r="A14" t="s">
        <v>1304</v>
      </c>
      <c r="C14">
        <f t="shared" ref="C14:E14" si="3">C12+C13</f>
        <v>33277</v>
      </c>
      <c r="D14">
        <f t="shared" si="3"/>
        <v>33180</v>
      </c>
      <c r="E14">
        <f t="shared" si="3"/>
        <v>47284</v>
      </c>
    </row>
    <row r="15" spans="1:11">
      <c r="A15" t="s">
        <v>1305</v>
      </c>
      <c r="C15">
        <v>-6327</v>
      </c>
      <c r="D15">
        <v>-4034</v>
      </c>
      <c r="E15">
        <v>-7914</v>
      </c>
    </row>
    <row r="16" spans="1:11">
      <c r="A16" s="670" t="s">
        <v>135</v>
      </c>
      <c r="B16" s="670"/>
      <c r="C16" s="670">
        <f t="shared" ref="C16:E16" si="4">C14+C15</f>
        <v>26950</v>
      </c>
      <c r="D16" s="670">
        <f t="shared" si="4"/>
        <v>29146</v>
      </c>
      <c r="E16" s="670">
        <f t="shared" si="4"/>
        <v>39370</v>
      </c>
    </row>
    <row r="18" spans="1:5">
      <c r="A18" t="s">
        <v>1306</v>
      </c>
    </row>
    <row r="19" spans="1:5">
      <c r="A19" t="s">
        <v>1307</v>
      </c>
      <c r="C19">
        <f t="shared" ref="C19:E19" si="5">C16/C23</f>
        <v>9.4428871758934836</v>
      </c>
      <c r="D19">
        <f t="shared" si="5"/>
        <v>10.223079621185549</v>
      </c>
      <c r="E19">
        <f t="shared" si="5"/>
        <v>13.985790408525755</v>
      </c>
    </row>
    <row r="20" spans="1:5">
      <c r="A20" t="s">
        <v>1308</v>
      </c>
      <c r="C20">
        <f t="shared" ref="C20:E20" si="6">C16/C24</f>
        <v>9.3706536856745473</v>
      </c>
      <c r="D20">
        <f t="shared" si="6"/>
        <v>10.092105263157896</v>
      </c>
      <c r="E20">
        <f t="shared" si="6"/>
        <v>13.770549143057012</v>
      </c>
    </row>
    <row r="22" spans="1:5">
      <c r="A22" t="s">
        <v>947</v>
      </c>
    </row>
    <row r="23" spans="1:5">
      <c r="A23" t="s">
        <v>1307</v>
      </c>
      <c r="C23">
        <v>2854</v>
      </c>
      <c r="D23">
        <v>2851</v>
      </c>
      <c r="E23">
        <v>2815</v>
      </c>
    </row>
    <row r="24" spans="1:5">
      <c r="A24" t="s">
        <v>1308</v>
      </c>
      <c r="C24">
        <v>2876</v>
      </c>
      <c r="D24">
        <v>2888</v>
      </c>
      <c r="E24">
        <v>2859</v>
      </c>
    </row>
    <row r="26" spans="1:5">
      <c r="A26" t="s">
        <v>1309</v>
      </c>
      <c r="C26">
        <v>205.25</v>
      </c>
      <c r="D26">
        <v>273.16000000000003</v>
      </c>
      <c r="E26">
        <v>336.35</v>
      </c>
    </row>
    <row r="28" spans="1:5">
      <c r="A28" t="s">
        <v>1310</v>
      </c>
      <c r="D28">
        <f t="shared" ref="D28:E28" si="7">SUM(D3-C3)/C3</f>
        <v>0.21596390228722576</v>
      </c>
      <c r="E28">
        <f t="shared" si="7"/>
        <v>0.37182574303495608</v>
      </c>
    </row>
    <row r="30" spans="1:5">
      <c r="A30" t="s">
        <v>200</v>
      </c>
      <c r="C30">
        <v>1000</v>
      </c>
      <c r="D30">
        <v>1000</v>
      </c>
      <c r="E30">
        <v>1000</v>
      </c>
    </row>
    <row r="31" spans="1:5">
      <c r="A31" t="s">
        <v>199</v>
      </c>
      <c r="C31">
        <f t="shared" ref="C31:E31" si="8">C12</f>
        <v>32451</v>
      </c>
      <c r="D31">
        <f t="shared" si="8"/>
        <v>32671</v>
      </c>
      <c r="E31">
        <f t="shared" si="8"/>
        <v>46753</v>
      </c>
    </row>
    <row r="32" spans="1:5">
      <c r="A32" s="670" t="s">
        <v>267</v>
      </c>
      <c r="B32" s="670"/>
      <c r="C32" s="670">
        <f t="shared" ref="C32:E32" si="9">C30+C31</f>
        <v>33451</v>
      </c>
      <c r="D32" s="670">
        <f t="shared" si="9"/>
        <v>33671</v>
      </c>
      <c r="E32" s="670">
        <f t="shared" si="9"/>
        <v>47753</v>
      </c>
    </row>
    <row r="34" spans="1:5">
      <c r="A34" t="s">
        <v>1311</v>
      </c>
    </row>
    <row r="35" spans="1:5">
      <c r="A35" t="s">
        <v>1312</v>
      </c>
      <c r="C35">
        <f t="shared" ref="C35:E35" si="10">-C4/C3</f>
        <v>0.18063001258893588</v>
      </c>
      <c r="D35">
        <f t="shared" si="10"/>
        <v>0.19417204676321759</v>
      </c>
      <c r="E35">
        <f t="shared" si="10"/>
        <v>0.19205623722748433</v>
      </c>
    </row>
    <row r="36" spans="1:5">
      <c r="A36" t="s">
        <v>1313</v>
      </c>
      <c r="C36">
        <f t="shared" ref="C36:E36" si="11">C5/C3</f>
        <v>0.81936998741106415</v>
      </c>
      <c r="D36">
        <f t="shared" si="11"/>
        <v>0.80582795323678236</v>
      </c>
      <c r="E36">
        <f t="shared" si="11"/>
        <v>0.80794376277251567</v>
      </c>
    </row>
    <row r="37" spans="1:5">
      <c r="A37" t="s">
        <v>1295</v>
      </c>
      <c r="C37">
        <f t="shared" ref="C37:E37" si="12">-C7/C3</f>
        <v>0.19237025616362788</v>
      </c>
      <c r="D37">
        <f t="shared" si="12"/>
        <v>0.21458733205374281</v>
      </c>
      <c r="E37">
        <f t="shared" si="12"/>
        <v>0.20906647219937419</v>
      </c>
    </row>
    <row r="38" spans="1:5">
      <c r="A38" t="s">
        <v>1296</v>
      </c>
      <c r="C38">
        <f t="shared" ref="C38:E38" si="13">-C8/C3</f>
        <v>0.139694753667058</v>
      </c>
      <c r="D38">
        <f t="shared" si="13"/>
        <v>0.13483394404699586</v>
      </c>
      <c r="E38">
        <f t="shared" si="13"/>
        <v>0.11908012448167965</v>
      </c>
    </row>
    <row r="39" spans="1:5">
      <c r="A39" t="s">
        <v>1300</v>
      </c>
      <c r="C39">
        <f t="shared" ref="C39:E39" si="14">-C9/C3</f>
        <v>2.8289743553474689E-2</v>
      </c>
      <c r="D39">
        <f t="shared" si="14"/>
        <v>7.6356656778921658E-2</v>
      </c>
      <c r="E39">
        <f t="shared" si="14"/>
        <v>8.3346759490880107E-2</v>
      </c>
    </row>
    <row r="40" spans="1:5">
      <c r="A40" t="s">
        <v>1314</v>
      </c>
      <c r="C40">
        <f t="shared" ref="C40:E40" si="15">C12/C3</f>
        <v>0.45901523402690353</v>
      </c>
      <c r="D40">
        <f t="shared" si="15"/>
        <v>0.3800500203571221</v>
      </c>
      <c r="E40">
        <f t="shared" si="15"/>
        <v>0.39645040660058173</v>
      </c>
    </row>
    <row r="41" spans="1:5">
      <c r="A41" t="s">
        <v>1315</v>
      </c>
      <c r="C41">
        <f t="shared" ref="C41:E41" si="16">-C15/C3</f>
        <v>8.9494603731417169E-2</v>
      </c>
      <c r="D41">
        <f t="shared" si="16"/>
        <v>4.6926074565230035E-2</v>
      </c>
      <c r="E41">
        <f t="shared" si="16"/>
        <v>6.7108175257994215E-2</v>
      </c>
    </row>
    <row r="42" spans="1:5">
      <c r="A42" t="s">
        <v>1316</v>
      </c>
      <c r="C42">
        <f t="shared" ref="C42:E42" si="17">C16/C3</f>
        <v>0.38120429438307141</v>
      </c>
      <c r="D42">
        <f t="shared" si="17"/>
        <v>0.3390449601582039</v>
      </c>
      <c r="E42">
        <f t="shared" si="17"/>
        <v>0.33384494059985248</v>
      </c>
    </row>
    <row r="43" spans="1:5">
      <c r="A43" t="s">
        <v>1317</v>
      </c>
      <c r="C43">
        <f t="shared" ref="C43:E43" si="18">C30/C3</f>
        <v>1.4144871776737344E-2</v>
      </c>
      <c r="D43">
        <f t="shared" si="18"/>
        <v>1.1632641191182458E-2</v>
      </c>
      <c r="E43">
        <f t="shared" si="18"/>
        <v>8.479678450593154E-3</v>
      </c>
    </row>
    <row r="44" spans="1:5">
      <c r="A44" t="s">
        <v>1318</v>
      </c>
      <c r="C44" t="e">
        <v>#VALUE!</v>
      </c>
      <c r="D44">
        <v>0</v>
      </c>
      <c r="E44">
        <v>-0.37971152133911085</v>
      </c>
    </row>
    <row r="45" spans="1:5">
      <c r="A45" t="s">
        <v>1319</v>
      </c>
      <c r="C45">
        <f t="shared" ref="C45:E45" si="19">C32/C3</f>
        <v>0.47316010580364087</v>
      </c>
      <c r="D45">
        <f t="shared" si="19"/>
        <v>0.39168266154830456</v>
      </c>
      <c r="E45">
        <f t="shared" si="19"/>
        <v>0.40493008505117484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860CC-2211-4268-ADC3-DAB6ACF282E1}">
  <dimension ref="A2:D92"/>
  <sheetViews>
    <sheetView tabSelected="1" workbookViewId="0">
      <selection activeCell="B109" sqref="B109"/>
    </sheetView>
  </sheetViews>
  <sheetFormatPr defaultRowHeight="16.5"/>
  <cols>
    <col min="1" max="1" width="55.5703125" bestFit="1" customWidth="1"/>
    <col min="2" max="2" width="33.140625" customWidth="1"/>
    <col min="3" max="4" width="15.140625" bestFit="1" customWidth="1"/>
  </cols>
  <sheetData>
    <row r="2" spans="1:4">
      <c r="A2" s="1057"/>
      <c r="B2" s="1057"/>
      <c r="C2" s="1060">
        <v>2014</v>
      </c>
      <c r="D2" s="1060">
        <v>2015</v>
      </c>
    </row>
    <row r="3" spans="1:4">
      <c r="A3" s="1060" t="s">
        <v>2204</v>
      </c>
      <c r="B3" s="1057"/>
      <c r="C3" s="1057"/>
      <c r="D3" s="1057"/>
    </row>
    <row r="4" spans="1:4">
      <c r="A4" s="1057" t="s">
        <v>2205</v>
      </c>
      <c r="B4" s="1057"/>
      <c r="C4" s="1634">
        <f>'[1]TEL - IS'!C19</f>
        <v>-382000000</v>
      </c>
      <c r="D4" s="1634">
        <f>'[1]TEL - IS'!D19</f>
        <v>-3036000000</v>
      </c>
    </row>
    <row r="5" spans="1:4">
      <c r="A5" s="1057" t="s">
        <v>2206</v>
      </c>
      <c r="B5" s="1057"/>
      <c r="C5" s="1634"/>
      <c r="D5" s="1634"/>
    </row>
    <row r="6" spans="1:4">
      <c r="A6" s="1057"/>
      <c r="B6" s="1633" t="s">
        <v>2207</v>
      </c>
      <c r="C6" s="1634">
        <v>31379000000</v>
      </c>
      <c r="D6" s="1634">
        <v>31519000000</v>
      </c>
    </row>
    <row r="7" spans="1:4">
      <c r="A7" s="1057"/>
      <c r="B7" s="1633" t="s">
        <v>2208</v>
      </c>
      <c r="C7" s="1634">
        <v>6046000000</v>
      </c>
      <c r="D7" s="1634">
        <v>9690000000</v>
      </c>
    </row>
    <row r="8" spans="1:4" ht="25.5">
      <c r="A8" s="1057"/>
      <c r="B8" s="1633" t="s">
        <v>2209</v>
      </c>
      <c r="C8" s="1634">
        <v>4987000000</v>
      </c>
      <c r="D8" s="1634">
        <v>5919000000</v>
      </c>
    </row>
    <row r="9" spans="1:4">
      <c r="A9" s="1057"/>
      <c r="B9" s="1633" t="s">
        <v>2210</v>
      </c>
      <c r="C9" s="1634">
        <v>0</v>
      </c>
      <c r="D9" s="1634">
        <v>5166000000</v>
      </c>
    </row>
    <row r="10" spans="1:4">
      <c r="A10" s="1057"/>
      <c r="B10" s="1633" t="s">
        <v>2211</v>
      </c>
      <c r="C10" s="1634">
        <v>1702000000</v>
      </c>
      <c r="D10" s="1634">
        <v>1888000000</v>
      </c>
    </row>
    <row r="11" spans="1:4">
      <c r="A11" s="1057"/>
      <c r="B11" s="1633" t="s">
        <v>2212</v>
      </c>
      <c r="C11" s="1634">
        <v>1149000000</v>
      </c>
      <c r="D11" s="1634">
        <v>1076000000</v>
      </c>
    </row>
    <row r="12" spans="1:4">
      <c r="A12" s="1057"/>
      <c r="B12" s="1633" t="s">
        <v>2213</v>
      </c>
      <c r="C12" s="1634">
        <v>168000000</v>
      </c>
      <c r="D12" s="1634">
        <v>0</v>
      </c>
    </row>
    <row r="13" spans="1:4">
      <c r="A13" s="1057"/>
      <c r="B13" s="1633" t="s">
        <v>2214</v>
      </c>
      <c r="C13" s="1634">
        <v>382000000</v>
      </c>
      <c r="D13" s="1634">
        <v>3036000000</v>
      </c>
    </row>
    <row r="14" spans="1:4">
      <c r="A14" s="1057"/>
      <c r="B14" s="1633" t="s">
        <v>2215</v>
      </c>
      <c r="C14" s="1634">
        <v>165000000</v>
      </c>
      <c r="D14" s="1634">
        <v>231000000</v>
      </c>
    </row>
    <row r="15" spans="1:4" ht="25.5">
      <c r="A15" s="1057"/>
      <c r="B15" s="1633" t="s">
        <v>2216</v>
      </c>
      <c r="C15" s="1634">
        <v>42000000</v>
      </c>
      <c r="D15" s="1634">
        <v>298000000</v>
      </c>
    </row>
    <row r="16" spans="1:4" ht="25.5">
      <c r="A16" s="1057"/>
      <c r="B16" s="1633" t="s">
        <v>2217</v>
      </c>
      <c r="C16" s="1634">
        <v>0</v>
      </c>
      <c r="D16" s="1634">
        <v>0</v>
      </c>
    </row>
    <row r="17" spans="1:4" ht="25.5">
      <c r="A17" s="1057"/>
      <c r="B17" s="1633" t="s">
        <v>2218</v>
      </c>
      <c r="C17" s="1634">
        <v>101000000</v>
      </c>
      <c r="D17" s="1634">
        <v>-420000000</v>
      </c>
    </row>
    <row r="18" spans="1:4">
      <c r="A18" s="1057"/>
      <c r="B18" s="1633" t="s">
        <v>251</v>
      </c>
      <c r="C18" s="1634">
        <v>-752000000</v>
      </c>
      <c r="D18" s="1634">
        <v>-799000000</v>
      </c>
    </row>
    <row r="19" spans="1:4" ht="25.5">
      <c r="A19" s="1057"/>
      <c r="B19" s="1633" t="s">
        <v>2219</v>
      </c>
      <c r="C19" s="1634">
        <v>-3841000000</v>
      </c>
      <c r="D19" s="1634">
        <v>-3241000000</v>
      </c>
    </row>
    <row r="20" spans="1:4" ht="25.5">
      <c r="A20" s="1057"/>
      <c r="B20" s="1633" t="s">
        <v>2220</v>
      </c>
      <c r="C20" s="1634">
        <v>-1448000000</v>
      </c>
      <c r="D20" s="1634">
        <v>-2838000000</v>
      </c>
    </row>
    <row r="21" spans="1:4">
      <c r="A21" s="1057"/>
      <c r="B21" s="1633" t="s">
        <v>2221</v>
      </c>
      <c r="C21" s="1634">
        <v>-950000000</v>
      </c>
      <c r="D21" s="1634">
        <v>-1968000000</v>
      </c>
    </row>
    <row r="22" spans="1:4">
      <c r="A22" s="1511" t="s">
        <v>2222</v>
      </c>
      <c r="B22" s="1641"/>
      <c r="C22" s="1642">
        <f t="shared" ref="C22:D22" si="0">SUM(C4:C21)</f>
        <v>38748000000</v>
      </c>
      <c r="D22" s="1642">
        <f t="shared" si="0"/>
        <v>46521000000</v>
      </c>
    </row>
    <row r="23" spans="1:4">
      <c r="A23" s="1057" t="s">
        <v>2223</v>
      </c>
      <c r="B23" s="1633"/>
      <c r="C23" s="1634"/>
      <c r="D23" s="1634"/>
    </row>
    <row r="24" spans="1:4">
      <c r="A24" s="1057"/>
      <c r="B24" s="1633" t="s">
        <v>2224</v>
      </c>
      <c r="C24" s="1634">
        <v>-10547000000</v>
      </c>
      <c r="D24" s="1634">
        <v>-1863000000</v>
      </c>
    </row>
    <row r="25" spans="1:4">
      <c r="A25" s="1057"/>
      <c r="B25" s="1633" t="s">
        <v>2225</v>
      </c>
      <c r="C25" s="1634">
        <v>-507000000</v>
      </c>
      <c r="D25" s="1634">
        <v>-1122000000</v>
      </c>
    </row>
    <row r="26" spans="1:4">
      <c r="A26" s="1057"/>
      <c r="B26" s="1633" t="s">
        <v>2226</v>
      </c>
      <c r="C26" s="1634">
        <v>-150000000</v>
      </c>
      <c r="D26" s="1634">
        <v>-617000000</v>
      </c>
    </row>
    <row r="27" spans="1:4">
      <c r="A27" s="1057"/>
      <c r="B27" s="1633" t="s">
        <v>2227</v>
      </c>
      <c r="C27" s="1634">
        <v>-117000000</v>
      </c>
      <c r="D27" s="1634">
        <v>147000000</v>
      </c>
    </row>
    <row r="28" spans="1:4">
      <c r="A28" s="1057"/>
      <c r="B28" s="1633" t="s">
        <v>2163</v>
      </c>
      <c r="C28" s="1634">
        <v>0</v>
      </c>
      <c r="D28" s="1634">
        <v>0</v>
      </c>
    </row>
    <row r="29" spans="1:4">
      <c r="A29" s="1057" t="s">
        <v>2228</v>
      </c>
      <c r="B29" s="1633"/>
      <c r="C29" s="1634">
        <v>0</v>
      </c>
      <c r="D29" s="1634">
        <v>0</v>
      </c>
    </row>
    <row r="30" spans="1:4">
      <c r="A30" s="1057"/>
      <c r="B30" s="1633" t="s">
        <v>1903</v>
      </c>
      <c r="C30" s="1634">
        <v>5383000000</v>
      </c>
      <c r="D30" s="1634">
        <v>11242000000</v>
      </c>
    </row>
    <row r="31" spans="1:4" ht="25.5">
      <c r="A31" s="1057"/>
      <c r="B31" s="1633" t="s">
        <v>2195</v>
      </c>
      <c r="C31" s="1634">
        <v>6146000000</v>
      </c>
      <c r="D31" s="1634">
        <v>4969000000</v>
      </c>
    </row>
    <row r="32" spans="1:4">
      <c r="A32" s="1057"/>
      <c r="B32" s="1633" t="s">
        <v>2190</v>
      </c>
      <c r="C32" s="1634">
        <v>-5586000000</v>
      </c>
      <c r="D32" s="1634">
        <v>-10642000000</v>
      </c>
    </row>
    <row r="33" spans="1:4">
      <c r="A33" s="1057"/>
      <c r="B33" s="1633" t="s">
        <v>2189</v>
      </c>
      <c r="C33" s="1634">
        <v>-108000000</v>
      </c>
      <c r="D33" s="1634">
        <v>-8000000</v>
      </c>
    </row>
    <row r="34" spans="1:4">
      <c r="A34" s="1544"/>
      <c r="B34" s="1643" t="s">
        <v>2192</v>
      </c>
      <c r="C34" s="1644">
        <v>4000000</v>
      </c>
      <c r="D34" s="1644">
        <v>-13000000</v>
      </c>
    </row>
    <row r="35" spans="1:4">
      <c r="A35" s="1060" t="s">
        <v>2229</v>
      </c>
      <c r="B35" s="1633"/>
      <c r="C35" s="1640">
        <f t="shared" ref="C35:D35" si="1">SUM(C22:C34)</f>
        <v>33266000000</v>
      </c>
      <c r="D35" s="1640">
        <f t="shared" si="1"/>
        <v>48614000000</v>
      </c>
    </row>
    <row r="36" spans="1:4">
      <c r="A36" s="1060" t="s">
        <v>2230</v>
      </c>
      <c r="B36" s="1633"/>
      <c r="C36" s="1640">
        <v>-11781000000</v>
      </c>
      <c r="D36" s="1640">
        <v>-8544000000</v>
      </c>
    </row>
    <row r="37" spans="1:4">
      <c r="A37" s="1525" t="s">
        <v>2231</v>
      </c>
      <c r="B37" s="1639"/>
      <c r="C37" s="1638">
        <f t="shared" ref="C37:D37" si="2">C35+C36</f>
        <v>21485000000</v>
      </c>
      <c r="D37" s="1638">
        <f t="shared" si="2"/>
        <v>40070000000</v>
      </c>
    </row>
    <row r="38" spans="1:4">
      <c r="A38" s="1057"/>
      <c r="B38" s="1633"/>
      <c r="C38" s="1634"/>
      <c r="D38" s="1634"/>
    </row>
    <row r="39" spans="1:4">
      <c r="A39" s="1060" t="s">
        <v>2232</v>
      </c>
      <c r="B39" s="1633"/>
      <c r="C39" s="1634"/>
      <c r="D39" s="1634"/>
    </row>
    <row r="40" spans="1:4">
      <c r="A40" s="1057" t="s">
        <v>2233</v>
      </c>
      <c r="B40" s="1633"/>
      <c r="C40" s="1634">
        <v>582000000</v>
      </c>
      <c r="D40" s="1634">
        <v>939000000</v>
      </c>
    </row>
    <row r="41" spans="1:4">
      <c r="A41" s="1057" t="s">
        <v>2234</v>
      </c>
      <c r="B41" s="1633"/>
      <c r="C41" s="1634">
        <v>1855000000</v>
      </c>
      <c r="D41" s="1634">
        <v>5544000000</v>
      </c>
    </row>
    <row r="42" spans="1:4">
      <c r="A42" s="1057" t="s">
        <v>2235</v>
      </c>
      <c r="B42" s="1633"/>
      <c r="C42" s="1634">
        <v>0</v>
      </c>
      <c r="D42" s="1634">
        <v>0</v>
      </c>
    </row>
    <row r="43" spans="1:4">
      <c r="A43" s="1057"/>
      <c r="B43" s="1633" t="s">
        <v>2236</v>
      </c>
      <c r="C43" s="1634">
        <v>110000000</v>
      </c>
      <c r="D43" s="1634">
        <v>1469000000</v>
      </c>
    </row>
    <row r="44" spans="1:4" ht="25.5">
      <c r="A44" s="1057"/>
      <c r="B44" s="1633" t="s">
        <v>2237</v>
      </c>
      <c r="C44" s="1634">
        <v>3022000000</v>
      </c>
      <c r="D44" s="1634">
        <v>0</v>
      </c>
    </row>
    <row r="45" spans="1:4">
      <c r="A45" s="1057"/>
      <c r="B45" s="1633" t="s">
        <v>2238</v>
      </c>
      <c r="C45" s="1634">
        <v>3000000</v>
      </c>
      <c r="D45" s="1634">
        <v>0</v>
      </c>
    </row>
    <row r="46" spans="1:4">
      <c r="A46" s="1057"/>
      <c r="B46" s="1633" t="s">
        <v>2239</v>
      </c>
      <c r="C46" s="1634">
        <v>0</v>
      </c>
      <c r="D46" s="1634">
        <v>0</v>
      </c>
    </row>
    <row r="47" spans="1:4">
      <c r="A47" s="1057"/>
      <c r="B47" s="1633" t="s">
        <v>2240</v>
      </c>
      <c r="C47" s="1634">
        <v>25000000</v>
      </c>
      <c r="D47" s="1634">
        <v>0</v>
      </c>
    </row>
    <row r="48" spans="1:4" ht="25.5">
      <c r="A48" s="1057"/>
      <c r="B48" s="1633" t="s">
        <v>2241</v>
      </c>
      <c r="C48" s="1634">
        <v>0</v>
      </c>
      <c r="D48" s="1634">
        <v>0</v>
      </c>
    </row>
    <row r="49" spans="1:4" ht="25.5">
      <c r="A49" s="1057"/>
      <c r="B49" s="1633" t="s">
        <v>2242</v>
      </c>
      <c r="C49" s="1634">
        <v>0</v>
      </c>
      <c r="D49" s="1634">
        <v>0</v>
      </c>
    </row>
    <row r="50" spans="1:4">
      <c r="A50" s="1057"/>
      <c r="B50" s="1633" t="s">
        <v>2243</v>
      </c>
      <c r="C50" s="1634">
        <v>0</v>
      </c>
      <c r="D50" s="1634">
        <v>0</v>
      </c>
    </row>
    <row r="51" spans="1:4">
      <c r="A51" s="1057"/>
      <c r="B51" s="1633" t="s">
        <v>2244</v>
      </c>
      <c r="C51" s="1634">
        <v>253000000</v>
      </c>
      <c r="D51" s="1634">
        <v>334000000</v>
      </c>
    </row>
    <row r="52" spans="1:4" ht="25.5">
      <c r="A52" s="1057"/>
      <c r="B52" s="1633" t="s">
        <v>2245</v>
      </c>
      <c r="C52" s="1634">
        <v>0</v>
      </c>
      <c r="D52" s="1634">
        <v>292000000</v>
      </c>
    </row>
    <row r="53" spans="1:4">
      <c r="A53" s="1057"/>
      <c r="B53" s="1633" t="s">
        <v>2246</v>
      </c>
      <c r="C53" s="1634">
        <v>5000000</v>
      </c>
      <c r="D53" s="1634">
        <v>8000000</v>
      </c>
    </row>
    <row r="54" spans="1:4">
      <c r="A54" s="1057" t="s">
        <v>2247</v>
      </c>
      <c r="B54" s="1633"/>
      <c r="C54" s="1634">
        <v>0</v>
      </c>
      <c r="D54" s="1634">
        <v>0</v>
      </c>
    </row>
    <row r="55" spans="1:4">
      <c r="A55" s="1057"/>
      <c r="B55" s="1633" t="s">
        <v>2248</v>
      </c>
      <c r="C55" s="1634">
        <v>-19711000000</v>
      </c>
      <c r="D55" s="1634">
        <v>-925000000</v>
      </c>
    </row>
    <row r="56" spans="1:4">
      <c r="A56" s="1057"/>
      <c r="B56" s="1633" t="s">
        <v>2249</v>
      </c>
      <c r="C56" s="1634">
        <v>-330000000</v>
      </c>
      <c r="D56" s="1634">
        <v>-318000000</v>
      </c>
    </row>
    <row r="57" spans="1:4" ht="25.5">
      <c r="A57" s="1057"/>
      <c r="B57" s="1633" t="s">
        <v>2250</v>
      </c>
      <c r="C57" s="1634">
        <v>-63000000</v>
      </c>
      <c r="D57" s="1634">
        <v>-2000000</v>
      </c>
    </row>
    <row r="58" spans="1:4" ht="25.5">
      <c r="A58" s="1057"/>
      <c r="B58" s="1633" t="s">
        <v>2251</v>
      </c>
      <c r="C58" s="1634">
        <v>-442000000</v>
      </c>
      <c r="D58" s="1634">
        <v>-370000000</v>
      </c>
    </row>
    <row r="59" spans="1:4" ht="25.5">
      <c r="A59" s="1057"/>
      <c r="B59" s="1633" t="s">
        <v>2252</v>
      </c>
      <c r="C59" s="1634">
        <v>-300000000</v>
      </c>
      <c r="D59" s="1634">
        <v>-1274000000</v>
      </c>
    </row>
    <row r="60" spans="1:4">
      <c r="A60" s="1057"/>
      <c r="B60" s="1633" t="s">
        <v>2253</v>
      </c>
      <c r="C60" s="1634">
        <v>-29000000</v>
      </c>
      <c r="D60" s="1634">
        <v>-2194000000</v>
      </c>
    </row>
    <row r="61" spans="1:4">
      <c r="A61" s="1057"/>
      <c r="B61" s="1633" t="s">
        <v>2254</v>
      </c>
      <c r="C61" s="1634">
        <v>-34317000000</v>
      </c>
      <c r="D61" s="1634">
        <v>-42805000000</v>
      </c>
    </row>
    <row r="62" spans="1:4">
      <c r="A62" s="1057"/>
      <c r="B62" s="1635" t="s">
        <v>2255</v>
      </c>
      <c r="C62" s="1636">
        <f>C51+C61+C56</f>
        <v>-34394000000</v>
      </c>
      <c r="D62" s="1636">
        <f t="shared" ref="D62" si="3">D51+D61+D56</f>
        <v>-42789000000</v>
      </c>
    </row>
    <row r="63" spans="1:4">
      <c r="A63" s="1057"/>
      <c r="B63" s="1633" t="s">
        <v>2256</v>
      </c>
      <c r="C63" s="1634">
        <v>0</v>
      </c>
      <c r="D63" s="1634">
        <v>0</v>
      </c>
    </row>
    <row r="64" spans="1:4" ht="25.5">
      <c r="A64" s="1057"/>
      <c r="B64" s="1633" t="s">
        <v>2257</v>
      </c>
      <c r="C64" s="1634">
        <v>-1420000000</v>
      </c>
      <c r="D64" s="1634">
        <v>0</v>
      </c>
    </row>
    <row r="65" spans="1:4">
      <c r="A65" s="1057"/>
      <c r="B65" s="1633" t="s">
        <v>2258</v>
      </c>
      <c r="C65" s="1634">
        <v>-300000000</v>
      </c>
      <c r="D65" s="1634"/>
    </row>
    <row r="66" spans="1:4" ht="25.5">
      <c r="A66" s="1057"/>
      <c r="B66" s="1633" t="s">
        <v>2259</v>
      </c>
      <c r="C66" s="1634">
        <v>-139000000</v>
      </c>
      <c r="D66" s="1634">
        <v>-151000000</v>
      </c>
    </row>
    <row r="67" spans="1:4">
      <c r="A67" s="1057" t="s">
        <v>2260</v>
      </c>
      <c r="B67" s="1633"/>
      <c r="C67" s="1634">
        <v>-490000000</v>
      </c>
      <c r="D67" s="1634">
        <v>215000000</v>
      </c>
    </row>
    <row r="68" spans="1:4">
      <c r="A68" s="1525" t="s">
        <v>2261</v>
      </c>
      <c r="B68" s="1639"/>
      <c r="C68" s="1638">
        <f t="shared" ref="C68:D68" si="4">SUM(C40:C61,C63:C67)</f>
        <v>-51686000000</v>
      </c>
      <c r="D68" s="1638">
        <f t="shared" si="4"/>
        <v>-39238000000</v>
      </c>
    </row>
    <row r="69" spans="1:4">
      <c r="A69" s="1057"/>
      <c r="B69" s="1633"/>
      <c r="C69" s="1634"/>
      <c r="D69" s="1634"/>
    </row>
    <row r="70" spans="1:4">
      <c r="A70" s="1060" t="s">
        <v>2262</v>
      </c>
      <c r="B70" s="1633"/>
      <c r="C70" s="1634"/>
      <c r="D70" s="1634"/>
    </row>
    <row r="71" spans="1:4">
      <c r="A71" s="1057" t="s">
        <v>2235</v>
      </c>
      <c r="B71" s="1633"/>
      <c r="C71" s="1634"/>
      <c r="D71" s="1634"/>
    </row>
    <row r="72" spans="1:4">
      <c r="A72" s="1057"/>
      <c r="B72" s="1633" t="s">
        <v>2263</v>
      </c>
      <c r="C72" s="1634">
        <v>41329000000</v>
      </c>
      <c r="D72" s="1634">
        <v>44367000000</v>
      </c>
    </row>
    <row r="73" spans="1:4">
      <c r="A73" s="1057"/>
      <c r="B73" s="1633" t="s">
        <v>2264</v>
      </c>
      <c r="C73" s="1634">
        <v>0</v>
      </c>
      <c r="D73" s="1634">
        <v>0</v>
      </c>
    </row>
    <row r="74" spans="1:4" ht="25.5">
      <c r="A74" s="1057"/>
      <c r="B74" s="1633" t="s">
        <v>2265</v>
      </c>
      <c r="C74" s="1634">
        <v>0</v>
      </c>
      <c r="D74" s="1634">
        <v>311000000</v>
      </c>
    </row>
    <row r="75" spans="1:4">
      <c r="A75" s="1057"/>
      <c r="B75" s="1633" t="s">
        <v>2266</v>
      </c>
      <c r="C75" s="1634">
        <v>0</v>
      </c>
      <c r="D75" s="1634">
        <v>0</v>
      </c>
    </row>
    <row r="76" spans="1:4">
      <c r="A76" s="1057"/>
      <c r="B76" s="1633" t="s">
        <v>2267</v>
      </c>
      <c r="C76" s="1634">
        <v>0</v>
      </c>
      <c r="D76" s="1634">
        <v>0</v>
      </c>
    </row>
    <row r="77" spans="1:4">
      <c r="A77" s="1057"/>
      <c r="B77" s="1633" t="s">
        <v>2268</v>
      </c>
      <c r="C77" s="1634">
        <v>166000000</v>
      </c>
      <c r="D77" s="1634">
        <v>0</v>
      </c>
    </row>
    <row r="78" spans="1:4">
      <c r="A78" s="1057" t="s">
        <v>2269</v>
      </c>
      <c r="B78" s="1633"/>
      <c r="C78" s="1634">
        <v>0</v>
      </c>
      <c r="D78" s="1634">
        <v>0</v>
      </c>
    </row>
    <row r="79" spans="1:4">
      <c r="A79" s="1057"/>
      <c r="B79" s="1633" t="s">
        <v>2270</v>
      </c>
      <c r="C79" s="1634">
        <v>-293000000</v>
      </c>
      <c r="D79" s="1634">
        <v>-396000000</v>
      </c>
    </row>
    <row r="80" spans="1:4">
      <c r="A80" s="1057"/>
      <c r="B80" s="1633" t="s">
        <v>2271</v>
      </c>
      <c r="C80" s="1634">
        <v>0</v>
      </c>
      <c r="D80" s="1634">
        <v>0</v>
      </c>
    </row>
    <row r="81" spans="1:4">
      <c r="A81" s="1057"/>
      <c r="B81" s="1633" t="s">
        <v>2272</v>
      </c>
      <c r="C81" s="1634">
        <v>-4736000000</v>
      </c>
      <c r="D81" s="1634">
        <v>-5407000000</v>
      </c>
    </row>
    <row r="82" spans="1:4">
      <c r="A82" s="1057"/>
      <c r="B82" s="1633" t="s">
        <v>2273</v>
      </c>
      <c r="C82" s="1634">
        <v>-84000000</v>
      </c>
      <c r="D82" s="1634">
        <v>0</v>
      </c>
    </row>
    <row r="83" spans="1:4">
      <c r="A83" s="1057"/>
      <c r="B83" s="1633" t="s">
        <v>2274</v>
      </c>
      <c r="C83" s="1634">
        <v>-39900000000</v>
      </c>
      <c r="D83" s="1634">
        <v>-32532000000</v>
      </c>
    </row>
    <row r="84" spans="1:4">
      <c r="A84" s="1057"/>
      <c r="B84" s="1633" t="s">
        <v>2275</v>
      </c>
      <c r="C84" s="1634">
        <v>-15726000000</v>
      </c>
      <c r="D84" s="1634">
        <v>-17084000000</v>
      </c>
    </row>
    <row r="85" spans="1:4">
      <c r="A85" s="1057"/>
      <c r="B85" s="1633" t="s">
        <v>2266</v>
      </c>
      <c r="C85" s="1634">
        <v>-596000000</v>
      </c>
      <c r="D85" s="1634">
        <v>-638000000</v>
      </c>
    </row>
    <row r="86" spans="1:4">
      <c r="A86" s="1057"/>
      <c r="B86" s="1633" t="s">
        <v>2276</v>
      </c>
      <c r="C86" s="1634">
        <v>-51000000</v>
      </c>
      <c r="D86" s="1634">
        <v>-1000000</v>
      </c>
    </row>
    <row r="87" spans="1:4">
      <c r="A87" s="1057"/>
      <c r="B87" s="1633" t="s">
        <v>2277</v>
      </c>
      <c r="C87" s="1634">
        <v>-6000000</v>
      </c>
      <c r="D87" s="1634">
        <v>-5000000</v>
      </c>
    </row>
    <row r="88" spans="1:4">
      <c r="A88" s="1637" t="s">
        <v>2278</v>
      </c>
      <c r="B88" s="1639"/>
      <c r="C88" s="1645">
        <f t="shared" ref="C88:D88" si="5">SUM(C72:C87)</f>
        <v>-19897000000</v>
      </c>
      <c r="D88" s="1645">
        <f t="shared" si="5"/>
        <v>-11385000000</v>
      </c>
    </row>
    <row r="89" spans="1:4">
      <c r="A89" s="1060" t="s">
        <v>2279</v>
      </c>
      <c r="B89" s="1633"/>
      <c r="C89" s="1634">
        <v>322000000</v>
      </c>
      <c r="D89" s="1634">
        <v>675000000</v>
      </c>
    </row>
    <row r="90" spans="1:4">
      <c r="A90" s="1540" t="s">
        <v>2280</v>
      </c>
      <c r="B90" s="1641"/>
      <c r="C90" s="1642">
        <f>C37+C68+C88+C89</f>
        <v>-49776000000</v>
      </c>
      <c r="D90" s="1642">
        <f>D37+D68+D88+D89</f>
        <v>-9878000000</v>
      </c>
    </row>
    <row r="91" spans="1:4">
      <c r="A91" s="1646" t="s">
        <v>2281</v>
      </c>
      <c r="B91" s="1643"/>
      <c r="C91" s="1644">
        <v>31905000000</v>
      </c>
      <c r="D91" s="1644">
        <f>C92</f>
        <v>-17871000000</v>
      </c>
    </row>
    <row r="92" spans="1:4">
      <c r="A92" s="1525" t="s">
        <v>2282</v>
      </c>
      <c r="B92" s="1639"/>
      <c r="C92" s="1638">
        <f t="shared" ref="C92:D92" si="6">C90+C91</f>
        <v>-17871000000</v>
      </c>
      <c r="D92" s="1638">
        <f t="shared" si="6"/>
        <v>-27749000000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9"/>
  </sheetPr>
  <dimension ref="B1:S951"/>
  <sheetViews>
    <sheetView showGridLines="0" topLeftCell="A175" zoomScale="55" zoomScaleNormal="55" workbookViewId="0">
      <selection activeCell="B176" sqref="B176"/>
    </sheetView>
  </sheetViews>
  <sheetFormatPr defaultColWidth="12.5703125" defaultRowHeight="15" customHeight="1"/>
  <cols>
    <col min="1" max="1" width="3.42578125" customWidth="1"/>
    <col min="2" max="2" width="120.140625" customWidth="1"/>
    <col min="3" max="3" width="17.28515625" customWidth="1"/>
    <col min="4" max="4" width="17.140625" customWidth="1"/>
    <col min="5" max="5" width="20" customWidth="1"/>
    <col min="6" max="6" width="13.42578125" customWidth="1"/>
    <col min="7" max="7" width="13" customWidth="1"/>
    <col min="8" max="9" width="13.42578125" customWidth="1"/>
    <col min="10" max="10" width="14.85546875" customWidth="1"/>
    <col min="11" max="11" width="15.28515625" customWidth="1"/>
    <col min="12" max="12" width="13.42578125" customWidth="1"/>
    <col min="13" max="13" width="12.140625" customWidth="1"/>
    <col min="14" max="14" width="27.7109375" customWidth="1"/>
    <col min="15" max="19" width="9" customWidth="1"/>
  </cols>
  <sheetData>
    <row r="1" spans="2:11" ht="13.5" customHeight="1">
      <c r="B1" s="15"/>
      <c r="C1" s="70"/>
      <c r="D1" s="70"/>
      <c r="E1" s="451"/>
      <c r="F1" s="427"/>
    </row>
    <row r="2" spans="2:11" ht="13.5" customHeight="1">
      <c r="B2" s="423" t="s">
        <v>686</v>
      </c>
      <c r="C2" s="99">
        <f>'Control Panel'!V5</f>
        <v>2020</v>
      </c>
      <c r="D2" s="99">
        <f>'Control Panel'!W5</f>
        <v>2021</v>
      </c>
      <c r="E2" s="452">
        <f>'Control Panel'!X5</f>
        <v>2022</v>
      </c>
      <c r="F2" s="424">
        <f>'Control Panel'!Y5</f>
        <v>2023</v>
      </c>
      <c r="G2" s="99">
        <f>'Control Panel'!Z5</f>
        <v>2024</v>
      </c>
      <c r="H2" s="99">
        <f>'Control Panel'!AA5</f>
        <v>2025</v>
      </c>
      <c r="I2" s="99">
        <f>'Control Panel'!AB5</f>
        <v>2026</v>
      </c>
      <c r="J2" s="99">
        <f>'Control Panel'!AC5</f>
        <v>2027</v>
      </c>
      <c r="K2" s="99">
        <f>'Control Panel'!AD5</f>
        <v>2028</v>
      </c>
    </row>
    <row r="3" spans="2:11" ht="13.5" customHeight="1">
      <c r="B3" s="423" t="s">
        <v>117</v>
      </c>
      <c r="C3">
        <f>'Control Panel'!V7</f>
        <v>366</v>
      </c>
      <c r="D3">
        <f>'Control Panel'!W7</f>
        <v>365</v>
      </c>
      <c r="E3" s="448">
        <f>'Control Panel'!X7</f>
        <v>365</v>
      </c>
      <c r="F3" s="425">
        <f>'Control Panel'!Y7</f>
        <v>365</v>
      </c>
      <c r="G3">
        <f>'Control Panel'!Z7</f>
        <v>366</v>
      </c>
      <c r="H3">
        <f>'Control Panel'!AA7</f>
        <v>365</v>
      </c>
      <c r="I3">
        <f>'Control Panel'!AB7</f>
        <v>365</v>
      </c>
      <c r="J3">
        <f>'Control Panel'!AC7</f>
        <v>365</v>
      </c>
      <c r="K3">
        <f>'Control Panel'!AD7</f>
        <v>365</v>
      </c>
    </row>
    <row r="4" spans="2:11" ht="13.5" customHeight="1">
      <c r="B4" s="98"/>
      <c r="C4" s="99"/>
      <c r="D4" s="99"/>
      <c r="E4" s="452"/>
      <c r="F4" s="424"/>
      <c r="G4" s="99"/>
      <c r="H4" s="99"/>
      <c r="I4" s="99"/>
      <c r="J4" s="99"/>
      <c r="K4" s="99"/>
    </row>
    <row r="5" spans="2:11" ht="13.5" customHeight="1">
      <c r="B5" s="15"/>
      <c r="C5" s="106"/>
      <c r="D5" s="106"/>
      <c r="E5" s="457"/>
      <c r="F5" s="433"/>
      <c r="G5" s="106"/>
      <c r="H5" s="106"/>
      <c r="I5" s="106"/>
      <c r="J5" s="106"/>
      <c r="K5" s="106"/>
    </row>
    <row r="6" spans="2:11" ht="13.5" customHeight="1">
      <c r="B6" s="15"/>
      <c r="C6" s="107"/>
      <c r="D6" s="107"/>
      <c r="E6" s="458"/>
      <c r="F6" s="434"/>
      <c r="G6" s="107"/>
      <c r="H6" s="107"/>
      <c r="I6" s="107"/>
      <c r="J6" s="107"/>
      <c r="K6" s="107"/>
    </row>
    <row r="7" spans="2:11" ht="13.5" customHeight="1">
      <c r="B7" s="65" t="s">
        <v>137</v>
      </c>
      <c r="C7" s="65"/>
      <c r="D7" s="65"/>
      <c r="E7" s="459"/>
      <c r="F7" s="435"/>
      <c r="G7" s="65"/>
      <c r="H7" s="65"/>
      <c r="I7" s="65"/>
      <c r="J7" s="65"/>
      <c r="K7" s="65"/>
    </row>
    <row r="8" spans="2:11" ht="13.5" customHeight="1">
      <c r="B8" s="15"/>
      <c r="C8" s="102"/>
      <c r="D8" s="102"/>
      <c r="E8" s="455"/>
      <c r="F8" s="428"/>
      <c r="G8" s="102"/>
      <c r="H8" s="102"/>
      <c r="I8" s="102"/>
      <c r="J8" s="102"/>
      <c r="K8" s="102"/>
    </row>
    <row r="9" spans="2:11" ht="13.5" customHeight="1">
      <c r="B9" s="108" t="s">
        <v>138</v>
      </c>
      <c r="C9" s="102"/>
      <c r="D9" s="102"/>
      <c r="E9" s="455"/>
      <c r="F9" s="428"/>
      <c r="G9" s="102"/>
      <c r="H9" s="102"/>
      <c r="I9" s="102"/>
      <c r="J9" s="102"/>
      <c r="K9" s="102"/>
    </row>
    <row r="10" spans="2:11" ht="13.5" customHeight="1">
      <c r="B10" s="15"/>
      <c r="C10" s="102"/>
      <c r="D10" s="102"/>
      <c r="E10" s="455"/>
      <c r="F10" s="428"/>
      <c r="G10" s="102"/>
      <c r="H10" s="102"/>
      <c r="I10" s="102"/>
      <c r="J10" s="102"/>
      <c r="K10" s="102"/>
    </row>
    <row r="11" spans="2:11" ht="13.5" customHeight="1">
      <c r="B11" s="2" t="s">
        <v>139</v>
      </c>
      <c r="C11" s="100"/>
      <c r="D11" s="100"/>
      <c r="E11" s="453"/>
      <c r="F11" s="426" t="e">
        <f>+#REF!</f>
        <v>#REF!</v>
      </c>
      <c r="G11" s="69" t="e">
        <f>+F33</f>
        <v>#REF!</v>
      </c>
      <c r="H11" s="69" t="e">
        <f t="shared" ref="H11:K11" si="0">+G33</f>
        <v>#REF!</v>
      </c>
      <c r="I11" s="69" t="e">
        <f t="shared" si="0"/>
        <v>#REF!</v>
      </c>
      <c r="J11" s="69" t="e">
        <f t="shared" si="0"/>
        <v>#REF!</v>
      </c>
      <c r="K11" s="69" t="e">
        <f t="shared" si="0"/>
        <v>#REF!</v>
      </c>
    </row>
    <row r="12" spans="2:11" ht="13.5" customHeight="1">
      <c r="B12" s="2" t="s">
        <v>140</v>
      </c>
      <c r="C12" s="69" t="e">
        <f ca="1">C33-SUM(C11:C12,C31)</f>
        <v>#REF!</v>
      </c>
      <c r="D12" s="69" t="e">
        <f>-#REF!-#REF!</f>
        <v>#REF!</v>
      </c>
      <c r="E12" s="456" t="e">
        <f>-#REF!-#REF!</f>
        <v>#REF!</v>
      </c>
      <c r="F12" s="426" t="e">
        <f>#REF!*'Control Panel'!$S$32</f>
        <v>#REF!</v>
      </c>
      <c r="G12" s="69" t="e">
        <f>#REF!*'Control Panel'!$S$32</f>
        <v>#REF!</v>
      </c>
      <c r="H12" s="69" t="e">
        <f>#REF!*'Control Panel'!$S$32</f>
        <v>#REF!</v>
      </c>
      <c r="I12" s="69" t="e">
        <f>#REF!*'Control Panel'!$S$32</f>
        <v>#REF!</v>
      </c>
      <c r="J12" s="69" t="e">
        <f>#REF!*'Control Panel'!$S$32</f>
        <v>#REF!</v>
      </c>
      <c r="K12" s="69" t="e">
        <f>#REF!*'Control Panel'!$S$32</f>
        <v>#REF!</v>
      </c>
    </row>
    <row r="13" spans="2:11" ht="13.5" customHeight="1">
      <c r="B13" s="2" t="s">
        <v>141</v>
      </c>
      <c r="D13" s="69" t="e">
        <f t="shared" ref="D13:E13" si="1">D33-SUM(D11:D12,D31)</f>
        <v>#REF!</v>
      </c>
      <c r="E13" s="456" t="e">
        <f t="shared" si="1"/>
        <v>#REF!</v>
      </c>
      <c r="F13" s="436"/>
      <c r="G13" s="101"/>
      <c r="H13" s="101"/>
      <c r="I13" s="101"/>
      <c r="J13" s="101"/>
      <c r="K13" s="101"/>
    </row>
    <row r="14" spans="2:11" ht="13.5" customHeight="1">
      <c r="B14" s="2"/>
      <c r="C14" s="102"/>
      <c r="D14" s="102"/>
      <c r="E14" s="455"/>
      <c r="F14" s="428"/>
      <c r="G14" s="102"/>
      <c r="H14" s="102"/>
      <c r="I14" s="102"/>
      <c r="J14" s="102"/>
      <c r="K14" s="102"/>
    </row>
    <row r="15" spans="2:11" ht="13.5" customHeight="1">
      <c r="B15" s="2" t="s">
        <v>142</v>
      </c>
      <c r="C15" s="102"/>
      <c r="D15" s="102"/>
      <c r="E15" s="455"/>
      <c r="F15" s="426" t="e">
        <f>-F11/'Control Panel'!$S$33</f>
        <v>#REF!</v>
      </c>
      <c r="G15" s="69" t="e">
        <f>IF(#REF!&gt;#REF!+'Control Panel'!$S$33-1,0,F15)</f>
        <v>#REF!</v>
      </c>
      <c r="H15" s="69" t="e">
        <f>IF(#REF!&gt;#REF!+'Control Panel'!$S$33-1,0,G15)</f>
        <v>#REF!</v>
      </c>
      <c r="I15" s="69" t="e">
        <f>IF(#REF!&gt;#REF!+'Control Panel'!$S$33-1,0,H15)</f>
        <v>#REF!</v>
      </c>
      <c r="J15" s="69" t="e">
        <f>IF(#REF!&gt;#REF!+'Control Panel'!$S$33-1,0,I15)</f>
        <v>#REF!</v>
      </c>
      <c r="K15" s="69" t="e">
        <f>IF(#REF!&gt;#REF!+'Control Panel'!$S$33-1,0,J15)</f>
        <v>#REF!</v>
      </c>
    </row>
    <row r="16" spans="2:11" ht="13.5" customHeight="1">
      <c r="B16" s="2"/>
      <c r="C16" s="102"/>
      <c r="D16" s="102"/>
      <c r="E16" s="455"/>
      <c r="F16" s="428"/>
      <c r="G16" s="102"/>
      <c r="H16" s="102"/>
      <c r="I16" s="102"/>
      <c r="J16" s="102"/>
      <c r="K16" s="102"/>
    </row>
    <row r="17" spans="2:14" ht="13.5" customHeight="1">
      <c r="B17" s="15" t="s">
        <v>143</v>
      </c>
      <c r="C17" s="102"/>
      <c r="D17" s="102"/>
      <c r="E17" s="455"/>
      <c r="F17" s="428"/>
      <c r="G17" s="102"/>
      <c r="H17" s="102"/>
      <c r="I17" s="102"/>
      <c r="J17" s="102"/>
      <c r="K17" s="102"/>
    </row>
    <row r="18" spans="2:14" ht="13.5" customHeight="1">
      <c r="B18" s="109" t="e">
        <f>#REF!</f>
        <v>#REF!</v>
      </c>
      <c r="C18" s="102"/>
      <c r="D18" s="102"/>
      <c r="E18" s="455"/>
      <c r="F18" s="426" t="e">
        <f>-F$12/'Control Panel'!$S$33</f>
        <v>#REF!</v>
      </c>
      <c r="G18" s="69" t="e">
        <f>IF(#REF!&gt;$B18+'Control Panel'!$S$33-1,0,'Main support'!F18)</f>
        <v>#REF!</v>
      </c>
      <c r="H18" s="69" t="e">
        <f>IF(#REF!&gt;$B18+'Control Panel'!$S$33-1,0,'Main support'!G18)</f>
        <v>#REF!</v>
      </c>
      <c r="I18" s="69" t="e">
        <f>IF(#REF!&gt;$B18+'Control Panel'!$S$33-1,0,'Main support'!H18)</f>
        <v>#REF!</v>
      </c>
      <c r="J18" s="69" t="e">
        <f>IF(#REF!&gt;$B18+'Control Panel'!$S$33-1,0,'Main support'!I18)</f>
        <v>#REF!</v>
      </c>
      <c r="K18" s="69" t="e">
        <f>IF(#REF!&gt;$B18+'Control Panel'!$S$33-1,0,'Main support'!J18)</f>
        <v>#REF!</v>
      </c>
    </row>
    <row r="19" spans="2:14" ht="13.5" customHeight="1">
      <c r="B19" s="109" t="e">
        <f t="shared" ref="B19:B28" si="2">+B18+1</f>
        <v>#REF!</v>
      </c>
      <c r="C19" s="102"/>
      <c r="D19" s="102"/>
      <c r="E19" s="455"/>
      <c r="F19" s="437"/>
      <c r="G19" s="69" t="e">
        <f>-G$12/'Control Panel'!$S$33</f>
        <v>#REF!</v>
      </c>
      <c r="H19" s="69" t="e">
        <f>IF(#REF!&gt;$B19+'Control Panel'!$S$33-1,0,'Main support'!G19)</f>
        <v>#REF!</v>
      </c>
      <c r="I19" s="69" t="e">
        <f>IF(#REF!&gt;$B19+'Control Panel'!$S$33-1,0,'Main support'!H19)</f>
        <v>#REF!</v>
      </c>
      <c r="J19" s="69" t="e">
        <f>IF(#REF!&gt;$B19+'Control Panel'!$S$33-1,0,'Main support'!I19)</f>
        <v>#REF!</v>
      </c>
      <c r="K19" s="69" t="e">
        <f>IF(#REF!&gt;$B19+'Control Panel'!$S$33-1,0,'Main support'!J19)</f>
        <v>#REF!</v>
      </c>
    </row>
    <row r="20" spans="2:14" ht="13.5" customHeight="1">
      <c r="B20" s="109" t="e">
        <f t="shared" si="2"/>
        <v>#REF!</v>
      </c>
      <c r="C20" s="102"/>
      <c r="D20" s="102"/>
      <c r="E20" s="455"/>
      <c r="F20" s="437"/>
      <c r="G20" s="110"/>
      <c r="H20" s="69" t="e">
        <f>-H$12/'Control Panel'!$S$33</f>
        <v>#REF!</v>
      </c>
      <c r="I20" s="69" t="e">
        <f>IF(#REF!&gt;$B20+'Control Panel'!$S$33-1,0,'Main support'!H20)</f>
        <v>#REF!</v>
      </c>
      <c r="J20" s="69" t="e">
        <f>IF(#REF!&gt;$B20+'Control Panel'!$S$33-1,0,'Main support'!I20)</f>
        <v>#REF!</v>
      </c>
      <c r="K20" s="69" t="e">
        <f>IF(#REF!&gt;$B20+'Control Panel'!$S$33-1,0,'Main support'!J20)</f>
        <v>#REF!</v>
      </c>
      <c r="L20" s="102"/>
    </row>
    <row r="21" spans="2:14" ht="13.5" customHeight="1">
      <c r="B21" s="109" t="e">
        <f t="shared" si="2"/>
        <v>#REF!</v>
      </c>
      <c r="C21" s="102"/>
      <c r="D21" s="102"/>
      <c r="E21" s="455"/>
      <c r="F21" s="437"/>
      <c r="G21" s="110"/>
      <c r="H21" s="110"/>
      <c r="I21" s="69" t="e">
        <f>-I$12/'Control Panel'!$S$33</f>
        <v>#REF!</v>
      </c>
      <c r="J21" s="69" t="e">
        <f>IF(#REF!&gt;$B21+'Control Panel'!$S$33-1,0,'Main support'!I21)</f>
        <v>#REF!</v>
      </c>
      <c r="K21" s="69" t="e">
        <f>IF(#REF!&gt;$B21+'Control Panel'!$S$33-1,0,'Main support'!J21)</f>
        <v>#REF!</v>
      </c>
    </row>
    <row r="22" spans="2:14" ht="13.5" customHeight="1">
      <c r="B22" s="109" t="e">
        <f t="shared" si="2"/>
        <v>#REF!</v>
      </c>
      <c r="C22" s="102"/>
      <c r="D22" s="102"/>
      <c r="E22" s="455"/>
      <c r="F22" s="437"/>
      <c r="G22" s="110"/>
      <c r="H22" s="110"/>
      <c r="I22" s="110"/>
      <c r="J22" s="69" t="e">
        <f>-J$12/'Control Panel'!$S$33</f>
        <v>#REF!</v>
      </c>
      <c r="K22" s="69" t="e">
        <f>IF(#REF!&gt;$B22+'Control Panel'!$S$33-1,0,'Main support'!J22)</f>
        <v>#REF!</v>
      </c>
      <c r="L22" s="102"/>
    </row>
    <row r="23" spans="2:14" ht="13.5" customHeight="1">
      <c r="B23" s="109" t="e">
        <f t="shared" si="2"/>
        <v>#REF!</v>
      </c>
      <c r="C23" s="102"/>
      <c r="D23" s="102"/>
      <c r="E23" s="455"/>
      <c r="F23" s="437"/>
      <c r="G23" s="110"/>
      <c r="H23" s="110"/>
      <c r="I23" s="110"/>
      <c r="J23" s="110"/>
      <c r="K23" s="69" t="e">
        <f>-K$12/'Control Panel'!$S$33</f>
        <v>#REF!</v>
      </c>
      <c r="L23" s="102"/>
    </row>
    <row r="24" spans="2:14" ht="13.5" customHeight="1">
      <c r="B24" s="109" t="e">
        <f t="shared" si="2"/>
        <v>#REF!</v>
      </c>
      <c r="C24" s="102"/>
      <c r="D24" s="102"/>
      <c r="E24" s="455"/>
      <c r="F24" s="437"/>
      <c r="G24" s="110"/>
      <c r="H24" s="110"/>
      <c r="I24" s="110"/>
      <c r="J24" s="110"/>
      <c r="K24" s="110"/>
    </row>
    <row r="25" spans="2:14" ht="13.5" customHeight="1">
      <c r="B25" s="109" t="e">
        <f t="shared" si="2"/>
        <v>#REF!</v>
      </c>
      <c r="C25" s="102"/>
      <c r="D25" s="102"/>
      <c r="E25" s="455"/>
      <c r="F25" s="437"/>
      <c r="G25" s="110"/>
      <c r="H25" s="110"/>
      <c r="I25" s="110"/>
      <c r="J25" s="110"/>
      <c r="K25" s="110"/>
    </row>
    <row r="26" spans="2:14" ht="13.5" customHeight="1">
      <c r="B26" s="109" t="e">
        <f t="shared" si="2"/>
        <v>#REF!</v>
      </c>
      <c r="C26" s="102"/>
      <c r="D26" s="102"/>
      <c r="E26" s="455"/>
      <c r="F26" s="437"/>
      <c r="G26" s="110"/>
      <c r="H26" s="110"/>
      <c r="I26" s="110"/>
      <c r="J26" s="110"/>
      <c r="K26" s="110"/>
    </row>
    <row r="27" spans="2:14" ht="13.5" customHeight="1">
      <c r="B27" s="109" t="e">
        <f t="shared" si="2"/>
        <v>#REF!</v>
      </c>
      <c r="C27" s="102"/>
      <c r="D27" s="102"/>
      <c r="E27" s="455"/>
      <c r="F27" s="437"/>
      <c r="G27" s="110"/>
      <c r="H27" s="110"/>
      <c r="I27" s="110"/>
      <c r="J27" s="110"/>
      <c r="K27" s="110"/>
    </row>
    <row r="28" spans="2:14" ht="13.5" customHeight="1">
      <c r="B28" s="109" t="e">
        <f t="shared" si="2"/>
        <v>#REF!</v>
      </c>
      <c r="C28" s="102"/>
      <c r="D28" s="102"/>
      <c r="E28" s="455"/>
      <c r="F28" s="437"/>
      <c r="G28" s="110"/>
      <c r="H28" s="110"/>
      <c r="I28" s="110"/>
      <c r="J28" s="110"/>
      <c r="K28" s="110"/>
      <c r="L28" s="69"/>
      <c r="M28" s="69"/>
      <c r="N28" s="69"/>
    </row>
    <row r="29" spans="2:14" ht="13.5" customHeight="1">
      <c r="B29" s="111" t="s">
        <v>143</v>
      </c>
      <c r="C29" s="105">
        <f t="shared" ref="C29:K29" si="3">SUM(C18:C28)</f>
        <v>0</v>
      </c>
      <c r="D29" s="105">
        <f t="shared" si="3"/>
        <v>0</v>
      </c>
      <c r="E29" s="456">
        <f t="shared" si="3"/>
        <v>0</v>
      </c>
      <c r="F29" s="432" t="e">
        <f t="shared" si="3"/>
        <v>#REF!</v>
      </c>
      <c r="G29" s="105" t="e">
        <f t="shared" si="3"/>
        <v>#REF!</v>
      </c>
      <c r="H29" s="105" t="e">
        <f t="shared" si="3"/>
        <v>#REF!</v>
      </c>
      <c r="I29" s="105" t="e">
        <f t="shared" si="3"/>
        <v>#REF!</v>
      </c>
      <c r="J29" s="105" t="e">
        <f t="shared" si="3"/>
        <v>#REF!</v>
      </c>
      <c r="K29" s="105" t="e">
        <f t="shared" si="3"/>
        <v>#REF!</v>
      </c>
    </row>
    <row r="30" spans="2:14" ht="13.5" customHeight="1">
      <c r="B30" s="2"/>
      <c r="C30" s="102"/>
      <c r="D30" s="102"/>
      <c r="E30" s="455"/>
      <c r="F30" s="428"/>
      <c r="G30" s="102"/>
      <c r="H30" s="102"/>
      <c r="I30" s="102"/>
      <c r="J30" s="102"/>
      <c r="K30" s="102"/>
    </row>
    <row r="31" spans="2:14" ht="13.5" customHeight="1">
      <c r="B31" s="2" t="s">
        <v>144</v>
      </c>
      <c r="C31" s="69" t="e">
        <f>-#REF!-C58</f>
        <v>#REF!</v>
      </c>
      <c r="D31" s="69" t="e">
        <f>-#REF!-D58</f>
        <v>#REF!</v>
      </c>
      <c r="E31" s="456" t="e">
        <f>-#REF!-E58</f>
        <v>#REF!</v>
      </c>
      <c r="F31" s="426" t="e">
        <f t="shared" ref="F31:K31" si="4">F29+F15</f>
        <v>#REF!</v>
      </c>
      <c r="G31" s="69" t="e">
        <f t="shared" si="4"/>
        <v>#REF!</v>
      </c>
      <c r="H31" s="69" t="e">
        <f t="shared" si="4"/>
        <v>#REF!</v>
      </c>
      <c r="I31" s="69" t="e">
        <f t="shared" si="4"/>
        <v>#REF!</v>
      </c>
      <c r="J31" s="69" t="e">
        <f t="shared" si="4"/>
        <v>#REF!</v>
      </c>
      <c r="K31" s="69" t="e">
        <f t="shared" si="4"/>
        <v>#REF!</v>
      </c>
    </row>
    <row r="32" spans="2:14" ht="13.5" customHeight="1">
      <c r="B32" s="2"/>
      <c r="C32" s="102"/>
      <c r="D32" s="102"/>
      <c r="E32" s="455"/>
      <c r="F32" s="428"/>
      <c r="G32" s="102"/>
      <c r="H32" s="102"/>
      <c r="I32" s="102"/>
      <c r="J32" s="102"/>
      <c r="K32" s="102"/>
    </row>
    <row r="33" spans="2:19" ht="13.5" customHeight="1">
      <c r="B33" s="66" t="s">
        <v>145</v>
      </c>
      <c r="C33" s="103" t="e">
        <f t="shared" ref="C33:E33" si="5">+#REF!-C60</f>
        <v>#REF!</v>
      </c>
      <c r="D33" s="103" t="e">
        <f t="shared" si="5"/>
        <v>#REF!</v>
      </c>
      <c r="E33" s="457" t="e">
        <f t="shared" si="5"/>
        <v>#REF!</v>
      </c>
      <c r="F33" s="429" t="e">
        <f t="shared" ref="F33:K33" si="6">F11+F12+F31</f>
        <v>#REF!</v>
      </c>
      <c r="G33" s="103" t="e">
        <f t="shared" si="6"/>
        <v>#REF!</v>
      </c>
      <c r="H33" s="103" t="e">
        <f t="shared" si="6"/>
        <v>#REF!</v>
      </c>
      <c r="I33" s="103" t="e">
        <f t="shared" si="6"/>
        <v>#REF!</v>
      </c>
      <c r="J33" s="103" t="e">
        <f t="shared" si="6"/>
        <v>#REF!</v>
      </c>
      <c r="K33" s="103" t="e">
        <f t="shared" si="6"/>
        <v>#REF!</v>
      </c>
    </row>
    <row r="34" spans="2:19" ht="13.5" customHeight="1">
      <c r="B34" s="112"/>
      <c r="C34" s="113"/>
      <c r="D34" s="113"/>
      <c r="E34" s="460"/>
      <c r="F34" s="438"/>
      <c r="G34" s="113"/>
      <c r="H34" s="113"/>
      <c r="I34" s="113"/>
      <c r="J34" s="113"/>
      <c r="K34" s="113"/>
    </row>
    <row r="35" spans="2:19" ht="13.5" customHeight="1">
      <c r="B35" s="112"/>
      <c r="C35" s="113"/>
      <c r="D35" s="113"/>
      <c r="E35" s="460"/>
      <c r="F35" s="438"/>
      <c r="G35" s="113"/>
      <c r="H35" s="113"/>
      <c r="I35" s="113"/>
      <c r="J35" s="113"/>
      <c r="K35" s="113"/>
    </row>
    <row r="36" spans="2:19" ht="13.5" customHeight="1">
      <c r="B36" s="107" t="s">
        <v>146</v>
      </c>
      <c r="C36" s="102"/>
      <c r="D36" s="102"/>
      <c r="E36" s="455"/>
      <c r="F36" s="428"/>
      <c r="G36" s="102"/>
      <c r="H36" s="102"/>
      <c r="I36" s="102"/>
      <c r="J36" s="102"/>
      <c r="K36" s="102"/>
    </row>
    <row r="37" spans="2:19" ht="13.5" customHeight="1">
      <c r="B37" s="107"/>
      <c r="C37" s="102"/>
      <c r="D37" s="102"/>
      <c r="E37" s="455"/>
      <c r="F37" s="428"/>
      <c r="G37" s="102"/>
      <c r="H37" s="102"/>
      <c r="I37" s="102"/>
      <c r="J37" s="102"/>
      <c r="K37" s="102"/>
    </row>
    <row r="38" spans="2:19" ht="13.5" customHeight="1">
      <c r="B38" s="114" t="s">
        <v>147</v>
      </c>
      <c r="C38" s="115"/>
      <c r="D38" s="115"/>
      <c r="E38" s="450"/>
      <c r="F38" s="439"/>
      <c r="G38" s="115"/>
      <c r="H38" s="115"/>
      <c r="I38" s="115"/>
      <c r="J38" s="115"/>
      <c r="K38" s="115"/>
    </row>
    <row r="39" spans="2:19" ht="13.5" customHeight="1">
      <c r="B39" s="69" t="s">
        <v>148</v>
      </c>
      <c r="C39" s="100"/>
      <c r="D39" s="100"/>
      <c r="E39" s="453"/>
      <c r="F39" s="426" t="e">
        <f>#REF!</f>
        <v>#REF!</v>
      </c>
      <c r="G39" s="69" t="e">
        <f>F60</f>
        <v>#REF!</v>
      </c>
      <c r="H39" s="69" t="e">
        <f t="shared" ref="H39:K39" si="7">G60</f>
        <v>#REF!</v>
      </c>
      <c r="I39" s="69" t="e">
        <f t="shared" si="7"/>
        <v>#REF!</v>
      </c>
      <c r="J39" s="69" t="e">
        <f t="shared" si="7"/>
        <v>#REF!</v>
      </c>
      <c r="K39" s="69" t="e">
        <f t="shared" si="7"/>
        <v>#REF!</v>
      </c>
    </row>
    <row r="40" spans="2:19" ht="13.5" customHeight="1">
      <c r="B40" s="69" t="s">
        <v>149</v>
      </c>
      <c r="C40" s="69"/>
      <c r="D40" s="69"/>
      <c r="E40" s="456"/>
      <c r="F40" s="426" t="e">
        <f>#REF!*'Control Panel'!$S$38</f>
        <v>#REF!</v>
      </c>
      <c r="G40" s="69" t="e">
        <f>#REF!*'Control Panel'!$S$38</f>
        <v>#REF!</v>
      </c>
      <c r="H40" s="69" t="e">
        <f>#REF!*'Control Panel'!$S$38</f>
        <v>#REF!</v>
      </c>
      <c r="I40" s="69" t="e">
        <f>#REF!*'Control Panel'!$S$38</f>
        <v>#REF!</v>
      </c>
      <c r="J40" s="69" t="e">
        <f>#REF!*'Control Panel'!$S$38</f>
        <v>#REF!</v>
      </c>
      <c r="K40" s="69" t="e">
        <f>#REF!*'Control Panel'!$S$38</f>
        <v>#REF!</v>
      </c>
    </row>
    <row r="41" spans="2:19" ht="13.5" customHeight="1">
      <c r="B41" s="2"/>
      <c r="C41" s="102"/>
      <c r="D41" s="102"/>
      <c r="E41" s="455"/>
      <c r="F41" s="428"/>
      <c r="G41" s="102"/>
      <c r="H41" s="102"/>
      <c r="I41" s="102"/>
      <c r="J41" s="102"/>
      <c r="K41" s="102"/>
    </row>
    <row r="42" spans="2:19" ht="13.5" customHeight="1">
      <c r="B42" s="69" t="s">
        <v>150</v>
      </c>
      <c r="C42" s="102"/>
      <c r="D42" s="102"/>
      <c r="E42" s="455"/>
      <c r="F42" s="426" t="e">
        <f>-F39/'Control Panel'!$S$40</f>
        <v>#REF!</v>
      </c>
      <c r="G42" s="69" t="e">
        <f>IF($F$39+SUM($F$42:F42)&gt;-F42,F42,-$F$39-SUM($F$42:F42))</f>
        <v>#REF!</v>
      </c>
      <c r="H42" s="69" t="e">
        <f>IF($F$39+SUM($F$42:G42)&gt;-G42,G42,-$F$39-SUM($F$42:G42))</f>
        <v>#REF!</v>
      </c>
      <c r="I42" s="69" t="e">
        <f>IF($F$39+SUM($F$42:H42)&gt;-H42,H42,-$F$39-SUM($F$42:H42))</f>
        <v>#REF!</v>
      </c>
      <c r="J42" s="69" t="e">
        <f>IF($F$39+SUM($F$42:I42)&gt;-I42,I42,-$F$39-SUM($F$42:I42))</f>
        <v>#REF!</v>
      </c>
      <c r="K42" s="69" t="e">
        <f>IF($F$39+SUM($F$42:J42)&gt;-J42,J42,-$F$39-SUM($F$42:J42))</f>
        <v>#REF!</v>
      </c>
      <c r="L42" s="18"/>
      <c r="M42" s="18"/>
      <c r="N42" s="18"/>
    </row>
    <row r="43" spans="2:19" ht="13.5" customHeight="1">
      <c r="B43" s="2"/>
      <c r="C43" s="102"/>
      <c r="D43" s="102"/>
      <c r="E43" s="455"/>
      <c r="F43" s="428"/>
      <c r="G43" s="102"/>
      <c r="H43" s="102"/>
      <c r="I43" s="102"/>
      <c r="J43" s="102"/>
      <c r="K43" s="102"/>
    </row>
    <row r="44" spans="2:19" ht="13.5" customHeight="1">
      <c r="B44" s="15" t="s">
        <v>151</v>
      </c>
      <c r="C44" s="102"/>
      <c r="D44" s="102"/>
      <c r="E44" s="455"/>
      <c r="F44" s="428"/>
      <c r="G44" s="102"/>
      <c r="H44" s="102"/>
      <c r="I44" s="102"/>
      <c r="J44" s="102"/>
      <c r="K44" s="102"/>
    </row>
    <row r="45" spans="2:19" ht="13.5" customHeight="1">
      <c r="B45" s="109" t="e">
        <f>#REF!</f>
        <v>#REF!</v>
      </c>
      <c r="C45" s="102"/>
      <c r="D45" s="102"/>
      <c r="E45" s="455"/>
      <c r="F45" s="426" t="e">
        <f>-F$40/'Control Panel'!$S$41</f>
        <v>#REF!</v>
      </c>
      <c r="G45" s="69" t="e">
        <f>IF(#REF!&gt;$B45+'Control Panel'!$S$41-1,0,'Main support'!F45)</f>
        <v>#REF!</v>
      </c>
      <c r="H45" s="69" t="e">
        <f>IF(#REF!&gt;$B45+'Control Panel'!$S$41-1,0,'Main support'!G45)</f>
        <v>#REF!</v>
      </c>
      <c r="I45" s="69" t="e">
        <f>IF(#REF!&gt;$B45+'Control Panel'!$S$41-1,0,'Main support'!H45)</f>
        <v>#REF!</v>
      </c>
      <c r="J45" s="69" t="e">
        <f>IF(#REF!&gt;$B45+'Control Panel'!$S$41-1,0,'Main support'!I45)</f>
        <v>#REF!</v>
      </c>
      <c r="K45" s="69" t="e">
        <f>IF(#REF!&gt;$B45+'Control Panel'!$S$41-1,0,'Main support'!J45)</f>
        <v>#REF!</v>
      </c>
    </row>
    <row r="46" spans="2:19" ht="13.5" customHeight="1">
      <c r="B46" s="109" t="e">
        <f t="shared" ref="B46:B55" si="8">+B45+1</f>
        <v>#REF!</v>
      </c>
      <c r="C46" s="102"/>
      <c r="D46" s="102"/>
      <c r="E46" s="455"/>
      <c r="F46" s="437"/>
      <c r="G46" s="69" t="e">
        <f>-G$40/'Control Panel'!$S$41</f>
        <v>#REF!</v>
      </c>
      <c r="H46" s="69" t="e">
        <f>IF(#REF!&gt;$B46+'Control Panel'!$S$41-1,0,'Main support'!G46)</f>
        <v>#REF!</v>
      </c>
      <c r="I46" s="69" t="e">
        <f>IF(#REF!&gt;$B46+'Control Panel'!$S$41-1,0,'Main support'!H46)</f>
        <v>#REF!</v>
      </c>
      <c r="J46" s="69" t="e">
        <f>IF(#REF!&gt;$B46+'Control Panel'!$S$41-1,0,'Main support'!I46)</f>
        <v>#REF!</v>
      </c>
      <c r="K46" s="69" t="e">
        <f>IF(#REF!&gt;$B46+'Control Panel'!$S$41-1,0,'Main support'!J46)</f>
        <v>#REF!</v>
      </c>
      <c r="O46" s="112"/>
      <c r="P46" s="112"/>
      <c r="Q46" s="112"/>
      <c r="R46" s="112"/>
      <c r="S46" s="112"/>
    </row>
    <row r="47" spans="2:19" ht="13.5" customHeight="1">
      <c r="B47" s="109" t="e">
        <f t="shared" si="8"/>
        <v>#REF!</v>
      </c>
      <c r="C47" s="102"/>
      <c r="D47" s="102"/>
      <c r="E47" s="455"/>
      <c r="F47" s="437"/>
      <c r="G47" s="110"/>
      <c r="H47" s="69" t="e">
        <f>-H$40/'Control Panel'!$S$41</f>
        <v>#REF!</v>
      </c>
      <c r="I47" s="69" t="e">
        <f>IF(#REF!&gt;$B47+'Control Panel'!$S$41-1,0,'Main support'!H47)</f>
        <v>#REF!</v>
      </c>
      <c r="J47" s="69" t="e">
        <f>IF(#REF!&gt;$B47+'Control Panel'!$S$41-1,0,'Main support'!I47)</f>
        <v>#REF!</v>
      </c>
      <c r="K47" s="69" t="e">
        <f>IF(#REF!&gt;$B47+'Control Panel'!$S$41-1,0,'Main support'!J47)</f>
        <v>#REF!</v>
      </c>
      <c r="O47" s="112"/>
      <c r="P47" s="112"/>
      <c r="Q47" s="112"/>
      <c r="R47" s="112"/>
      <c r="S47" s="112"/>
    </row>
    <row r="48" spans="2:19" ht="13.5" customHeight="1">
      <c r="B48" s="109" t="e">
        <f t="shared" si="8"/>
        <v>#REF!</v>
      </c>
      <c r="C48" s="102"/>
      <c r="D48" s="102"/>
      <c r="E48" s="455"/>
      <c r="F48" s="437"/>
      <c r="G48" s="110"/>
      <c r="H48" s="110"/>
      <c r="I48" s="69" t="e">
        <f>-I$40/'Control Panel'!$S$41</f>
        <v>#REF!</v>
      </c>
      <c r="J48" s="69" t="e">
        <f>IF(#REF!&gt;$B48+'Control Panel'!$S$41-1,0,'Main support'!I48)</f>
        <v>#REF!</v>
      </c>
      <c r="K48" s="69" t="e">
        <f>IF(#REF!&gt;$B48+'Control Panel'!$S$41-1,0,'Main support'!J48)</f>
        <v>#REF!</v>
      </c>
      <c r="O48" s="112"/>
      <c r="P48" s="112"/>
      <c r="Q48" s="112"/>
      <c r="R48" s="112"/>
      <c r="S48" s="112"/>
    </row>
    <row r="49" spans="2:14" ht="13.5" customHeight="1">
      <c r="B49" s="109" t="e">
        <f t="shared" si="8"/>
        <v>#REF!</v>
      </c>
      <c r="C49" s="102"/>
      <c r="D49" s="102"/>
      <c r="E49" s="455"/>
      <c r="F49" s="437"/>
      <c r="G49" s="110"/>
      <c r="H49" s="110"/>
      <c r="I49" s="110"/>
      <c r="J49" s="69" t="e">
        <f>-J$40/'Control Panel'!$S$41</f>
        <v>#REF!</v>
      </c>
      <c r="K49" s="69" t="e">
        <f>IF(#REF!&gt;$B49+'Control Panel'!$S$41-1,0,'Main support'!J49)</f>
        <v>#REF!</v>
      </c>
    </row>
    <row r="50" spans="2:14" ht="13.5" customHeight="1">
      <c r="B50" s="109" t="e">
        <f t="shared" si="8"/>
        <v>#REF!</v>
      </c>
      <c r="C50" s="102"/>
      <c r="D50" s="102"/>
      <c r="E50" s="455"/>
      <c r="F50" s="437"/>
      <c r="G50" s="110"/>
      <c r="H50" s="110"/>
      <c r="I50" s="110"/>
      <c r="J50" s="110"/>
      <c r="K50" s="69" t="e">
        <f>-K$40/'Control Panel'!$S$41</f>
        <v>#REF!</v>
      </c>
    </row>
    <row r="51" spans="2:14" ht="13.5" customHeight="1">
      <c r="B51" s="109" t="e">
        <f t="shared" si="8"/>
        <v>#REF!</v>
      </c>
      <c r="C51" s="102"/>
      <c r="D51" s="102"/>
      <c r="E51" s="455"/>
      <c r="F51" s="437"/>
      <c r="G51" s="110"/>
      <c r="H51" s="110"/>
      <c r="I51" s="110"/>
      <c r="J51" s="110"/>
      <c r="K51" s="110"/>
      <c r="L51" s="18"/>
    </row>
    <row r="52" spans="2:14" ht="13.5" customHeight="1">
      <c r="B52" s="109" t="e">
        <f t="shared" si="8"/>
        <v>#REF!</v>
      </c>
      <c r="C52" s="102"/>
      <c r="D52" s="102"/>
      <c r="E52" s="455"/>
      <c r="F52" s="437"/>
      <c r="G52" s="110"/>
      <c r="H52" s="110"/>
      <c r="I52" s="110"/>
      <c r="J52" s="110"/>
      <c r="K52" s="110"/>
    </row>
    <row r="53" spans="2:14" ht="13.5" customHeight="1">
      <c r="B53" s="109" t="e">
        <f t="shared" si="8"/>
        <v>#REF!</v>
      </c>
      <c r="C53" s="102"/>
      <c r="D53" s="102"/>
      <c r="E53" s="455"/>
      <c r="F53" s="437"/>
      <c r="G53" s="110"/>
      <c r="H53" s="110"/>
      <c r="I53" s="110"/>
      <c r="J53" s="110"/>
      <c r="K53" s="110"/>
    </row>
    <row r="54" spans="2:14" ht="13.5" customHeight="1">
      <c r="B54" s="109" t="e">
        <f t="shared" si="8"/>
        <v>#REF!</v>
      </c>
      <c r="C54" s="102"/>
      <c r="D54" s="102"/>
      <c r="E54" s="455"/>
      <c r="F54" s="437"/>
      <c r="G54" s="110"/>
      <c r="H54" s="110"/>
      <c r="I54" s="110"/>
      <c r="J54" s="110"/>
      <c r="K54" s="110"/>
    </row>
    <row r="55" spans="2:14" ht="13.5" customHeight="1">
      <c r="B55" s="109" t="e">
        <f t="shared" si="8"/>
        <v>#REF!</v>
      </c>
      <c r="C55" s="102"/>
      <c r="D55" s="102"/>
      <c r="E55" s="455"/>
      <c r="F55" s="437"/>
      <c r="G55" s="110"/>
      <c r="H55" s="110"/>
      <c r="I55" s="110"/>
      <c r="J55" s="110"/>
      <c r="K55" s="110"/>
      <c r="L55" s="69"/>
      <c r="M55" s="69"/>
      <c r="N55" s="69"/>
    </row>
    <row r="56" spans="2:14" ht="13.5" customHeight="1">
      <c r="B56" s="111" t="s">
        <v>143</v>
      </c>
      <c r="C56" s="105">
        <f t="shared" ref="C56:K56" si="9">SUM(C45:C55)</f>
        <v>0</v>
      </c>
      <c r="D56" s="105">
        <f t="shared" si="9"/>
        <v>0</v>
      </c>
      <c r="E56" s="456">
        <f t="shared" si="9"/>
        <v>0</v>
      </c>
      <c r="F56" s="432" t="e">
        <f t="shared" si="9"/>
        <v>#REF!</v>
      </c>
      <c r="G56" s="105" t="e">
        <f t="shared" si="9"/>
        <v>#REF!</v>
      </c>
      <c r="H56" s="105" t="e">
        <f t="shared" si="9"/>
        <v>#REF!</v>
      </c>
      <c r="I56" s="105" t="e">
        <f t="shared" si="9"/>
        <v>#REF!</v>
      </c>
      <c r="J56" s="105" t="e">
        <f t="shared" si="9"/>
        <v>#REF!</v>
      </c>
      <c r="K56" s="105" t="e">
        <f t="shared" si="9"/>
        <v>#REF!</v>
      </c>
    </row>
    <row r="57" spans="2:14" ht="13.5" customHeight="1">
      <c r="B57" s="2"/>
      <c r="C57" s="102"/>
      <c r="D57" s="102"/>
      <c r="E57" s="455"/>
      <c r="F57" s="428"/>
      <c r="G57" s="102"/>
      <c r="H57" s="102"/>
      <c r="I57" s="102"/>
      <c r="J57" s="102"/>
      <c r="K57" s="102"/>
    </row>
    <row r="58" spans="2:14" ht="13.5" customHeight="1">
      <c r="B58" s="2" t="s">
        <v>144</v>
      </c>
      <c r="C58" s="69"/>
      <c r="D58" s="69"/>
      <c r="E58" s="456"/>
      <c r="F58" s="426" t="e">
        <f t="shared" ref="F58:K58" si="10">F56+F42</f>
        <v>#REF!</v>
      </c>
      <c r="G58" s="69" t="e">
        <f t="shared" si="10"/>
        <v>#REF!</v>
      </c>
      <c r="H58" s="69" t="e">
        <f t="shared" si="10"/>
        <v>#REF!</v>
      </c>
      <c r="I58" s="69" t="e">
        <f t="shared" si="10"/>
        <v>#REF!</v>
      </c>
      <c r="J58" s="69" t="e">
        <f t="shared" si="10"/>
        <v>#REF!</v>
      </c>
      <c r="K58" s="69" t="e">
        <f t="shared" si="10"/>
        <v>#REF!</v>
      </c>
    </row>
    <row r="59" spans="2:14" ht="13.5" customHeight="1">
      <c r="B59" s="2"/>
      <c r="C59" s="102"/>
      <c r="D59" s="102"/>
      <c r="E59" s="455"/>
      <c r="F59" s="428"/>
      <c r="G59" s="102"/>
      <c r="H59" s="102"/>
      <c r="I59" s="102"/>
      <c r="J59" s="102"/>
      <c r="K59" s="102"/>
    </row>
    <row r="60" spans="2:14" ht="13.5" customHeight="1">
      <c r="B60" s="103" t="s">
        <v>152</v>
      </c>
      <c r="C60" s="116"/>
      <c r="D60" s="116"/>
      <c r="E60" s="461"/>
      <c r="F60" s="429" t="e">
        <f t="shared" ref="F60:K60" si="11">F39+F40+F58</f>
        <v>#REF!</v>
      </c>
      <c r="G60" s="103" t="e">
        <f t="shared" si="11"/>
        <v>#REF!</v>
      </c>
      <c r="H60" s="103" t="e">
        <f t="shared" si="11"/>
        <v>#REF!</v>
      </c>
      <c r="I60" s="103" t="e">
        <f t="shared" si="11"/>
        <v>#REF!</v>
      </c>
      <c r="J60" s="103" t="e">
        <f t="shared" si="11"/>
        <v>#REF!</v>
      </c>
      <c r="K60" s="103" t="e">
        <f t="shared" si="11"/>
        <v>#REF!</v>
      </c>
    </row>
    <row r="61" spans="2:14" ht="13.5" customHeight="1">
      <c r="B61" s="15" t="s">
        <v>153</v>
      </c>
      <c r="C61" s="106" t="e">
        <f t="shared" ref="C61:K61" si="12">C33+C60</f>
        <v>#REF!</v>
      </c>
      <c r="D61" s="106" t="e">
        <f t="shared" si="12"/>
        <v>#REF!</v>
      </c>
      <c r="E61" s="457" t="e">
        <f t="shared" si="12"/>
        <v>#REF!</v>
      </c>
      <c r="F61" s="433" t="e">
        <f t="shared" si="12"/>
        <v>#REF!</v>
      </c>
      <c r="G61" s="106" t="e">
        <f t="shared" si="12"/>
        <v>#REF!</v>
      </c>
      <c r="H61" s="106" t="e">
        <f t="shared" si="12"/>
        <v>#REF!</v>
      </c>
      <c r="I61" s="106" t="e">
        <f t="shared" si="12"/>
        <v>#REF!</v>
      </c>
      <c r="J61" s="106" t="e">
        <f t="shared" si="12"/>
        <v>#REF!</v>
      </c>
      <c r="K61" s="106" t="e">
        <f t="shared" si="12"/>
        <v>#REF!</v>
      </c>
    </row>
    <row r="62" spans="2:14" ht="13.5" customHeight="1">
      <c r="B62" s="15"/>
      <c r="C62" s="106"/>
      <c r="D62" s="106"/>
      <c r="E62" s="457"/>
      <c r="F62" s="433"/>
      <c r="G62" s="106"/>
      <c r="H62" s="106"/>
      <c r="I62" s="106"/>
      <c r="J62" s="106"/>
      <c r="K62" s="106"/>
    </row>
    <row r="63" spans="2:14" ht="13.5" customHeight="1">
      <c r="B63" s="15"/>
      <c r="C63" s="102"/>
      <c r="D63" s="102"/>
      <c r="E63" s="455"/>
      <c r="F63" s="428"/>
      <c r="G63" s="102"/>
      <c r="H63" s="102"/>
      <c r="I63" s="102"/>
      <c r="J63" s="102"/>
      <c r="K63" s="102"/>
    </row>
    <row r="64" spans="2:14" ht="13.5" customHeight="1">
      <c r="B64" s="114" t="s">
        <v>154</v>
      </c>
      <c r="C64" s="115"/>
      <c r="D64" s="115"/>
      <c r="E64" s="450"/>
      <c r="F64" s="439"/>
      <c r="G64" s="115"/>
      <c r="H64" s="115"/>
      <c r="I64" s="115"/>
      <c r="J64" s="115"/>
      <c r="K64" s="115"/>
    </row>
    <row r="65" spans="2:11" ht="13.5" customHeight="1">
      <c r="B65" s="15"/>
      <c r="C65" s="102"/>
      <c r="D65" s="102"/>
      <c r="E65" s="455"/>
      <c r="F65" s="428"/>
      <c r="G65" s="102"/>
      <c r="H65" s="102"/>
      <c r="I65" s="102"/>
      <c r="J65" s="102"/>
      <c r="K65" s="102"/>
    </row>
    <row r="66" spans="2:11" ht="13.5" customHeight="1">
      <c r="B66" s="117" t="s">
        <v>155</v>
      </c>
      <c r="C66" s="118"/>
      <c r="D66" s="118"/>
      <c r="E66" s="462"/>
      <c r="F66" s="440"/>
      <c r="G66" s="118"/>
      <c r="H66" s="118"/>
      <c r="I66" s="118"/>
      <c r="J66" s="118"/>
      <c r="K66" s="118"/>
    </row>
    <row r="67" spans="2:11" ht="13.5" customHeight="1">
      <c r="B67" s="69" t="s">
        <v>156</v>
      </c>
      <c r="C67" s="119"/>
      <c r="D67" s="119"/>
      <c r="E67" s="453"/>
      <c r="F67" s="432" t="e">
        <f>#REF!</f>
        <v>#REF!</v>
      </c>
      <c r="G67" s="105" t="e">
        <f>F70</f>
        <v>#REF!</v>
      </c>
      <c r="H67" s="105" t="e">
        <f t="shared" ref="H67:K67" si="13">G70</f>
        <v>#REF!</v>
      </c>
      <c r="I67" s="105" t="e">
        <f t="shared" si="13"/>
        <v>#REF!</v>
      </c>
      <c r="J67" s="105" t="e">
        <f t="shared" si="13"/>
        <v>#REF!</v>
      </c>
      <c r="K67" s="105" t="e">
        <f t="shared" si="13"/>
        <v>#REF!</v>
      </c>
    </row>
    <row r="68" spans="2:11" ht="13.5" customHeight="1">
      <c r="B68" s="69" t="s">
        <v>157</v>
      </c>
      <c r="C68" s="102"/>
      <c r="D68" s="102"/>
      <c r="E68" s="455"/>
      <c r="F68" s="426" t="e">
        <f>+(F67*'Control Panel'!$S$39)</f>
        <v>#REF!</v>
      </c>
      <c r="G68" s="69" t="e">
        <f>+(G67*'Control Panel'!$S$39)</f>
        <v>#REF!</v>
      </c>
      <c r="H68" s="69" t="e">
        <f>+(H67*'Control Panel'!$S$39)</f>
        <v>#REF!</v>
      </c>
      <c r="I68" s="69" t="e">
        <f>+(I67*'Control Panel'!$S$39)</f>
        <v>#REF!</v>
      </c>
      <c r="J68" s="69" t="e">
        <f>+(J67*'Control Panel'!$S$39)</f>
        <v>#REF!</v>
      </c>
      <c r="K68" s="69" t="e">
        <f>+(K67*'Control Panel'!$S$39)</f>
        <v>#REF!</v>
      </c>
    </row>
    <row r="69" spans="2:11" ht="13.5" customHeight="1">
      <c r="B69" s="120" t="s">
        <v>158</v>
      </c>
      <c r="C69" s="121"/>
      <c r="D69" s="121"/>
      <c r="E69" s="455"/>
      <c r="F69" s="426" t="e">
        <f>IF($F$67/'Control Panel'!$S$40&lt;F67,-$F$67/'Control Panel'!$S$40-F68,-F67-F68)</f>
        <v>#REF!</v>
      </c>
      <c r="G69" s="69" t="e">
        <f>IF($F$67/'Control Panel'!$S$40&lt;G67,-$F$67/'Control Panel'!$S$40-G68,-G67-G68)</f>
        <v>#REF!</v>
      </c>
      <c r="H69" s="69" t="e">
        <f>IF($F$67/'Control Panel'!$S$40&lt;H67,-$F$67/'Control Panel'!$S$40-H68,-H67-H68)</f>
        <v>#REF!</v>
      </c>
      <c r="I69" s="69" t="e">
        <f>IF($F$67/'Control Panel'!$S$40&lt;I67,-$F$67/'Control Panel'!$S$40-I68,-I67-I68)</f>
        <v>#REF!</v>
      </c>
      <c r="J69" s="69" t="e">
        <f>IF($F$67/'Control Panel'!$S$40&lt;J67,-$F$67/'Control Panel'!$S$40-J68,-J67-J68)</f>
        <v>#REF!</v>
      </c>
      <c r="K69" s="69" t="e">
        <f>IF($F$67/'Control Panel'!$S$40&lt;K67,-$F$67/'Control Panel'!$S$40-K68,-K67-K68)</f>
        <v>#REF!</v>
      </c>
    </row>
    <row r="70" spans="2:11" ht="13.5" customHeight="1">
      <c r="B70" s="69" t="s">
        <v>159</v>
      </c>
      <c r="C70" s="122"/>
      <c r="D70" s="122"/>
      <c r="E70" s="462"/>
      <c r="F70" s="432" t="e">
        <f t="shared" ref="F70:K70" si="14">SUM(F67:F69)</f>
        <v>#REF!</v>
      </c>
      <c r="G70" s="105" t="e">
        <f t="shared" si="14"/>
        <v>#REF!</v>
      </c>
      <c r="H70" s="105" t="e">
        <f t="shared" si="14"/>
        <v>#REF!</v>
      </c>
      <c r="I70" s="105" t="e">
        <f t="shared" si="14"/>
        <v>#REF!</v>
      </c>
      <c r="J70" s="105" t="e">
        <f t="shared" si="14"/>
        <v>#REF!</v>
      </c>
      <c r="K70" s="105" t="e">
        <f t="shared" si="14"/>
        <v>#REF!</v>
      </c>
    </row>
    <row r="71" spans="2:11" ht="13.5" customHeight="1">
      <c r="B71" s="69"/>
      <c r="C71" s="122"/>
      <c r="D71" s="122"/>
      <c r="E71" s="462"/>
      <c r="F71" s="441"/>
      <c r="G71" s="122"/>
      <c r="H71" s="122"/>
      <c r="I71" s="122"/>
      <c r="J71" s="122"/>
      <c r="K71" s="122"/>
    </row>
    <row r="72" spans="2:11" ht="13.5" customHeight="1">
      <c r="B72" s="117" t="s">
        <v>160</v>
      </c>
      <c r="C72" s="122"/>
      <c r="D72" s="122"/>
      <c r="E72" s="462"/>
      <c r="F72" s="441"/>
      <c r="G72" s="122"/>
      <c r="H72" s="122"/>
      <c r="I72" s="122"/>
      <c r="J72" s="122"/>
      <c r="K72" s="122"/>
    </row>
    <row r="73" spans="2:11" ht="13.5" customHeight="1">
      <c r="B73" s="69" t="s">
        <v>161</v>
      </c>
      <c r="C73" s="123"/>
      <c r="D73" s="123"/>
      <c r="E73" s="455"/>
      <c r="F73" s="432">
        <v>0</v>
      </c>
      <c r="G73" s="105" t="e">
        <f>F91</f>
        <v>#REF!</v>
      </c>
      <c r="H73" s="105" t="e">
        <f t="shared" ref="H73:K73" si="15">G91</f>
        <v>#REF!</v>
      </c>
      <c r="I73" s="105" t="e">
        <f t="shared" si="15"/>
        <v>#REF!</v>
      </c>
      <c r="J73" s="105" t="e">
        <f t="shared" si="15"/>
        <v>#REF!</v>
      </c>
      <c r="K73" s="105" t="e">
        <f t="shared" si="15"/>
        <v>#REF!</v>
      </c>
    </row>
    <row r="74" spans="2:11" ht="13.5" customHeight="1">
      <c r="B74" s="69" t="s">
        <v>162</v>
      </c>
      <c r="C74" s="102"/>
      <c r="D74" s="102"/>
      <c r="E74" s="455"/>
      <c r="F74" s="426" t="e">
        <f t="shared" ref="F74:K74" si="16">F40</f>
        <v>#REF!</v>
      </c>
      <c r="G74" s="69" t="e">
        <f t="shared" si="16"/>
        <v>#REF!</v>
      </c>
      <c r="H74" s="69" t="e">
        <f t="shared" si="16"/>
        <v>#REF!</v>
      </c>
      <c r="I74" s="69" t="e">
        <f t="shared" si="16"/>
        <v>#REF!</v>
      </c>
      <c r="J74" s="69" t="e">
        <f t="shared" si="16"/>
        <v>#REF!</v>
      </c>
      <c r="K74" s="69" t="e">
        <f t="shared" si="16"/>
        <v>#REF!</v>
      </c>
    </row>
    <row r="75" spans="2:11" ht="13.5" customHeight="1">
      <c r="B75" s="69" t="s">
        <v>157</v>
      </c>
      <c r="C75" s="102"/>
      <c r="D75" s="102"/>
      <c r="E75" s="455"/>
      <c r="F75" s="426">
        <f>+(F73*'Control Panel'!$S$39)</f>
        <v>0</v>
      </c>
      <c r="G75" s="69" t="e">
        <f>+(G73*'Control Panel'!$S$39)</f>
        <v>#REF!</v>
      </c>
      <c r="H75" s="69" t="e">
        <f>+(H73*'Control Panel'!$S$39)</f>
        <v>#REF!</v>
      </c>
      <c r="I75" s="69" t="e">
        <f>+(I73*'Control Panel'!$S$39)</f>
        <v>#REF!</v>
      </c>
      <c r="J75" s="69" t="e">
        <f>+(J73*'Control Panel'!$S$39)</f>
        <v>#REF!</v>
      </c>
      <c r="K75" s="69" t="e">
        <f>+(K73*'Control Panel'!$S$39)</f>
        <v>#REF!</v>
      </c>
    </row>
    <row r="76" spans="2:11" ht="13.5" customHeight="1">
      <c r="B76" s="106" t="s">
        <v>163</v>
      </c>
      <c r="C76" s="122"/>
      <c r="D76" s="122"/>
      <c r="E76" s="462"/>
      <c r="F76" s="441"/>
      <c r="G76" s="122"/>
      <c r="H76" s="122"/>
      <c r="I76" s="122"/>
      <c r="J76" s="122"/>
      <c r="K76" s="122"/>
    </row>
    <row r="77" spans="2:11" ht="13.5" customHeight="1">
      <c r="B77" s="109">
        <f>2020</f>
        <v>2020</v>
      </c>
      <c r="C77" s="102"/>
      <c r="D77" s="102"/>
      <c r="E77" s="455"/>
      <c r="F77" s="426" t="e">
        <f>-F$74/'Control Panel'!$S$41</f>
        <v>#REF!</v>
      </c>
      <c r="G77" s="69" t="e">
        <f>IF(#REF!&gt;$B77+'Control Panel'!$S$41-1,0,F77)</f>
        <v>#REF!</v>
      </c>
      <c r="H77" s="69" t="e">
        <f>IF(#REF!&gt;$B77+'Control Panel'!$S$41-1,0,G77)</f>
        <v>#REF!</v>
      </c>
      <c r="I77" s="69" t="e">
        <f>IF(#REF!&gt;$B77+'Control Panel'!$S$41-1,0,H77)</f>
        <v>#REF!</v>
      </c>
      <c r="J77" s="69" t="e">
        <f>IF(#REF!&gt;$B77+'Control Panel'!$S$41-1,0,I77)</f>
        <v>#REF!</v>
      </c>
      <c r="K77" s="69" t="e">
        <f>IF(#REF!&gt;$B77+'Control Panel'!$S$41-1,0,J77)</f>
        <v>#REF!</v>
      </c>
    </row>
    <row r="78" spans="2:11" ht="13.5" customHeight="1">
      <c r="B78" s="109">
        <f t="shared" ref="B78:B87" si="17">+B77+1</f>
        <v>2021</v>
      </c>
      <c r="C78" s="102"/>
      <c r="D78" s="102"/>
      <c r="E78" s="455"/>
      <c r="F78" s="437"/>
      <c r="G78" s="69" t="e">
        <f>-G$74/'Control Panel'!$S$41</f>
        <v>#REF!</v>
      </c>
      <c r="H78" s="69" t="e">
        <f>IF(#REF!&gt;$B78+'Control Panel'!$S$41-1,0,G78)</f>
        <v>#REF!</v>
      </c>
      <c r="I78" s="69" t="e">
        <f>IF(#REF!&gt;$B78+'Control Panel'!$S$41-1,0,H78)</f>
        <v>#REF!</v>
      </c>
      <c r="J78" s="69" t="e">
        <f>IF(#REF!&gt;$B78+'Control Panel'!$S$41-1,0,I78)</f>
        <v>#REF!</v>
      </c>
      <c r="K78" s="69" t="e">
        <f>IF(#REF!&gt;$B78+'Control Panel'!$S$41-1,0,J78)</f>
        <v>#REF!</v>
      </c>
    </row>
    <row r="79" spans="2:11" ht="13.5" customHeight="1">
      <c r="B79" s="109">
        <f t="shared" si="17"/>
        <v>2022</v>
      </c>
      <c r="C79" s="102"/>
      <c r="D79" s="102"/>
      <c r="E79" s="455"/>
      <c r="F79" s="437"/>
      <c r="G79" s="110"/>
      <c r="H79" s="69" t="e">
        <f>-H$74/'Control Panel'!$S$41</f>
        <v>#REF!</v>
      </c>
      <c r="I79" s="69" t="e">
        <f>IF(#REF!&gt;$B79+'Control Panel'!$S$41-1,0,H79)</f>
        <v>#REF!</v>
      </c>
      <c r="J79" s="69" t="e">
        <f>IF(#REF!&gt;$B79+'Control Panel'!$S$41-1,0,I79)</f>
        <v>#REF!</v>
      </c>
      <c r="K79" s="69" t="e">
        <f>IF(#REF!&gt;$B79+'Control Panel'!$S$41-1,0,J79)</f>
        <v>#REF!</v>
      </c>
    </row>
    <row r="80" spans="2:11" ht="13.5" customHeight="1">
      <c r="B80" s="109">
        <f t="shared" si="17"/>
        <v>2023</v>
      </c>
      <c r="C80" s="102"/>
      <c r="D80" s="102"/>
      <c r="E80" s="455"/>
      <c r="F80" s="437"/>
      <c r="G80" s="110"/>
      <c r="H80" s="110"/>
      <c r="I80" s="69" t="e">
        <f>-I$74/'Control Panel'!$S$41</f>
        <v>#REF!</v>
      </c>
      <c r="J80" s="69" t="e">
        <f>IF(#REF!&gt;$B80+'Control Panel'!$S$41-1,0,I80)</f>
        <v>#REF!</v>
      </c>
      <c r="K80" s="69" t="e">
        <f>IF(#REF!&gt;$B80+'Control Panel'!$S$41-1,0,J80)</f>
        <v>#REF!</v>
      </c>
    </row>
    <row r="81" spans="2:14" ht="13.5" customHeight="1">
      <c r="B81" s="109">
        <f t="shared" si="17"/>
        <v>2024</v>
      </c>
      <c r="C81" s="102"/>
      <c r="D81" s="102"/>
      <c r="E81" s="455"/>
      <c r="F81" s="437"/>
      <c r="G81" s="110"/>
      <c r="H81" s="110"/>
      <c r="I81" s="110"/>
      <c r="J81" s="69" t="e">
        <f>-J$74/'Control Panel'!$S$41</f>
        <v>#REF!</v>
      </c>
      <c r="K81" s="69" t="e">
        <f>IF(#REF!&gt;$B81+'Control Panel'!$S$41-1,0,J81)</f>
        <v>#REF!</v>
      </c>
    </row>
    <row r="82" spans="2:14" ht="13.5" customHeight="1">
      <c r="B82" s="109">
        <f t="shared" si="17"/>
        <v>2025</v>
      </c>
      <c r="C82" s="102"/>
      <c r="D82" s="102"/>
      <c r="E82" s="455"/>
      <c r="F82" s="437"/>
      <c r="G82" s="110"/>
      <c r="H82" s="110"/>
      <c r="I82" s="110"/>
      <c r="J82" s="110"/>
      <c r="K82" s="69" t="e">
        <f>-K$74/'Control Panel'!$S$41</f>
        <v>#REF!</v>
      </c>
    </row>
    <row r="83" spans="2:14" ht="13.5" customHeight="1">
      <c r="B83" s="109">
        <f t="shared" si="17"/>
        <v>2026</v>
      </c>
      <c r="C83" s="102"/>
      <c r="D83" s="102"/>
      <c r="E83" s="455"/>
      <c r="F83" s="437"/>
      <c r="G83" s="110"/>
      <c r="H83" s="110"/>
      <c r="I83" s="110"/>
      <c r="J83" s="110"/>
      <c r="K83" s="110"/>
    </row>
    <row r="84" spans="2:14" ht="13.5" customHeight="1">
      <c r="B84" s="109">
        <f t="shared" si="17"/>
        <v>2027</v>
      </c>
      <c r="C84" s="102"/>
      <c r="D84" s="102"/>
      <c r="E84" s="455"/>
      <c r="F84" s="437"/>
      <c r="G84" s="110"/>
      <c r="H84" s="110"/>
      <c r="I84" s="110"/>
      <c r="J84" s="110"/>
      <c r="K84" s="110"/>
    </row>
    <row r="85" spans="2:14" ht="13.5" customHeight="1">
      <c r="B85" s="109">
        <f t="shared" si="17"/>
        <v>2028</v>
      </c>
      <c r="C85" s="102"/>
      <c r="D85" s="102"/>
      <c r="E85" s="455"/>
      <c r="F85" s="437"/>
      <c r="G85" s="110"/>
      <c r="H85" s="110"/>
      <c r="I85" s="110"/>
      <c r="J85" s="110"/>
      <c r="K85" s="110"/>
    </row>
    <row r="86" spans="2:14" ht="13.5" customHeight="1">
      <c r="B86" s="109">
        <f t="shared" si="17"/>
        <v>2029</v>
      </c>
      <c r="C86" s="102"/>
      <c r="D86" s="102"/>
      <c r="E86" s="455"/>
      <c r="F86" s="437"/>
      <c r="G86" s="110"/>
      <c r="H86" s="110"/>
      <c r="I86" s="110"/>
      <c r="J86" s="110"/>
      <c r="K86" s="110"/>
      <c r="L86" s="69"/>
      <c r="M86" s="69"/>
      <c r="N86" s="69"/>
    </row>
    <row r="87" spans="2:14" ht="13.5" customHeight="1">
      <c r="B87" s="109">
        <f t="shared" si="17"/>
        <v>2030</v>
      </c>
      <c r="C87" s="102"/>
      <c r="D87" s="102"/>
      <c r="E87" s="455"/>
      <c r="F87" s="437"/>
      <c r="G87" s="110"/>
      <c r="H87" s="110"/>
      <c r="I87" s="110"/>
      <c r="J87" s="110"/>
      <c r="K87" s="110"/>
      <c r="L87" s="69"/>
      <c r="M87" s="69"/>
      <c r="N87" s="69"/>
    </row>
    <row r="88" spans="2:14" ht="13.5" customHeight="1">
      <c r="B88" s="111" t="s">
        <v>164</v>
      </c>
      <c r="C88" s="105">
        <f t="shared" ref="C88:K88" si="18">SUM(C77:C87)</f>
        <v>0</v>
      </c>
      <c r="D88" s="105">
        <f t="shared" si="18"/>
        <v>0</v>
      </c>
      <c r="E88" s="456">
        <f t="shared" si="18"/>
        <v>0</v>
      </c>
      <c r="F88" s="432" t="e">
        <f t="shared" si="18"/>
        <v>#REF!</v>
      </c>
      <c r="G88" s="105" t="e">
        <f t="shared" si="18"/>
        <v>#REF!</v>
      </c>
      <c r="H88" s="105" t="e">
        <f t="shared" si="18"/>
        <v>#REF!</v>
      </c>
      <c r="I88" s="105" t="e">
        <f t="shared" si="18"/>
        <v>#REF!</v>
      </c>
      <c r="J88" s="105" t="e">
        <f t="shared" si="18"/>
        <v>#REF!</v>
      </c>
      <c r="K88" s="105" t="e">
        <f t="shared" si="18"/>
        <v>#REF!</v>
      </c>
    </row>
    <row r="89" spans="2:14" ht="13.5" customHeight="1">
      <c r="C89" s="122"/>
      <c r="D89" s="122"/>
      <c r="E89" s="462"/>
      <c r="F89" s="441"/>
      <c r="G89" s="122"/>
      <c r="H89" s="122"/>
      <c r="I89" s="122"/>
      <c r="J89" s="122"/>
      <c r="K89" s="122"/>
    </row>
    <row r="90" spans="2:14" ht="13.5" customHeight="1">
      <c r="B90" s="35" t="s">
        <v>165</v>
      </c>
      <c r="C90" s="102"/>
      <c r="D90" s="102"/>
      <c r="E90" s="455"/>
      <c r="F90" s="426" t="e">
        <f t="shared" ref="F90:K90" si="19">F75-F88</f>
        <v>#REF!</v>
      </c>
      <c r="G90" s="69" t="e">
        <f t="shared" si="19"/>
        <v>#REF!</v>
      </c>
      <c r="H90" s="69" t="e">
        <f t="shared" si="19"/>
        <v>#REF!</v>
      </c>
      <c r="I90" s="69" t="e">
        <f t="shared" si="19"/>
        <v>#REF!</v>
      </c>
      <c r="J90" s="69" t="e">
        <f t="shared" si="19"/>
        <v>#REF!</v>
      </c>
      <c r="K90" s="69" t="e">
        <f t="shared" si="19"/>
        <v>#REF!</v>
      </c>
    </row>
    <row r="91" spans="2:14" ht="13.5" customHeight="1">
      <c r="B91" s="105" t="s">
        <v>166</v>
      </c>
      <c r="C91" s="105">
        <f t="shared" ref="C91:K91" si="20">+C73+C74+C75-C90</f>
        <v>0</v>
      </c>
      <c r="D91" s="105">
        <f t="shared" si="20"/>
        <v>0</v>
      </c>
      <c r="E91" s="456">
        <f t="shared" si="20"/>
        <v>0</v>
      </c>
      <c r="F91" s="432" t="e">
        <f t="shared" si="20"/>
        <v>#REF!</v>
      </c>
      <c r="G91" s="105" t="e">
        <f t="shared" si="20"/>
        <v>#REF!</v>
      </c>
      <c r="H91" s="105" t="e">
        <f t="shared" si="20"/>
        <v>#REF!</v>
      </c>
      <c r="I91" s="105" t="e">
        <f t="shared" si="20"/>
        <v>#REF!</v>
      </c>
      <c r="J91" s="105" t="e">
        <f t="shared" si="20"/>
        <v>#REF!</v>
      </c>
      <c r="K91" s="105" t="e">
        <f t="shared" si="20"/>
        <v>#REF!</v>
      </c>
    </row>
    <row r="92" spans="2:14" ht="13.5" customHeight="1">
      <c r="B92" s="69"/>
      <c r="C92" s="122"/>
      <c r="D92" s="122"/>
      <c r="E92" s="462"/>
      <c r="F92" s="441"/>
      <c r="G92" s="122"/>
      <c r="H92" s="122"/>
      <c r="I92" s="122"/>
      <c r="J92" s="122"/>
      <c r="K92" s="122"/>
    </row>
    <row r="93" spans="2:14" ht="13.5" customHeight="1">
      <c r="B93" s="105" t="s">
        <v>167</v>
      </c>
      <c r="C93" s="119" t="e">
        <f>#REF!</f>
        <v>#REF!</v>
      </c>
      <c r="D93" s="119" t="e">
        <f>#REF!</f>
        <v>#REF!</v>
      </c>
      <c r="E93" s="453" t="e">
        <f>#REF!</f>
        <v>#REF!</v>
      </c>
      <c r="F93" s="432" t="e">
        <f t="shared" ref="F93:K93" si="21">F91+F70</f>
        <v>#REF!</v>
      </c>
      <c r="G93" s="105" t="e">
        <f t="shared" si="21"/>
        <v>#REF!</v>
      </c>
      <c r="H93" s="105" t="e">
        <f t="shared" si="21"/>
        <v>#REF!</v>
      </c>
      <c r="I93" s="105" t="e">
        <f t="shared" si="21"/>
        <v>#REF!</v>
      </c>
      <c r="J93" s="105" t="e">
        <f t="shared" si="21"/>
        <v>#REF!</v>
      </c>
      <c r="K93" s="105" t="e">
        <f t="shared" si="21"/>
        <v>#REF!</v>
      </c>
    </row>
    <row r="94" spans="2:14" ht="13.5" customHeight="1">
      <c r="B94" s="69" t="s">
        <v>168</v>
      </c>
      <c r="C94" s="100"/>
      <c r="D94" s="100"/>
      <c r="E94" s="453"/>
      <c r="F94" s="441"/>
      <c r="G94" s="122"/>
      <c r="H94" s="122"/>
      <c r="I94" s="122"/>
      <c r="J94" s="122"/>
      <c r="K94" s="122"/>
    </row>
    <row r="95" spans="2:14" ht="13.5" customHeight="1">
      <c r="B95" s="103" t="s">
        <v>169</v>
      </c>
      <c r="C95" s="103" t="e">
        <f t="shared" ref="C95:K95" si="22">SUM(C93:C94)</f>
        <v>#REF!</v>
      </c>
      <c r="D95" s="103" t="e">
        <f t="shared" si="22"/>
        <v>#REF!</v>
      </c>
      <c r="E95" s="457" t="e">
        <f t="shared" si="22"/>
        <v>#REF!</v>
      </c>
      <c r="F95" s="429" t="e">
        <f t="shared" si="22"/>
        <v>#REF!</v>
      </c>
      <c r="G95" s="103" t="e">
        <f t="shared" si="22"/>
        <v>#REF!</v>
      </c>
      <c r="H95" s="103" t="e">
        <f t="shared" si="22"/>
        <v>#REF!</v>
      </c>
      <c r="I95" s="103" t="e">
        <f t="shared" si="22"/>
        <v>#REF!</v>
      </c>
      <c r="J95" s="103" t="e">
        <f t="shared" si="22"/>
        <v>#REF!</v>
      </c>
      <c r="K95" s="103" t="e">
        <f t="shared" si="22"/>
        <v>#REF!</v>
      </c>
    </row>
    <row r="96" spans="2:14" ht="13.5" customHeight="1">
      <c r="B96" s="69"/>
      <c r="C96" s="102"/>
      <c r="D96" s="102"/>
      <c r="E96" s="455"/>
      <c r="F96" s="428"/>
      <c r="G96" s="102"/>
      <c r="H96" s="102"/>
      <c r="I96" s="102"/>
      <c r="J96" s="102"/>
      <c r="K96" s="102"/>
    </row>
    <row r="97" spans="2:14" ht="13.5" customHeight="1">
      <c r="B97" s="124" t="s">
        <v>170</v>
      </c>
      <c r="C97" s="102"/>
      <c r="D97" s="102"/>
      <c r="E97" s="455"/>
      <c r="F97" s="433" t="e">
        <f t="shared" ref="F97:K97" si="23">F68+F75</f>
        <v>#REF!</v>
      </c>
      <c r="G97" s="106" t="e">
        <f t="shared" si="23"/>
        <v>#REF!</v>
      </c>
      <c r="H97" s="106" t="e">
        <f t="shared" si="23"/>
        <v>#REF!</v>
      </c>
      <c r="I97" s="106" t="e">
        <f t="shared" si="23"/>
        <v>#REF!</v>
      </c>
      <c r="J97" s="106" t="e">
        <f t="shared" si="23"/>
        <v>#REF!</v>
      </c>
      <c r="K97" s="106" t="e">
        <f t="shared" si="23"/>
        <v>#REF!</v>
      </c>
    </row>
    <row r="98" spans="2:14" ht="13.5" customHeight="1">
      <c r="B98" s="124" t="s">
        <v>171</v>
      </c>
      <c r="C98" s="102"/>
      <c r="D98" s="102"/>
      <c r="E98" s="455"/>
      <c r="F98" s="433" t="e">
        <f t="shared" ref="F98:K98" si="24">(-F69-F68)-F88</f>
        <v>#REF!</v>
      </c>
      <c r="G98" s="106" t="e">
        <f t="shared" si="24"/>
        <v>#REF!</v>
      </c>
      <c r="H98" s="106" t="e">
        <f t="shared" si="24"/>
        <v>#REF!</v>
      </c>
      <c r="I98" s="106" t="e">
        <f t="shared" si="24"/>
        <v>#REF!</v>
      </c>
      <c r="J98" s="106" t="e">
        <f t="shared" si="24"/>
        <v>#REF!</v>
      </c>
      <c r="K98" s="106" t="e">
        <f t="shared" si="24"/>
        <v>#REF!</v>
      </c>
    </row>
    <row r="99" spans="2:14" ht="13.5" customHeight="1">
      <c r="B99" s="124"/>
      <c r="C99" s="122"/>
      <c r="D99" s="122"/>
      <c r="E99" s="462"/>
      <c r="F99" s="433"/>
      <c r="G99" s="106"/>
      <c r="H99" s="106"/>
      <c r="I99" s="106"/>
      <c r="J99" s="106"/>
      <c r="K99" s="106"/>
    </row>
    <row r="100" spans="2:14" ht="13.5" customHeight="1">
      <c r="B100" s="124"/>
      <c r="C100" s="122"/>
      <c r="D100" s="122"/>
      <c r="E100" s="462"/>
      <c r="F100" s="433"/>
      <c r="G100" s="106"/>
      <c r="H100" s="106"/>
      <c r="I100" s="106"/>
      <c r="J100" s="106"/>
      <c r="K100" s="106"/>
    </row>
    <row r="101" spans="2:14" ht="13.5" customHeight="1">
      <c r="B101" s="15" t="s">
        <v>172</v>
      </c>
      <c r="C101" s="2"/>
      <c r="D101" s="2"/>
      <c r="E101" s="450"/>
      <c r="F101" s="427"/>
      <c r="G101" s="2"/>
      <c r="H101" s="2"/>
      <c r="I101" s="2"/>
      <c r="J101" s="2"/>
      <c r="K101" s="2"/>
    </row>
    <row r="102" spans="2:14" ht="13.5" customHeight="1">
      <c r="B102" s="15"/>
      <c r="C102" s="2"/>
      <c r="D102" s="2"/>
      <c r="E102" s="450"/>
      <c r="F102" s="427"/>
      <c r="G102" s="2"/>
      <c r="H102" s="2"/>
      <c r="I102" s="2"/>
      <c r="J102" s="2"/>
      <c r="K102" s="2"/>
    </row>
    <row r="103" spans="2:14" ht="13.5" customHeight="1">
      <c r="B103" s="114" t="s">
        <v>147</v>
      </c>
      <c r="C103" s="115"/>
      <c r="D103" s="115"/>
      <c r="E103" s="450"/>
      <c r="F103" s="439"/>
      <c r="G103" s="115"/>
      <c r="H103" s="115"/>
      <c r="I103" s="115"/>
      <c r="J103" s="115"/>
      <c r="K103" s="115"/>
    </row>
    <row r="104" spans="2:14" ht="13.5" customHeight="1">
      <c r="B104" s="65"/>
      <c r="E104" s="448"/>
      <c r="F104" s="427"/>
    </row>
    <row r="105" spans="2:14" ht="13.5" customHeight="1">
      <c r="B105" s="69" t="s">
        <v>148</v>
      </c>
      <c r="C105" s="102"/>
      <c r="D105" s="102"/>
      <c r="E105" s="455"/>
      <c r="F105" s="426" t="e">
        <f>#REF!</f>
        <v>#REF!</v>
      </c>
      <c r="G105" s="69" t="e">
        <f>F112</f>
        <v>#REF!</v>
      </c>
      <c r="H105" s="69" t="e">
        <f t="shared" ref="H105:K105" si="25">G112</f>
        <v>#REF!</v>
      </c>
      <c r="I105" s="69" t="e">
        <f t="shared" si="25"/>
        <v>#REF!</v>
      </c>
      <c r="J105" s="69" t="e">
        <f t="shared" si="25"/>
        <v>#REF!</v>
      </c>
      <c r="K105" s="69" t="e">
        <f t="shared" si="25"/>
        <v>#REF!</v>
      </c>
    </row>
    <row r="106" spans="2:14" ht="13.5" customHeight="1">
      <c r="B106" s="69" t="s">
        <v>162</v>
      </c>
      <c r="C106" s="102"/>
      <c r="D106" s="102"/>
      <c r="E106" s="455"/>
      <c r="F106" s="426" t="e">
        <f>+#REF!*'Control Panel'!$R$38</f>
        <v>#REF!</v>
      </c>
      <c r="G106" s="69" t="e">
        <f>+#REF!*'Control Panel'!$R$38</f>
        <v>#REF!</v>
      </c>
      <c r="H106" s="69" t="e">
        <f>+#REF!*'Control Panel'!$R$38</f>
        <v>#REF!</v>
      </c>
      <c r="I106" s="69" t="e">
        <f>+#REF!*'Control Panel'!$R$38</f>
        <v>#REF!</v>
      </c>
      <c r="J106" s="69" t="e">
        <f>+#REF!*'Control Panel'!$R$38</f>
        <v>#REF!</v>
      </c>
      <c r="K106" s="69" t="e">
        <f>+#REF!*'Control Panel'!$R$38</f>
        <v>#REF!</v>
      </c>
    </row>
    <row r="107" spans="2:14" ht="13.5" customHeight="1">
      <c r="B107" s="2"/>
      <c r="C107" s="102"/>
      <c r="D107" s="102"/>
      <c r="E107" s="455"/>
      <c r="F107" s="428"/>
      <c r="G107" s="102"/>
      <c r="H107" s="102"/>
      <c r="I107" s="102"/>
      <c r="J107" s="102"/>
      <c r="K107" s="102"/>
    </row>
    <row r="108" spans="2:14" ht="13.5" customHeight="1">
      <c r="B108" s="69" t="s">
        <v>173</v>
      </c>
      <c r="C108" s="102"/>
      <c r="D108" s="102"/>
      <c r="E108" s="455"/>
      <c r="F108" s="426" t="e">
        <f t="shared" ref="F108:K108" si="26">F120+F119</f>
        <v>#REF!</v>
      </c>
      <c r="G108" s="69" t="e">
        <f t="shared" si="26"/>
        <v>#REF!</v>
      </c>
      <c r="H108" s="69" t="e">
        <f t="shared" si="26"/>
        <v>#REF!</v>
      </c>
      <c r="I108" s="69" t="e">
        <f t="shared" si="26"/>
        <v>#REF!</v>
      </c>
      <c r="J108" s="69" t="e">
        <f t="shared" si="26"/>
        <v>#REF!</v>
      </c>
      <c r="K108" s="69" t="e">
        <f t="shared" si="26"/>
        <v>#REF!</v>
      </c>
      <c r="L108" s="102"/>
      <c r="M108" s="102"/>
      <c r="N108" s="102"/>
    </row>
    <row r="109" spans="2:14" ht="13.5" customHeight="1">
      <c r="B109" s="2" t="s">
        <v>174</v>
      </c>
      <c r="C109" s="102"/>
      <c r="D109" s="102"/>
      <c r="E109" s="455"/>
      <c r="F109" s="426" t="e">
        <f t="shared" ref="F109:K109" si="27">-F141+F126</f>
        <v>#REF!</v>
      </c>
      <c r="G109" s="69" t="e">
        <f t="shared" si="27"/>
        <v>#REF!</v>
      </c>
      <c r="H109" s="69" t="e">
        <f t="shared" si="27"/>
        <v>#REF!</v>
      </c>
      <c r="I109" s="69" t="e">
        <f t="shared" si="27"/>
        <v>#REF!</v>
      </c>
      <c r="J109" s="69" t="e">
        <f t="shared" si="27"/>
        <v>#REF!</v>
      </c>
      <c r="K109" s="69" t="e">
        <f t="shared" si="27"/>
        <v>#REF!</v>
      </c>
    </row>
    <row r="110" spans="2:14" ht="13.5" customHeight="1">
      <c r="B110" s="66" t="s">
        <v>175</v>
      </c>
      <c r="C110" s="123"/>
      <c r="D110" s="123"/>
      <c r="E110" s="455"/>
      <c r="F110" s="432" t="e">
        <f t="shared" ref="F110:K110" si="28">SUM(F108:F109)</f>
        <v>#REF!</v>
      </c>
      <c r="G110" s="105" t="e">
        <f t="shared" si="28"/>
        <v>#REF!</v>
      </c>
      <c r="H110" s="105" t="e">
        <f t="shared" si="28"/>
        <v>#REF!</v>
      </c>
      <c r="I110" s="105" t="e">
        <f t="shared" si="28"/>
        <v>#REF!</v>
      </c>
      <c r="J110" s="105" t="e">
        <f t="shared" si="28"/>
        <v>#REF!</v>
      </c>
      <c r="K110" s="105" t="e">
        <f t="shared" si="28"/>
        <v>#REF!</v>
      </c>
    </row>
    <row r="111" spans="2:14" ht="13.5" customHeight="1">
      <c r="B111" s="35"/>
      <c r="C111" s="102"/>
      <c r="D111" s="102"/>
      <c r="E111" s="455"/>
      <c r="F111" s="437"/>
      <c r="G111" s="110"/>
      <c r="H111" s="69"/>
      <c r="I111" s="69"/>
      <c r="J111" s="69"/>
      <c r="K111" s="69"/>
      <c r="L111" s="69"/>
      <c r="M111" s="69"/>
      <c r="N111" s="69"/>
    </row>
    <row r="112" spans="2:14" ht="13.5" customHeight="1">
      <c r="B112" s="103" t="s">
        <v>152</v>
      </c>
      <c r="C112" s="103" t="e">
        <f t="shared" ref="C112:E112" si="29">#REF!</f>
        <v>#REF!</v>
      </c>
      <c r="D112" s="103" t="e">
        <f t="shared" si="29"/>
        <v>#REF!</v>
      </c>
      <c r="E112" s="457" t="e">
        <f t="shared" si="29"/>
        <v>#REF!</v>
      </c>
      <c r="F112" s="429" t="e">
        <f t="shared" ref="F112:K112" si="30">F105+F106+F110</f>
        <v>#REF!</v>
      </c>
      <c r="G112" s="103" t="e">
        <f t="shared" si="30"/>
        <v>#REF!</v>
      </c>
      <c r="H112" s="103" t="e">
        <f t="shared" si="30"/>
        <v>#REF!</v>
      </c>
      <c r="I112" s="103" t="e">
        <f t="shared" si="30"/>
        <v>#REF!</v>
      </c>
      <c r="J112" s="103" t="e">
        <f t="shared" si="30"/>
        <v>#REF!</v>
      </c>
      <c r="K112" s="103" t="e">
        <f t="shared" si="30"/>
        <v>#REF!</v>
      </c>
      <c r="L112" s="69"/>
      <c r="M112" s="69"/>
      <c r="N112" s="69"/>
    </row>
    <row r="113" spans="2:14" ht="13.5" customHeight="1">
      <c r="B113" s="106"/>
      <c r="C113" s="107"/>
      <c r="D113" s="107"/>
      <c r="E113" s="458"/>
      <c r="F113" s="433"/>
      <c r="G113" s="106"/>
      <c r="H113" s="106"/>
      <c r="I113" s="106"/>
      <c r="J113" s="106"/>
      <c r="K113" s="106"/>
      <c r="L113" s="69"/>
      <c r="M113" s="69"/>
      <c r="N113" s="69"/>
    </row>
    <row r="114" spans="2:14" ht="13.5" customHeight="1">
      <c r="B114" s="15"/>
      <c r="C114" s="122"/>
      <c r="D114" s="122"/>
      <c r="E114" s="462"/>
      <c r="F114" s="441"/>
      <c r="G114" s="122"/>
      <c r="H114" s="122"/>
      <c r="I114" s="122"/>
      <c r="J114" s="122"/>
      <c r="K114" s="122"/>
    </row>
    <row r="115" spans="2:14" ht="13.5" customHeight="1">
      <c r="B115" s="114" t="s">
        <v>176</v>
      </c>
      <c r="C115" s="115"/>
      <c r="D115" s="115"/>
      <c r="E115" s="450"/>
      <c r="F115" s="439"/>
      <c r="G115" s="115"/>
      <c r="H115" s="115"/>
      <c r="I115" s="115"/>
      <c r="J115" s="115"/>
      <c r="K115" s="115"/>
    </row>
    <row r="116" spans="2:14" ht="13.5" customHeight="1">
      <c r="C116" s="122"/>
      <c r="D116" s="122"/>
      <c r="E116" s="462"/>
      <c r="F116" s="441"/>
      <c r="G116" s="122"/>
      <c r="H116" s="122"/>
      <c r="I116" s="122"/>
      <c r="J116" s="122"/>
      <c r="K116" s="122"/>
    </row>
    <row r="117" spans="2:14" ht="13.5" customHeight="1">
      <c r="B117" s="117" t="s">
        <v>155</v>
      </c>
      <c r="C117" s="118"/>
      <c r="D117" s="118"/>
      <c r="E117" s="462"/>
      <c r="F117" s="440"/>
      <c r="G117" s="118"/>
      <c r="H117" s="118"/>
      <c r="I117" s="118"/>
      <c r="J117" s="118"/>
      <c r="K117" s="118"/>
    </row>
    <row r="118" spans="2:14" ht="13.5" customHeight="1">
      <c r="B118" s="69" t="s">
        <v>156</v>
      </c>
      <c r="C118" s="102"/>
      <c r="D118" s="102"/>
      <c r="E118" s="455"/>
      <c r="F118" s="426" t="e">
        <f>#REF!</f>
        <v>#REF!</v>
      </c>
      <c r="G118" s="69" t="e">
        <f>F121</f>
        <v>#REF!</v>
      </c>
      <c r="H118" s="69" t="e">
        <f t="shared" ref="H118:K118" si="31">G121</f>
        <v>#REF!</v>
      </c>
      <c r="I118" s="69" t="e">
        <f t="shared" si="31"/>
        <v>#REF!</v>
      </c>
      <c r="J118" s="69" t="e">
        <f t="shared" si="31"/>
        <v>#REF!</v>
      </c>
      <c r="K118" s="69" t="e">
        <f t="shared" si="31"/>
        <v>#REF!</v>
      </c>
      <c r="L118" s="69"/>
      <c r="M118" s="69"/>
      <c r="N118" s="69"/>
    </row>
    <row r="119" spans="2:14" ht="13.5" customHeight="1">
      <c r="B119" s="69" t="s">
        <v>157</v>
      </c>
      <c r="C119" s="102"/>
      <c r="D119" s="102"/>
      <c r="E119" s="455"/>
      <c r="F119" s="426" t="e">
        <f>+(F118*'Control Panel'!$R$39)</f>
        <v>#REF!</v>
      </c>
      <c r="G119" s="69" t="e">
        <f>+(G118*'Control Panel'!$R$39)</f>
        <v>#REF!</v>
      </c>
      <c r="H119" s="69" t="e">
        <f>+(H118*'Control Panel'!$R$39)</f>
        <v>#REF!</v>
      </c>
      <c r="I119" s="69" t="e">
        <f>+(I118*'Control Panel'!$R$39)</f>
        <v>#REF!</v>
      </c>
      <c r="J119" s="69" t="e">
        <f>+(J118*'Control Panel'!$R$39)</f>
        <v>#REF!</v>
      </c>
      <c r="K119" s="69" t="e">
        <f>+(K118*'Control Panel'!$R$39)</f>
        <v>#REF!</v>
      </c>
      <c r="L119" s="69"/>
      <c r="M119" s="69"/>
      <c r="N119" s="69"/>
    </row>
    <row r="120" spans="2:14" ht="13.5" customHeight="1">
      <c r="B120" s="69" t="s">
        <v>158</v>
      </c>
      <c r="C120" s="102"/>
      <c r="D120" s="102"/>
      <c r="E120" s="455"/>
      <c r="F120" s="426" t="e">
        <f>IF($F$118/'Control Panel'!$R$40&lt;F118,-$F$118/'Control Panel'!$R$40-F119,-F118-F119)</f>
        <v>#REF!</v>
      </c>
      <c r="G120" s="69" t="e">
        <f>IF($F$118/'Control Panel'!$R$40&lt;G118,-$F$118/'Control Panel'!$R$40-G119,-G118-G119)</f>
        <v>#REF!</v>
      </c>
      <c r="H120" s="69" t="e">
        <f>IF($F$118/'Control Panel'!$R$40&lt;H118,-$F$118/'Control Panel'!$R$40-H119,-H118-H119)</f>
        <v>#REF!</v>
      </c>
      <c r="I120" s="69" t="e">
        <f>IF($F$118/'Control Panel'!$R$40&lt;I118,-$F$118/'Control Panel'!$R$40-I119,-I118-I119)</f>
        <v>#REF!</v>
      </c>
      <c r="J120" s="69" t="e">
        <f>IF($F$118/'Control Panel'!$R$40&lt;J118,-$F$118/'Control Panel'!$R$40-J119,-J118-J119)</f>
        <v>#REF!</v>
      </c>
      <c r="K120" s="69" t="e">
        <f>IF($F$118/'Control Panel'!$R$40&lt;K118,-$F$118/'Control Panel'!$R$40-K119,-K118-K119)</f>
        <v>#REF!</v>
      </c>
      <c r="L120" s="69"/>
      <c r="M120" s="69"/>
      <c r="N120" s="69"/>
    </row>
    <row r="121" spans="2:14" ht="13.5" customHeight="1">
      <c r="B121" s="105" t="s">
        <v>159</v>
      </c>
      <c r="C121" s="105">
        <f t="shared" ref="C121:K121" si="32">SUM(C118:C120)</f>
        <v>0</v>
      </c>
      <c r="D121" s="105">
        <f t="shared" si="32"/>
        <v>0</v>
      </c>
      <c r="E121" s="456">
        <f t="shared" si="32"/>
        <v>0</v>
      </c>
      <c r="F121" s="432" t="e">
        <f t="shared" si="32"/>
        <v>#REF!</v>
      </c>
      <c r="G121" s="105" t="e">
        <f t="shared" si="32"/>
        <v>#REF!</v>
      </c>
      <c r="H121" s="105" t="e">
        <f t="shared" si="32"/>
        <v>#REF!</v>
      </c>
      <c r="I121" s="105" t="e">
        <f t="shared" si="32"/>
        <v>#REF!</v>
      </c>
      <c r="J121" s="105" t="e">
        <f t="shared" si="32"/>
        <v>#REF!</v>
      </c>
      <c r="K121" s="105" t="e">
        <f t="shared" si="32"/>
        <v>#REF!</v>
      </c>
      <c r="L121" s="69"/>
      <c r="M121" s="69"/>
      <c r="N121" s="69"/>
    </row>
    <row r="122" spans="2:14" ht="13.5" customHeight="1">
      <c r="B122" s="69"/>
      <c r="C122" s="122"/>
      <c r="D122" s="122"/>
      <c r="E122" s="462"/>
      <c r="F122" s="441"/>
      <c r="G122" s="122"/>
      <c r="H122" s="122"/>
      <c r="I122" s="122"/>
      <c r="J122" s="122"/>
      <c r="K122" s="122"/>
    </row>
    <row r="123" spans="2:14" ht="13.5" customHeight="1">
      <c r="B123" s="106" t="s">
        <v>160</v>
      </c>
      <c r="C123" s="122"/>
      <c r="D123" s="122"/>
      <c r="E123" s="462"/>
      <c r="F123" s="441"/>
      <c r="G123" s="122"/>
      <c r="H123" s="122"/>
      <c r="I123" s="122"/>
      <c r="J123" s="122"/>
      <c r="K123" s="122"/>
    </row>
    <row r="124" spans="2:14" ht="13.5" customHeight="1">
      <c r="B124" s="105" t="s">
        <v>161</v>
      </c>
      <c r="C124" s="123"/>
      <c r="D124" s="123"/>
      <c r="E124" s="455"/>
      <c r="F124" s="432">
        <v>0</v>
      </c>
      <c r="G124" s="105" t="e">
        <f>F142</f>
        <v>#REF!</v>
      </c>
      <c r="H124" s="105" t="e">
        <f t="shared" ref="H124:K124" si="33">G142</f>
        <v>#REF!</v>
      </c>
      <c r="I124" s="105" t="e">
        <f t="shared" si="33"/>
        <v>#REF!</v>
      </c>
      <c r="J124" s="105" t="e">
        <f t="shared" si="33"/>
        <v>#REF!</v>
      </c>
      <c r="K124" s="105" t="e">
        <f t="shared" si="33"/>
        <v>#REF!</v>
      </c>
      <c r="L124" s="69"/>
      <c r="M124" s="69"/>
      <c r="N124" s="69"/>
    </row>
    <row r="125" spans="2:14" ht="13.5" customHeight="1">
      <c r="B125" s="69" t="s">
        <v>162</v>
      </c>
      <c r="C125" s="102"/>
      <c r="D125" s="102"/>
      <c r="E125" s="455"/>
      <c r="F125" s="426" t="e">
        <f t="shared" ref="F125:K125" si="34">F106</f>
        <v>#REF!</v>
      </c>
      <c r="G125" s="69" t="e">
        <f t="shared" si="34"/>
        <v>#REF!</v>
      </c>
      <c r="H125" s="69" t="e">
        <f t="shared" si="34"/>
        <v>#REF!</v>
      </c>
      <c r="I125" s="69" t="e">
        <f t="shared" si="34"/>
        <v>#REF!</v>
      </c>
      <c r="J125" s="69" t="e">
        <f t="shared" si="34"/>
        <v>#REF!</v>
      </c>
      <c r="K125" s="69" t="e">
        <f t="shared" si="34"/>
        <v>#REF!</v>
      </c>
      <c r="L125" s="69"/>
      <c r="M125" s="69"/>
      <c r="N125" s="69"/>
    </row>
    <row r="126" spans="2:14" ht="13.5" customHeight="1">
      <c r="B126" s="69" t="s">
        <v>157</v>
      </c>
      <c r="C126" s="102"/>
      <c r="D126" s="102"/>
      <c r="E126" s="455"/>
      <c r="F126" s="426">
        <f>+(F124*'Control Panel'!$R$39)</f>
        <v>0</v>
      </c>
      <c r="G126" s="69" t="e">
        <f>+(G124*'Control Panel'!$R$39)</f>
        <v>#REF!</v>
      </c>
      <c r="H126" s="69" t="e">
        <f>+(H124*'Control Panel'!$R$39)</f>
        <v>#REF!</v>
      </c>
      <c r="I126" s="69" t="e">
        <f>+(I124*'Control Panel'!$R$39)</f>
        <v>#REF!</v>
      </c>
      <c r="J126" s="69" t="e">
        <f>+(J124*'Control Panel'!$R$39)</f>
        <v>#REF!</v>
      </c>
      <c r="K126" s="69" t="e">
        <f>+(K124*'Control Panel'!$R$39)</f>
        <v>#REF!</v>
      </c>
      <c r="L126" s="69"/>
      <c r="M126" s="69"/>
      <c r="N126" s="69"/>
    </row>
    <row r="127" spans="2:14" ht="13.5" customHeight="1">
      <c r="B127" s="106" t="s">
        <v>163</v>
      </c>
      <c r="C127" s="122"/>
      <c r="D127" s="122"/>
      <c r="E127" s="462"/>
      <c r="F127" s="441"/>
      <c r="G127" s="122"/>
      <c r="H127" s="122"/>
      <c r="I127" s="122"/>
      <c r="K127" s="122"/>
      <c r="M127" s="122"/>
    </row>
    <row r="128" spans="2:14" ht="13.5" customHeight="1">
      <c r="B128" s="109" t="e">
        <f>#REF!</f>
        <v>#REF!</v>
      </c>
      <c r="C128" s="102"/>
      <c r="D128" s="102"/>
      <c r="E128" s="455"/>
      <c r="F128" s="426" t="e">
        <f>-F$125/'Control Panel'!$R$41</f>
        <v>#REF!</v>
      </c>
      <c r="G128" s="69" t="e">
        <f>IF(#REF!&gt;$B128+'Control Panel'!$R$41-1,0,F128)</f>
        <v>#REF!</v>
      </c>
      <c r="H128" s="69" t="e">
        <f>IF(#REF!&gt;$B128+'Control Panel'!$R$41-1,0,G128)</f>
        <v>#REF!</v>
      </c>
      <c r="I128" s="69" t="e">
        <f>IF(#REF!&gt;$B128+'Control Panel'!$R$41-1,0,H128)</f>
        <v>#REF!</v>
      </c>
      <c r="J128" s="69" t="e">
        <f>IF(#REF!&gt;$B128+'Control Panel'!$R$41-1,0,I128)</f>
        <v>#REF!</v>
      </c>
      <c r="K128" s="69" t="e">
        <f>IF(#REF!&gt;$B128+'Control Panel'!$R$41-1,0,J128)</f>
        <v>#REF!</v>
      </c>
      <c r="L128" s="69"/>
      <c r="M128" s="69"/>
      <c r="N128" s="69"/>
    </row>
    <row r="129" spans="2:14" ht="13.5" customHeight="1">
      <c r="B129" s="109" t="e">
        <f t="shared" ref="B129:B138" si="35">+B128+1</f>
        <v>#REF!</v>
      </c>
      <c r="C129" s="102"/>
      <c r="D129" s="102"/>
      <c r="E129" s="455"/>
      <c r="F129" s="430"/>
      <c r="G129" s="69" t="e">
        <f>-G$125/'Control Panel'!$R$41</f>
        <v>#REF!</v>
      </c>
      <c r="H129" s="69" t="e">
        <f>IF(#REF!&gt;$B129+'Control Panel'!$R$41-1,0,G129)</f>
        <v>#REF!</v>
      </c>
      <c r="I129" s="69" t="e">
        <f>IF(#REF!&gt;$B129+'Control Panel'!$R$41-1,0,H129)</f>
        <v>#REF!</v>
      </c>
      <c r="J129" s="69" t="e">
        <f>IF(#REF!&gt;$B129+'Control Panel'!$R$41-1,0,I129)</f>
        <v>#REF!</v>
      </c>
      <c r="K129" s="69" t="e">
        <f>IF(#REF!&gt;$B129+'Control Panel'!$R$41-1,0,J129)</f>
        <v>#REF!</v>
      </c>
      <c r="L129" s="69"/>
      <c r="M129" s="69"/>
      <c r="N129" s="69"/>
    </row>
    <row r="130" spans="2:14" ht="13.5" customHeight="1">
      <c r="B130" s="109" t="e">
        <f t="shared" si="35"/>
        <v>#REF!</v>
      </c>
      <c r="C130" s="102"/>
      <c r="D130" s="102"/>
      <c r="E130" s="455"/>
      <c r="F130" s="430"/>
      <c r="G130" s="102"/>
      <c r="H130" s="69" t="e">
        <f>-H$125/'Control Panel'!$R$41</f>
        <v>#REF!</v>
      </c>
      <c r="I130" s="69" t="e">
        <f>IF(#REF!&gt;$B130+'Control Panel'!$R$41-1,0,H130)</f>
        <v>#REF!</v>
      </c>
      <c r="J130" s="69" t="e">
        <f>IF(#REF!&gt;$B130+'Control Panel'!$R$41-1,0,I130)</f>
        <v>#REF!</v>
      </c>
      <c r="K130" s="69" t="e">
        <f>IF(#REF!&gt;$B130+'Control Panel'!$R$41-1,0,J130)</f>
        <v>#REF!</v>
      </c>
      <c r="L130" s="69"/>
      <c r="M130" s="69"/>
      <c r="N130" s="69"/>
    </row>
    <row r="131" spans="2:14" ht="13.5" customHeight="1">
      <c r="B131" s="109" t="e">
        <f t="shared" si="35"/>
        <v>#REF!</v>
      </c>
      <c r="C131" s="102"/>
      <c r="D131" s="102"/>
      <c r="E131" s="455"/>
      <c r="F131" s="430"/>
      <c r="G131" s="102"/>
      <c r="H131" s="102"/>
      <c r="I131" s="69" t="e">
        <f>-I$125/'Control Panel'!$R$41</f>
        <v>#REF!</v>
      </c>
      <c r="J131" s="69" t="e">
        <f>IF(#REF!&gt;$B131+'Control Panel'!$R$41-1,0,I131)</f>
        <v>#REF!</v>
      </c>
      <c r="K131" s="69" t="e">
        <f>IF(#REF!&gt;$B131+'Control Panel'!$R$41-1,0,J131)</f>
        <v>#REF!</v>
      </c>
      <c r="L131" s="69"/>
      <c r="M131" s="69"/>
      <c r="N131" s="69"/>
    </row>
    <row r="132" spans="2:14" ht="13.5" customHeight="1">
      <c r="B132" s="109" t="e">
        <f t="shared" si="35"/>
        <v>#REF!</v>
      </c>
      <c r="C132" s="102"/>
      <c r="D132" s="102"/>
      <c r="E132" s="455"/>
      <c r="F132" s="430"/>
      <c r="G132" s="102"/>
      <c r="H132" s="102"/>
      <c r="I132" s="102"/>
      <c r="J132" s="69" t="e">
        <f>-J$125/'Control Panel'!$R$41</f>
        <v>#REF!</v>
      </c>
      <c r="K132" s="69" t="e">
        <f>IF(#REF!&gt;$B132+'Control Panel'!$R$41-1,0,J132)</f>
        <v>#REF!</v>
      </c>
      <c r="L132" s="69"/>
      <c r="M132" s="69"/>
      <c r="N132" s="69"/>
    </row>
    <row r="133" spans="2:14" ht="13.5" customHeight="1">
      <c r="B133" s="109" t="e">
        <f t="shared" si="35"/>
        <v>#REF!</v>
      </c>
      <c r="C133" s="102"/>
      <c r="D133" s="102"/>
      <c r="E133" s="455"/>
      <c r="F133" s="430"/>
      <c r="G133" s="102"/>
      <c r="H133" s="102"/>
      <c r="I133" s="102"/>
      <c r="J133" s="102"/>
      <c r="K133" s="69" t="e">
        <f>-K$125/'Control Panel'!$R$41</f>
        <v>#REF!</v>
      </c>
      <c r="L133" s="69"/>
      <c r="M133" s="69"/>
      <c r="N133" s="69"/>
    </row>
    <row r="134" spans="2:14" ht="13.5" customHeight="1">
      <c r="B134" s="109" t="e">
        <f t="shared" si="35"/>
        <v>#REF!</v>
      </c>
      <c r="C134" s="102"/>
      <c r="D134" s="102"/>
      <c r="E134" s="455"/>
      <c r="F134" s="430"/>
      <c r="G134" s="102"/>
      <c r="H134" s="102"/>
      <c r="I134" s="102"/>
      <c r="J134" s="102"/>
      <c r="K134" s="102"/>
      <c r="L134" s="69"/>
      <c r="M134" s="69"/>
      <c r="N134" s="69"/>
    </row>
    <row r="135" spans="2:14" ht="13.5" customHeight="1">
      <c r="B135" s="109" t="e">
        <f t="shared" si="35"/>
        <v>#REF!</v>
      </c>
      <c r="C135" s="102"/>
      <c r="D135" s="102"/>
      <c r="E135" s="455"/>
      <c r="F135" s="430"/>
      <c r="G135" s="102"/>
      <c r="H135" s="102"/>
      <c r="I135" s="102"/>
      <c r="J135" s="102"/>
      <c r="K135" s="102"/>
      <c r="L135" s="69"/>
      <c r="M135" s="69"/>
      <c r="N135" s="69"/>
    </row>
    <row r="136" spans="2:14" ht="13.5" customHeight="1">
      <c r="B136" s="109" t="e">
        <f t="shared" si="35"/>
        <v>#REF!</v>
      </c>
      <c r="C136" s="102"/>
      <c r="D136" s="102"/>
      <c r="E136" s="455"/>
      <c r="F136" s="430"/>
      <c r="G136" s="102"/>
      <c r="H136" s="102"/>
      <c r="I136" s="102"/>
      <c r="J136" s="102"/>
      <c r="K136" s="102"/>
      <c r="L136" s="69"/>
      <c r="M136" s="69"/>
      <c r="N136" s="69"/>
    </row>
    <row r="137" spans="2:14" ht="13.5" customHeight="1">
      <c r="B137" s="109" t="e">
        <f t="shared" si="35"/>
        <v>#REF!</v>
      </c>
      <c r="C137" s="102"/>
      <c r="D137" s="102"/>
      <c r="E137" s="455"/>
      <c r="F137" s="430"/>
      <c r="G137" s="102"/>
      <c r="H137" s="102"/>
      <c r="I137" s="102"/>
      <c r="J137" s="102"/>
      <c r="K137" s="102"/>
      <c r="L137" s="69"/>
      <c r="M137" s="69"/>
      <c r="N137" s="69"/>
    </row>
    <row r="138" spans="2:14" ht="13.5" customHeight="1">
      <c r="B138" s="109" t="e">
        <f t="shared" si="35"/>
        <v>#REF!</v>
      </c>
      <c r="C138" s="121"/>
      <c r="D138" s="121"/>
      <c r="E138" s="455"/>
      <c r="F138" s="442"/>
      <c r="G138" s="121"/>
      <c r="H138" s="121"/>
      <c r="I138" s="121"/>
      <c r="J138" s="121"/>
      <c r="K138" s="121"/>
      <c r="L138" s="69"/>
      <c r="M138" s="69"/>
      <c r="N138" s="69"/>
    </row>
    <row r="139" spans="2:14" ht="13.5" customHeight="1">
      <c r="B139" s="111" t="s">
        <v>164</v>
      </c>
      <c r="C139" s="69">
        <f t="shared" ref="C139:K139" si="36">SUM(C128:C138)</f>
        <v>0</v>
      </c>
      <c r="D139" s="69">
        <f t="shared" si="36"/>
        <v>0</v>
      </c>
      <c r="E139" s="456">
        <f t="shared" si="36"/>
        <v>0</v>
      </c>
      <c r="F139" s="426" t="e">
        <f t="shared" si="36"/>
        <v>#REF!</v>
      </c>
      <c r="G139" s="69" t="e">
        <f t="shared" si="36"/>
        <v>#REF!</v>
      </c>
      <c r="H139" s="69" t="e">
        <f t="shared" si="36"/>
        <v>#REF!</v>
      </c>
      <c r="I139" s="69" t="e">
        <f t="shared" si="36"/>
        <v>#REF!</v>
      </c>
      <c r="J139" s="69" t="e">
        <f t="shared" si="36"/>
        <v>#REF!</v>
      </c>
      <c r="K139" s="69" t="e">
        <f t="shared" si="36"/>
        <v>#REF!</v>
      </c>
      <c r="L139" s="69"/>
      <c r="M139" s="69"/>
      <c r="N139" s="69"/>
    </row>
    <row r="140" spans="2:14" ht="13.5" customHeight="1">
      <c r="C140" s="122"/>
      <c r="D140" s="122"/>
      <c r="E140" s="462"/>
      <c r="F140" s="441"/>
      <c r="G140" s="122"/>
      <c r="H140" s="122"/>
      <c r="I140" s="122"/>
      <c r="J140" s="122"/>
      <c r="K140" s="122"/>
    </row>
    <row r="141" spans="2:14" ht="13.5" customHeight="1">
      <c r="B141" s="35" t="s">
        <v>165</v>
      </c>
      <c r="C141" s="69">
        <f t="shared" ref="C141:K141" si="37">-C139+C126</f>
        <v>0</v>
      </c>
      <c r="D141" s="69">
        <f t="shared" si="37"/>
        <v>0</v>
      </c>
      <c r="E141" s="456">
        <f t="shared" si="37"/>
        <v>0</v>
      </c>
      <c r="F141" s="426" t="e">
        <f t="shared" si="37"/>
        <v>#REF!</v>
      </c>
      <c r="G141" s="69" t="e">
        <f t="shared" si="37"/>
        <v>#REF!</v>
      </c>
      <c r="H141" s="69" t="e">
        <f t="shared" si="37"/>
        <v>#REF!</v>
      </c>
      <c r="I141" s="69" t="e">
        <f t="shared" si="37"/>
        <v>#REF!</v>
      </c>
      <c r="J141" s="69" t="e">
        <f t="shared" si="37"/>
        <v>#REF!</v>
      </c>
      <c r="K141" s="69" t="e">
        <f t="shared" si="37"/>
        <v>#REF!</v>
      </c>
      <c r="L141" s="69"/>
      <c r="M141" s="69"/>
      <c r="N141" s="69"/>
    </row>
    <row r="142" spans="2:14" ht="13.5" customHeight="1">
      <c r="B142" s="105" t="s">
        <v>166</v>
      </c>
      <c r="C142" s="105">
        <f t="shared" ref="C142:K142" si="38">+C124+C125+C126-C141</f>
        <v>0</v>
      </c>
      <c r="D142" s="105">
        <f t="shared" si="38"/>
        <v>0</v>
      </c>
      <c r="E142" s="456">
        <f t="shared" si="38"/>
        <v>0</v>
      </c>
      <c r="F142" s="432" t="e">
        <f t="shared" si="38"/>
        <v>#REF!</v>
      </c>
      <c r="G142" s="105" t="e">
        <f t="shared" si="38"/>
        <v>#REF!</v>
      </c>
      <c r="H142" s="105" t="e">
        <f t="shared" si="38"/>
        <v>#REF!</v>
      </c>
      <c r="I142" s="105" t="e">
        <f t="shared" si="38"/>
        <v>#REF!</v>
      </c>
      <c r="J142" s="105" t="e">
        <f t="shared" si="38"/>
        <v>#REF!</v>
      </c>
      <c r="K142" s="105" t="e">
        <f t="shared" si="38"/>
        <v>#REF!</v>
      </c>
      <c r="L142" s="69"/>
      <c r="M142" s="69"/>
      <c r="N142" s="69"/>
    </row>
    <row r="143" spans="2:14" ht="13.5" customHeight="1">
      <c r="B143" s="69"/>
      <c r="C143" s="122"/>
      <c r="D143" s="122"/>
      <c r="E143" s="462"/>
      <c r="F143" s="441"/>
      <c r="G143" s="122"/>
      <c r="H143" s="122"/>
      <c r="I143" s="122"/>
      <c r="J143" s="122"/>
      <c r="K143" s="122"/>
    </row>
    <row r="144" spans="2:14" ht="13.5" customHeight="1">
      <c r="B144" s="105" t="s">
        <v>177</v>
      </c>
      <c r="C144" s="125"/>
      <c r="D144" s="125"/>
      <c r="E144" s="453"/>
      <c r="F144" s="432" t="e">
        <f t="shared" ref="F144:K144" si="39">F142+F121</f>
        <v>#REF!</v>
      </c>
      <c r="G144" s="105" t="e">
        <f t="shared" si="39"/>
        <v>#REF!</v>
      </c>
      <c r="H144" s="105" t="e">
        <f t="shared" si="39"/>
        <v>#REF!</v>
      </c>
      <c r="I144" s="105" t="e">
        <f t="shared" si="39"/>
        <v>#REF!</v>
      </c>
      <c r="J144" s="105" t="e">
        <f t="shared" si="39"/>
        <v>#REF!</v>
      </c>
      <c r="K144" s="105" t="e">
        <f t="shared" si="39"/>
        <v>#REF!</v>
      </c>
      <c r="L144" s="69"/>
      <c r="M144" s="69"/>
    </row>
    <row r="145" spans="2:14" ht="13.5" customHeight="1">
      <c r="B145" s="69" t="s">
        <v>178</v>
      </c>
      <c r="C145" s="126"/>
      <c r="D145" s="126"/>
      <c r="E145" s="458"/>
      <c r="F145" s="443"/>
      <c r="G145" s="70"/>
      <c r="H145" s="70"/>
      <c r="I145" s="70"/>
      <c r="J145" s="70"/>
      <c r="K145" s="70"/>
    </row>
    <row r="146" spans="2:14" ht="13.5" customHeight="1">
      <c r="B146" s="103" t="s">
        <v>179</v>
      </c>
      <c r="C146" s="103">
        <f t="shared" ref="C146:K146" si="40">SUM(C144:C145)</f>
        <v>0</v>
      </c>
      <c r="D146" s="103">
        <f t="shared" si="40"/>
        <v>0</v>
      </c>
      <c r="E146" s="457">
        <f t="shared" si="40"/>
        <v>0</v>
      </c>
      <c r="F146" s="429" t="e">
        <f t="shared" si="40"/>
        <v>#REF!</v>
      </c>
      <c r="G146" s="103" t="e">
        <f t="shared" si="40"/>
        <v>#REF!</v>
      </c>
      <c r="H146" s="103" t="e">
        <f t="shared" si="40"/>
        <v>#REF!</v>
      </c>
      <c r="I146" s="103" t="e">
        <f t="shared" si="40"/>
        <v>#REF!</v>
      </c>
      <c r="J146" s="103" t="e">
        <f t="shared" si="40"/>
        <v>#REF!</v>
      </c>
      <c r="K146" s="103" t="e">
        <f t="shared" si="40"/>
        <v>#REF!</v>
      </c>
      <c r="L146" s="69"/>
      <c r="M146" s="69"/>
    </row>
    <row r="147" spans="2:14" ht="13.5" customHeight="1">
      <c r="B147" s="124" t="s">
        <v>180</v>
      </c>
      <c r="C147" s="127"/>
      <c r="D147" s="127"/>
      <c r="E147" s="461"/>
      <c r="F147" s="433" t="e">
        <f t="shared" ref="F147:K147" si="41">-F120+F141</f>
        <v>#REF!</v>
      </c>
      <c r="G147" s="106" t="e">
        <f t="shared" si="41"/>
        <v>#REF!</v>
      </c>
      <c r="H147" s="106" t="e">
        <f t="shared" si="41"/>
        <v>#REF!</v>
      </c>
      <c r="I147" s="106" t="e">
        <f t="shared" si="41"/>
        <v>#REF!</v>
      </c>
      <c r="J147" s="106" t="e">
        <f t="shared" si="41"/>
        <v>#REF!</v>
      </c>
      <c r="K147" s="106" t="e">
        <f t="shared" si="41"/>
        <v>#REF!</v>
      </c>
      <c r="L147" s="69"/>
      <c r="M147" s="69"/>
    </row>
    <row r="148" spans="2:14" ht="13.5" customHeight="1">
      <c r="B148" s="124"/>
      <c r="C148" s="122"/>
      <c r="D148" s="122"/>
      <c r="E148" s="462"/>
      <c r="F148" s="443"/>
      <c r="G148" s="70"/>
      <c r="H148" s="70"/>
      <c r="I148" s="70"/>
      <c r="J148" s="70"/>
      <c r="K148" s="70"/>
    </row>
    <row r="149" spans="2:14" ht="13.5" customHeight="1">
      <c r="B149" s="15" t="s">
        <v>181</v>
      </c>
      <c r="C149" s="2"/>
      <c r="D149" s="2"/>
      <c r="E149" s="450"/>
      <c r="F149" s="427"/>
      <c r="G149" s="2"/>
      <c r="H149" s="2"/>
      <c r="I149" s="2"/>
      <c r="J149" s="2"/>
      <c r="K149" s="2"/>
    </row>
    <row r="150" spans="2:14" ht="13.5" customHeight="1">
      <c r="B150" s="15"/>
      <c r="C150" s="2"/>
      <c r="D150" s="2"/>
      <c r="E150" s="450"/>
      <c r="F150" s="427"/>
      <c r="G150" s="2"/>
      <c r="H150" s="2"/>
      <c r="I150" s="2"/>
      <c r="J150" s="2"/>
      <c r="K150" s="2"/>
    </row>
    <row r="151" spans="2:14" ht="13.5" customHeight="1">
      <c r="B151" s="2" t="e">
        <f>#REF!&amp;" at the Beginning of the period"</f>
        <v>#REF!</v>
      </c>
      <c r="C151" s="102"/>
      <c r="D151" s="102"/>
      <c r="E151" s="455"/>
      <c r="F151" s="426" t="e">
        <f>#REF!</f>
        <v>#REF!</v>
      </c>
      <c r="G151" s="69" t="e">
        <f>#REF!</f>
        <v>#REF!</v>
      </c>
      <c r="H151" s="69" t="e">
        <f>#REF!</f>
        <v>#REF!</v>
      </c>
      <c r="I151" s="69" t="e">
        <f>#REF!</f>
        <v>#REF!</v>
      </c>
      <c r="J151" s="69" t="e">
        <f>#REF!</f>
        <v>#REF!</v>
      </c>
      <c r="K151" s="69" t="e">
        <f>#REF!</f>
        <v>#REF!</v>
      </c>
      <c r="L151" s="69"/>
      <c r="M151" s="69"/>
      <c r="N151" s="69"/>
    </row>
    <row r="152" spans="2:14" ht="13.5" customHeight="1">
      <c r="B152" s="2" t="e">
        <f>#REF!</f>
        <v>#REF!</v>
      </c>
      <c r="C152" s="102"/>
      <c r="D152" s="102"/>
      <c r="E152" s="455"/>
      <c r="F152" s="426" t="e">
        <f>#REF!</f>
        <v>#REF!</v>
      </c>
      <c r="G152" s="69" t="e">
        <f>#REF!</f>
        <v>#REF!</v>
      </c>
      <c r="H152" s="69" t="e">
        <f>#REF!</f>
        <v>#REF!</v>
      </c>
      <c r="I152" s="69" t="e">
        <f>#REF!</f>
        <v>#REF!</v>
      </c>
      <c r="J152" s="69" t="e">
        <f>#REF!</f>
        <v>#REF!</v>
      </c>
      <c r="K152" s="69" t="e">
        <f>#REF!</f>
        <v>#REF!</v>
      </c>
      <c r="L152" s="69"/>
      <c r="M152" s="69"/>
      <c r="N152" s="69"/>
    </row>
    <row r="153" spans="2:14" ht="13.5" customHeight="1">
      <c r="B153" s="2" t="e">
        <f>#REF!</f>
        <v>#REF!</v>
      </c>
      <c r="C153" s="102"/>
      <c r="D153" s="102"/>
      <c r="E153" s="455"/>
      <c r="F153" s="426" t="e">
        <f>#REF!</f>
        <v>#REF!</v>
      </c>
      <c r="G153" s="69" t="e">
        <f>#REF!</f>
        <v>#REF!</v>
      </c>
      <c r="H153" s="69" t="e">
        <f>#REF!</f>
        <v>#REF!</v>
      </c>
      <c r="I153" s="69" t="e">
        <f>#REF!</f>
        <v>#REF!</v>
      </c>
      <c r="J153" s="69" t="e">
        <f>#REF!</f>
        <v>#REF!</v>
      </c>
      <c r="K153" s="69" t="e">
        <f>#REF!</f>
        <v>#REF!</v>
      </c>
      <c r="L153" s="69"/>
      <c r="M153" s="69"/>
      <c r="N153" s="69"/>
    </row>
    <row r="154" spans="2:14" ht="13.5" customHeight="1">
      <c r="B154" s="66" t="s">
        <v>182</v>
      </c>
      <c r="C154" s="128">
        <f t="shared" ref="C154:K154" si="42">MIN(0,SUM(C151:C153))</f>
        <v>0</v>
      </c>
      <c r="D154" s="128">
        <f t="shared" si="42"/>
        <v>0</v>
      </c>
      <c r="E154" s="463">
        <f t="shared" si="42"/>
        <v>0</v>
      </c>
      <c r="F154" s="444" t="e">
        <f t="shared" si="42"/>
        <v>#REF!</v>
      </c>
      <c r="G154" s="128" t="e">
        <f t="shared" si="42"/>
        <v>#REF!</v>
      </c>
      <c r="H154" s="128" t="e">
        <f t="shared" si="42"/>
        <v>#REF!</v>
      </c>
      <c r="I154" s="128" t="e">
        <f t="shared" si="42"/>
        <v>#REF!</v>
      </c>
      <c r="J154" s="128" t="e">
        <f t="shared" si="42"/>
        <v>#REF!</v>
      </c>
      <c r="K154" s="128" t="e">
        <f t="shared" si="42"/>
        <v>#REF!</v>
      </c>
    </row>
    <row r="155" spans="2:14" ht="13.5" customHeight="1">
      <c r="B155" s="15"/>
      <c r="C155" s="102"/>
      <c r="D155" s="102"/>
      <c r="E155" s="455"/>
      <c r="F155" s="428"/>
      <c r="G155" s="102"/>
      <c r="H155" s="102"/>
      <c r="I155" s="102"/>
      <c r="J155" s="102"/>
      <c r="K155" s="102"/>
    </row>
    <row r="156" spans="2:14" ht="13.5" customHeight="1">
      <c r="B156" s="2" t="s">
        <v>183</v>
      </c>
      <c r="C156" s="102"/>
      <c r="D156" s="102"/>
      <c r="E156" s="455"/>
      <c r="F156" s="426" t="str">
        <f>IFERROR(F$154*-'Control Panel'!$G32,"0")</f>
        <v>0</v>
      </c>
      <c r="G156" s="69" t="str">
        <f>IFERROR(G$154*-'Control Panel'!$G32,"0")</f>
        <v>0</v>
      </c>
      <c r="H156" s="69" t="str">
        <f>IFERROR(H$154*-'Control Panel'!$G32,"0")</f>
        <v>0</v>
      </c>
      <c r="I156" s="69" t="str">
        <f>IFERROR(I$154*-'Control Panel'!$G32,"0")</f>
        <v>0</v>
      </c>
      <c r="J156" s="69" t="str">
        <f>IFERROR(J$154*-'Control Panel'!$G32,"0")</f>
        <v>0</v>
      </c>
      <c r="K156" s="69" t="str">
        <f>IFERROR(K$154*-'Control Panel'!$G32,"0")</f>
        <v>0</v>
      </c>
      <c r="L156" s="69"/>
      <c r="M156" s="69"/>
      <c r="N156" s="69"/>
    </row>
    <row r="157" spans="2:14" ht="13.5" customHeight="1">
      <c r="B157" s="2" t="s">
        <v>184</v>
      </c>
      <c r="C157" s="102"/>
      <c r="D157" s="101"/>
      <c r="E157" s="454"/>
      <c r="F157" s="426" t="str">
        <f>IFERROR(F$154*-'Control Panel'!$G33,"0")</f>
        <v>0</v>
      </c>
      <c r="G157" s="69" t="str">
        <f>IFERROR(G$154*-'Control Panel'!$G33,"0")</f>
        <v>0</v>
      </c>
      <c r="H157" s="69" t="str">
        <f>IFERROR(H$154*-'Control Panel'!$G33,"0")</f>
        <v>0</v>
      </c>
      <c r="I157" s="69" t="str">
        <f>IFERROR(I$154*-'Control Panel'!$G33,"0")</f>
        <v>0</v>
      </c>
      <c r="J157" s="69" t="str">
        <f>IFERROR(J$154*-'Control Panel'!$G33,"0")</f>
        <v>0</v>
      </c>
      <c r="K157" s="69" t="str">
        <f>IFERROR(K$154*-'Control Panel'!$G33,"0")</f>
        <v>0</v>
      </c>
      <c r="L157" s="69"/>
      <c r="M157" s="69"/>
      <c r="N157" s="69"/>
    </row>
    <row r="158" spans="2:14" ht="13.5" customHeight="1">
      <c r="B158" s="2" t="s">
        <v>185</v>
      </c>
      <c r="C158" s="102"/>
      <c r="D158" s="101"/>
      <c r="E158" s="454"/>
      <c r="F158" s="426" t="e">
        <f t="shared" ref="F158:K158" si="43">(F157)/#REF!</f>
        <v>#REF!</v>
      </c>
      <c r="G158" s="69" t="e">
        <f t="shared" si="43"/>
        <v>#REF!</v>
      </c>
      <c r="H158" s="69" t="e">
        <f t="shared" si="43"/>
        <v>#REF!</v>
      </c>
      <c r="I158" s="69" t="e">
        <f t="shared" si="43"/>
        <v>#REF!</v>
      </c>
      <c r="J158" s="69" t="e">
        <f t="shared" si="43"/>
        <v>#REF!</v>
      </c>
      <c r="K158" s="69" t="e">
        <f t="shared" si="43"/>
        <v>#REF!</v>
      </c>
      <c r="L158" s="69"/>
      <c r="M158" s="69"/>
      <c r="N158" s="69"/>
    </row>
    <row r="159" spans="2:14" ht="13.5" customHeight="1">
      <c r="C159" s="129"/>
      <c r="D159" s="129"/>
      <c r="E159" s="464"/>
      <c r="F159" s="426"/>
      <c r="G159" s="69"/>
      <c r="H159" s="69"/>
      <c r="I159" s="69"/>
      <c r="J159" s="69"/>
      <c r="K159" s="69"/>
      <c r="L159" s="69"/>
      <c r="M159" s="69"/>
      <c r="N159" s="69"/>
    </row>
    <row r="160" spans="2:14" ht="13.5" customHeight="1">
      <c r="C160" s="129"/>
      <c r="D160" s="129"/>
      <c r="E160" s="464"/>
      <c r="F160" s="445"/>
      <c r="G160" s="129"/>
      <c r="H160" s="129"/>
      <c r="I160" s="129"/>
      <c r="J160" s="129"/>
      <c r="K160" s="129"/>
    </row>
    <row r="161" spans="2:14" ht="13.5" customHeight="1">
      <c r="B161" s="15" t="s">
        <v>186</v>
      </c>
      <c r="C161" s="2"/>
      <c r="D161" s="2"/>
      <c r="E161" s="450"/>
      <c r="F161" s="427"/>
      <c r="G161" s="2"/>
      <c r="H161" s="2"/>
      <c r="I161" s="2"/>
      <c r="J161" s="2"/>
      <c r="K161" s="2"/>
    </row>
    <row r="162" spans="2:14" ht="13.5" customHeight="1">
      <c r="B162" s="15"/>
      <c r="C162" s="2"/>
      <c r="D162" s="2"/>
      <c r="E162" s="450"/>
      <c r="F162" s="427"/>
      <c r="G162" s="2"/>
      <c r="H162" s="2"/>
      <c r="I162" s="2"/>
      <c r="J162" s="2"/>
      <c r="K162" s="2"/>
    </row>
    <row r="163" spans="2:14" ht="13.5" customHeight="1">
      <c r="B163" s="2" t="s">
        <v>187</v>
      </c>
      <c r="C163" s="102"/>
      <c r="D163" s="69">
        <f t="shared" ref="D163:E163" si="44">+C166</f>
        <v>0</v>
      </c>
      <c r="E163" s="456">
        <f t="shared" si="44"/>
        <v>0</v>
      </c>
      <c r="F163" s="426" t="e">
        <f>+#REF!</f>
        <v>#REF!</v>
      </c>
      <c r="G163" s="69" t="e">
        <f>+F166</f>
        <v>#REF!</v>
      </c>
      <c r="H163" s="69" t="e">
        <f t="shared" ref="H163:K163" si="45">+G166</f>
        <v>#REF!</v>
      </c>
      <c r="I163" s="69" t="e">
        <f t="shared" si="45"/>
        <v>#REF!</v>
      </c>
      <c r="J163" s="69" t="e">
        <f t="shared" si="45"/>
        <v>#REF!</v>
      </c>
      <c r="K163" s="69" t="e">
        <f t="shared" si="45"/>
        <v>#REF!</v>
      </c>
      <c r="L163" s="69"/>
    </row>
    <row r="164" spans="2:14" ht="13.5" customHeight="1">
      <c r="B164" s="35" t="s">
        <v>162</v>
      </c>
      <c r="C164" s="102"/>
      <c r="D164" s="100"/>
      <c r="E164" s="453"/>
      <c r="F164" s="446"/>
      <c r="G164" s="130"/>
      <c r="H164" s="130"/>
      <c r="I164" s="130"/>
      <c r="J164" s="130"/>
      <c r="K164" s="130"/>
    </row>
    <row r="165" spans="2:14" ht="13.5" customHeight="1">
      <c r="B165" s="35" t="s">
        <v>188</v>
      </c>
      <c r="C165" s="102"/>
      <c r="D165" s="100"/>
      <c r="E165" s="453"/>
      <c r="F165" s="426" t="e">
        <f>-#REF!</f>
        <v>#REF!</v>
      </c>
      <c r="G165" s="100" t="e">
        <f>-#REF!</f>
        <v>#REF!</v>
      </c>
      <c r="H165" s="100" t="e">
        <f>-#REF!</f>
        <v>#REF!</v>
      </c>
      <c r="I165" s="100" t="e">
        <f>-#REF!</f>
        <v>#REF!</v>
      </c>
      <c r="J165" s="100" t="e">
        <f>-#REF!</f>
        <v>#REF!</v>
      </c>
      <c r="K165" s="100" t="e">
        <f>-#REF!/6</f>
        <v>#REF!</v>
      </c>
      <c r="L165" s="69"/>
    </row>
    <row r="166" spans="2:14" ht="13.5" customHeight="1">
      <c r="B166" s="52" t="s">
        <v>189</v>
      </c>
      <c r="C166" s="105">
        <f>C181</f>
        <v>0</v>
      </c>
      <c r="D166" s="105">
        <f t="shared" ref="D166:K166" si="46">SUM(D163:D165)</f>
        <v>0</v>
      </c>
      <c r="E166" s="456">
        <f t="shared" si="46"/>
        <v>0</v>
      </c>
      <c r="F166" s="432" t="e">
        <f t="shared" si="46"/>
        <v>#REF!</v>
      </c>
      <c r="G166" s="105" t="e">
        <f t="shared" si="46"/>
        <v>#REF!</v>
      </c>
      <c r="H166" s="105" t="e">
        <f t="shared" si="46"/>
        <v>#REF!</v>
      </c>
      <c r="I166" s="105" t="e">
        <f t="shared" si="46"/>
        <v>#REF!</v>
      </c>
      <c r="J166" s="105" t="e">
        <f t="shared" si="46"/>
        <v>#REF!</v>
      </c>
      <c r="K166" s="105" t="e">
        <f t="shared" si="46"/>
        <v>#REF!</v>
      </c>
    </row>
    <row r="167" spans="2:14" ht="13.5" customHeight="1">
      <c r="C167" s="69"/>
      <c r="D167" s="69"/>
      <c r="E167" s="456"/>
      <c r="F167" s="426"/>
      <c r="G167" s="69"/>
      <c r="H167" s="69"/>
      <c r="I167" s="69"/>
      <c r="J167" s="69"/>
      <c r="K167" s="69"/>
    </row>
    <row r="168" spans="2:14" ht="13.5" customHeight="1">
      <c r="C168" s="102"/>
      <c r="D168" s="102"/>
      <c r="E168" s="455"/>
      <c r="F168" s="428"/>
      <c r="G168" s="102"/>
      <c r="H168" s="102"/>
      <c r="I168" s="102"/>
      <c r="J168" s="102"/>
      <c r="K168" s="102"/>
    </row>
    <row r="169" spans="2:14" ht="13.5" customHeight="1">
      <c r="B169" s="15" t="s">
        <v>190</v>
      </c>
      <c r="C169" s="2"/>
      <c r="D169" s="2"/>
      <c r="E169" s="450"/>
      <c r="F169" s="427"/>
      <c r="G169" s="2"/>
      <c r="H169" s="2"/>
      <c r="I169" s="2"/>
      <c r="J169" s="2"/>
      <c r="K169" s="2"/>
      <c r="M169" s="102"/>
      <c r="N169" s="102"/>
    </row>
    <row r="170" spans="2:14" ht="13.5" customHeight="1">
      <c r="B170" s="15"/>
      <c r="C170" s="2"/>
      <c r="D170" s="2"/>
      <c r="E170" s="450"/>
      <c r="F170" s="427"/>
      <c r="G170" s="2"/>
      <c r="H170" s="2"/>
      <c r="I170" s="2"/>
      <c r="J170" s="2"/>
      <c r="K170" s="2"/>
      <c r="M170" s="102"/>
      <c r="N170" s="102"/>
    </row>
    <row r="171" spans="2:14" ht="13.5" customHeight="1">
      <c r="B171" s="2" t="s">
        <v>187</v>
      </c>
      <c r="C171" s="102"/>
      <c r="D171" s="102"/>
      <c r="E171" s="455"/>
      <c r="F171" s="426">
        <v>0</v>
      </c>
      <c r="G171" s="69">
        <f>F174</f>
        <v>0</v>
      </c>
      <c r="H171" s="69">
        <f t="shared" ref="H171:K171" si="47">G174</f>
        <v>0</v>
      </c>
      <c r="I171" s="69">
        <f t="shared" si="47"/>
        <v>0</v>
      </c>
      <c r="J171" s="69">
        <f t="shared" si="47"/>
        <v>0</v>
      </c>
      <c r="K171" s="69">
        <f t="shared" si="47"/>
        <v>0</v>
      </c>
      <c r="L171" s="102"/>
      <c r="M171" s="131"/>
      <c r="N171" s="131"/>
    </row>
    <row r="172" spans="2:14" ht="13.5" customHeight="1">
      <c r="B172" s="35" t="s">
        <v>162</v>
      </c>
      <c r="C172" s="102"/>
      <c r="D172" s="101"/>
      <c r="E172" s="454"/>
      <c r="F172" s="426" t="str">
        <f t="shared" ref="F172:K172" si="48">F156</f>
        <v>0</v>
      </c>
      <c r="G172" s="69" t="str">
        <f t="shared" si="48"/>
        <v>0</v>
      </c>
      <c r="H172" s="69" t="str">
        <f t="shared" si="48"/>
        <v>0</v>
      </c>
      <c r="I172" s="69" t="str">
        <f t="shared" si="48"/>
        <v>0</v>
      </c>
      <c r="J172" s="69" t="str">
        <f t="shared" si="48"/>
        <v>0</v>
      </c>
      <c r="K172" s="69" t="str">
        <f t="shared" si="48"/>
        <v>0</v>
      </c>
      <c r="L172" s="131"/>
      <c r="M172" s="5"/>
      <c r="N172" s="5"/>
    </row>
    <row r="173" spans="2:14" ht="13.5" customHeight="1">
      <c r="B173" s="35" t="s">
        <v>191</v>
      </c>
      <c r="C173" s="102"/>
      <c r="D173" s="101"/>
      <c r="E173" s="454"/>
      <c r="F173" s="426">
        <f>-SUM($F156:F156)/'Control Panel'!$G$35</f>
        <v>0</v>
      </c>
      <c r="G173" s="69">
        <f>-SUM($F156:G156)/'Control Panel'!$G$35</f>
        <v>0</v>
      </c>
      <c r="H173" s="69">
        <f>-SUM($F156:H156)/'Control Panel'!$G$35</f>
        <v>0</v>
      </c>
      <c r="I173" s="69">
        <f>-SUM($F156:I156)/'Control Panel'!$G$35</f>
        <v>0</v>
      </c>
      <c r="J173" s="69">
        <f>-SUM($F156:J156)/'Control Panel'!$G$35</f>
        <v>0</v>
      </c>
      <c r="K173" s="69">
        <f>-SUM($F156:K156)/'Control Panel'!$G$35</f>
        <v>0</v>
      </c>
      <c r="L173" s="5"/>
      <c r="M173" s="102"/>
      <c r="N173" s="102"/>
    </row>
    <row r="174" spans="2:14" ht="13.5" customHeight="1">
      <c r="B174" s="52" t="s">
        <v>189</v>
      </c>
      <c r="C174" s="105"/>
      <c r="D174" s="105"/>
      <c r="E174" s="456"/>
      <c r="F174" s="432">
        <f t="shared" ref="F174:K174" si="49">SUM(F171:F173)</f>
        <v>0</v>
      </c>
      <c r="G174" s="105">
        <f t="shared" si="49"/>
        <v>0</v>
      </c>
      <c r="H174" s="105">
        <f t="shared" si="49"/>
        <v>0</v>
      </c>
      <c r="I174" s="105">
        <f t="shared" si="49"/>
        <v>0</v>
      </c>
      <c r="J174" s="105">
        <f t="shared" si="49"/>
        <v>0</v>
      </c>
      <c r="K174" s="105">
        <f t="shared" si="49"/>
        <v>0</v>
      </c>
      <c r="L174" s="102"/>
    </row>
    <row r="175" spans="2:14" ht="13.5" customHeight="1">
      <c r="C175" s="69"/>
      <c r="D175" s="69"/>
      <c r="E175" s="456"/>
      <c r="F175" s="426"/>
      <c r="G175" s="69"/>
      <c r="H175" s="69"/>
      <c r="I175" s="69"/>
      <c r="J175" s="69"/>
      <c r="K175" s="69"/>
      <c r="L175" s="102"/>
    </row>
    <row r="176" spans="2:14" ht="13.5" customHeight="1">
      <c r="B176" s="15" t="s">
        <v>192</v>
      </c>
      <c r="C176" s="2" t="s">
        <v>77</v>
      </c>
      <c r="D176" s="2"/>
      <c r="E176" s="450"/>
      <c r="F176" s="427"/>
      <c r="G176" s="2"/>
      <c r="H176" s="2"/>
      <c r="I176" s="2"/>
      <c r="J176" s="2"/>
      <c r="K176" s="2"/>
      <c r="L176" s="102"/>
    </row>
    <row r="177" spans="2:12" ht="13.5" customHeight="1">
      <c r="B177" s="15"/>
      <c r="C177" s="2"/>
      <c r="D177" s="2"/>
      <c r="E177" s="450"/>
      <c r="F177" s="427"/>
      <c r="G177" s="2"/>
      <c r="H177" s="2"/>
      <c r="I177" s="2"/>
      <c r="J177" s="2"/>
      <c r="K177" s="2"/>
      <c r="L177" s="102"/>
    </row>
    <row r="178" spans="2:12" ht="13.5" customHeight="1">
      <c r="B178" s="15" t="s">
        <v>193</v>
      </c>
      <c r="C178" s="106"/>
      <c r="D178" s="106"/>
      <c r="E178" s="457"/>
      <c r="F178" s="433"/>
      <c r="G178" s="106"/>
      <c r="H178" s="106"/>
      <c r="I178" s="106"/>
      <c r="J178" s="106"/>
      <c r="K178" s="106"/>
      <c r="L178" s="102"/>
    </row>
    <row r="179" spans="2:12" ht="13.5" customHeight="1">
      <c r="B179" s="15" t="s">
        <v>194</v>
      </c>
      <c r="C179" s="106" t="e">
        <f>#REF!</f>
        <v>#REF!</v>
      </c>
      <c r="D179" s="106" t="e">
        <f>#REF!</f>
        <v>#REF!</v>
      </c>
      <c r="E179" s="457" t="e">
        <f>#REF!</f>
        <v>#REF!</v>
      </c>
      <c r="F179" s="433"/>
      <c r="G179" s="106"/>
      <c r="H179" s="106"/>
      <c r="I179" s="106"/>
      <c r="J179" s="106"/>
      <c r="K179" s="106"/>
      <c r="L179" s="102"/>
    </row>
    <row r="180" spans="2:12" ht="13.5" customHeight="1">
      <c r="C180" s="102"/>
      <c r="D180" s="102"/>
      <c r="E180" s="454"/>
      <c r="F180" s="428"/>
      <c r="G180" s="102"/>
      <c r="H180" s="102"/>
      <c r="I180" s="102"/>
      <c r="J180" s="102"/>
      <c r="K180" s="102"/>
    </row>
    <row r="181" spans="2:12" ht="13.5" customHeight="1">
      <c r="B181" s="2" t="s">
        <v>195</v>
      </c>
      <c r="C181" s="69"/>
      <c r="D181" s="69"/>
      <c r="E181" s="456"/>
      <c r="F181" s="438"/>
      <c r="G181" s="113"/>
      <c r="H181" s="113"/>
      <c r="I181" s="113"/>
      <c r="J181" s="113"/>
      <c r="K181" s="113"/>
    </row>
    <row r="182" spans="2:12" ht="13.5" customHeight="1">
      <c r="B182" s="2" t="s">
        <v>196</v>
      </c>
      <c r="C182" s="100"/>
      <c r="D182" s="100"/>
      <c r="E182" s="453"/>
      <c r="F182" s="438"/>
      <c r="G182" s="113"/>
      <c r="H182" s="113"/>
      <c r="I182" s="113"/>
      <c r="J182" s="113"/>
      <c r="K182" s="113"/>
    </row>
    <row r="183" spans="2:12" ht="13.5" customHeight="1">
      <c r="B183" s="66" t="s">
        <v>193</v>
      </c>
      <c r="C183" s="103">
        <f t="shared" ref="C183:K183" si="50">SUM(C181:C182)</f>
        <v>0</v>
      </c>
      <c r="D183" s="103">
        <f t="shared" si="50"/>
        <v>0</v>
      </c>
      <c r="E183" s="457">
        <f t="shared" si="50"/>
        <v>0</v>
      </c>
      <c r="F183" s="429">
        <f t="shared" si="50"/>
        <v>0</v>
      </c>
      <c r="G183" s="103">
        <f t="shared" si="50"/>
        <v>0</v>
      </c>
      <c r="H183" s="103">
        <f t="shared" si="50"/>
        <v>0</v>
      </c>
      <c r="I183" s="103">
        <f t="shared" si="50"/>
        <v>0</v>
      </c>
      <c r="J183" s="103">
        <f t="shared" si="50"/>
        <v>0</v>
      </c>
      <c r="K183" s="103">
        <f t="shared" si="50"/>
        <v>0</v>
      </c>
    </row>
    <row r="184" spans="2:12" ht="13.5" customHeight="1">
      <c r="B184" s="15"/>
      <c r="C184" s="113"/>
      <c r="D184" s="113"/>
      <c r="E184" s="460"/>
      <c r="F184" s="438"/>
      <c r="G184" s="113"/>
      <c r="H184" s="113"/>
      <c r="I184" s="113"/>
      <c r="J184" s="113"/>
      <c r="K184" s="113"/>
    </row>
    <row r="185" spans="2:12" ht="13.5" customHeight="1">
      <c r="B185" s="2" t="s">
        <v>197</v>
      </c>
      <c r="C185" s="69"/>
      <c r="D185" s="69"/>
      <c r="E185" s="456"/>
      <c r="F185" s="426" t="e">
        <f>+(AVERAGE(F166)+AVERAGE(F174))*'Control Panel'!$F$15</f>
        <v>#REF!</v>
      </c>
      <c r="G185" s="69" t="e">
        <f>+(AVERAGE(F166:G166)+AVERAGE(F174:G174))*'Control Panel'!$F$15</f>
        <v>#REF!</v>
      </c>
      <c r="H185" s="69" t="e">
        <f>+(AVERAGE(G166:H166)+AVERAGE(G174:H174))*'Control Panel'!$F$15</f>
        <v>#REF!</v>
      </c>
      <c r="I185" s="69" t="e">
        <f>+(AVERAGE(H166:I166)+AVERAGE(H174:I174))*'Control Panel'!$F$15</f>
        <v>#REF!</v>
      </c>
      <c r="J185" s="69" t="e">
        <f>+(AVERAGE(I166:J166)+AVERAGE(I174:J174))*'Control Panel'!$F$15</f>
        <v>#REF!</v>
      </c>
      <c r="K185" s="69" t="e">
        <f>+(AVERAGE(J166:K166)+AVERAGE(J174:K174))*'Control Panel'!$F$15</f>
        <v>#REF!</v>
      </c>
    </row>
    <row r="186" spans="2:12" ht="13.5" customHeight="1">
      <c r="B186" s="2" t="s">
        <v>198</v>
      </c>
      <c r="C186" s="102"/>
      <c r="D186" s="132"/>
      <c r="E186" s="465"/>
      <c r="F186" s="447"/>
      <c r="G186" s="46"/>
      <c r="H186" s="46"/>
      <c r="I186" s="46"/>
      <c r="J186" s="46"/>
      <c r="K186" s="46"/>
    </row>
    <row r="187" spans="2:12" ht="13.5" customHeight="1">
      <c r="C187" s="102"/>
      <c r="D187" s="132"/>
      <c r="E187" s="465"/>
      <c r="F187" s="447"/>
      <c r="G187" s="46"/>
      <c r="H187" s="46"/>
      <c r="I187" s="46"/>
      <c r="J187" s="46"/>
      <c r="K187" s="46"/>
    </row>
    <row r="188" spans="2:12" ht="13.5" customHeight="1">
      <c r="E188" s="448"/>
      <c r="F188" s="427"/>
    </row>
    <row r="189" spans="2:12" ht="13.5" customHeight="1">
      <c r="B189" s="65" t="s">
        <v>86</v>
      </c>
      <c r="C189" s="65"/>
      <c r="D189" s="65"/>
      <c r="E189" s="459"/>
      <c r="F189" s="435"/>
      <c r="G189" s="65"/>
      <c r="H189" s="65"/>
      <c r="I189" s="65"/>
      <c r="J189" s="65"/>
      <c r="K189" s="65"/>
    </row>
    <row r="190" spans="2:12" ht="13.5" customHeight="1">
      <c r="E190" s="448"/>
      <c r="F190" s="427"/>
    </row>
    <row r="191" spans="2:12" ht="13.5" customHeight="1">
      <c r="B191" s="2" t="s">
        <v>199</v>
      </c>
      <c r="C191" s="69"/>
      <c r="D191" s="69"/>
      <c r="E191" s="456"/>
      <c r="F191" s="426">
        <v>1000</v>
      </c>
      <c r="G191" s="69">
        <v>1000</v>
      </c>
      <c r="H191" s="69">
        <v>1000</v>
      </c>
      <c r="I191" s="69">
        <v>1000</v>
      </c>
      <c r="J191" s="69">
        <v>1000</v>
      </c>
      <c r="K191" s="69">
        <v>1000</v>
      </c>
      <c r="L191" s="102"/>
    </row>
    <row r="192" spans="2:12" ht="13.5" customHeight="1">
      <c r="B192" s="2" t="s">
        <v>200</v>
      </c>
      <c r="C192" s="69" t="e">
        <f>+#REF!</f>
        <v>#REF!</v>
      </c>
      <c r="D192" s="69" t="e">
        <f>+#REF!</f>
        <v>#REF!</v>
      </c>
      <c r="E192" s="456" t="e">
        <f>+#REF!</f>
        <v>#REF!</v>
      </c>
      <c r="F192" s="426" t="e">
        <f>+#REF!</f>
        <v>#REF!</v>
      </c>
      <c r="G192" s="69" t="e">
        <f>+#REF!</f>
        <v>#REF!</v>
      </c>
      <c r="H192" s="69" t="e">
        <f>+#REF!</f>
        <v>#REF!</v>
      </c>
      <c r="I192" s="69" t="e">
        <f>+#REF!</f>
        <v>#REF!</v>
      </c>
      <c r="J192" s="69" t="e">
        <f>+#REF!</f>
        <v>#REF!</v>
      </c>
      <c r="K192" s="69" t="e">
        <f>+#REF!</f>
        <v>#REF!</v>
      </c>
      <c r="L192" s="102"/>
    </row>
    <row r="193" spans="2:12" ht="13.5" customHeight="1">
      <c r="B193" s="66" t="s">
        <v>201</v>
      </c>
      <c r="C193" s="103" t="e">
        <f t="shared" ref="C193:K193" si="51">SUM(C191:C192)</f>
        <v>#REF!</v>
      </c>
      <c r="D193" s="103" t="e">
        <f t="shared" si="51"/>
        <v>#REF!</v>
      </c>
      <c r="E193" s="457" t="e">
        <f t="shared" si="51"/>
        <v>#REF!</v>
      </c>
      <c r="F193" s="429" t="e">
        <f t="shared" si="51"/>
        <v>#REF!</v>
      </c>
      <c r="G193" s="103" t="e">
        <f t="shared" si="51"/>
        <v>#REF!</v>
      </c>
      <c r="H193" s="103" t="e">
        <f t="shared" si="51"/>
        <v>#REF!</v>
      </c>
      <c r="I193" s="103" t="e">
        <f t="shared" si="51"/>
        <v>#REF!</v>
      </c>
      <c r="J193" s="103" t="e">
        <f t="shared" si="51"/>
        <v>#REF!</v>
      </c>
      <c r="K193" s="103" t="e">
        <f t="shared" si="51"/>
        <v>#REF!</v>
      </c>
      <c r="L193" s="102"/>
    </row>
    <row r="194" spans="2:12" ht="13.5" customHeight="1">
      <c r="B194" s="15"/>
      <c r="C194" s="18"/>
      <c r="D194" s="18"/>
      <c r="E194" s="466"/>
      <c r="F194" s="431"/>
      <c r="G194" s="18"/>
      <c r="H194" s="18"/>
      <c r="I194" s="18"/>
      <c r="J194" s="18"/>
      <c r="K194" s="18"/>
      <c r="L194" s="102"/>
    </row>
    <row r="195" spans="2:12" ht="13.5" customHeight="1">
      <c r="B195" s="2" t="s">
        <v>202</v>
      </c>
      <c r="C195" s="69" t="e">
        <f>+#REF!</f>
        <v>#REF!</v>
      </c>
      <c r="D195" s="69" t="e">
        <f>+#REF!</f>
        <v>#REF!</v>
      </c>
      <c r="E195" s="456" t="e">
        <f>+#REF!</f>
        <v>#REF!</v>
      </c>
      <c r="F195" s="426" t="e">
        <f>+#REF!</f>
        <v>#REF!</v>
      </c>
      <c r="G195" s="69" t="e">
        <f>+#REF!</f>
        <v>#REF!</v>
      </c>
      <c r="H195" s="69" t="e">
        <f>+#REF!</f>
        <v>#REF!</v>
      </c>
      <c r="I195" s="69" t="e">
        <f>+#REF!</f>
        <v>#REF!</v>
      </c>
      <c r="J195" s="69" t="e">
        <f>+#REF!</f>
        <v>#REF!</v>
      </c>
      <c r="K195" s="69" t="e">
        <f>+#REF!</f>
        <v>#REF!</v>
      </c>
      <c r="L195" s="102"/>
    </row>
    <row r="196" spans="2:12" ht="13.5" customHeight="1">
      <c r="B196" s="66" t="s">
        <v>82</v>
      </c>
      <c r="C196" s="103" t="e">
        <f t="shared" ref="C196:K196" si="52">SUM(C193:C195)</f>
        <v>#REF!</v>
      </c>
      <c r="D196" s="103" t="e">
        <f t="shared" si="52"/>
        <v>#REF!</v>
      </c>
      <c r="E196" s="457" t="e">
        <f t="shared" si="52"/>
        <v>#REF!</v>
      </c>
      <c r="F196" s="429" t="e">
        <f t="shared" si="52"/>
        <v>#REF!</v>
      </c>
      <c r="G196" s="103" t="e">
        <f t="shared" si="52"/>
        <v>#REF!</v>
      </c>
      <c r="H196" s="103" t="e">
        <f t="shared" si="52"/>
        <v>#REF!</v>
      </c>
      <c r="I196" s="103" t="e">
        <f t="shared" si="52"/>
        <v>#REF!</v>
      </c>
      <c r="J196" s="103" t="e">
        <f t="shared" si="52"/>
        <v>#REF!</v>
      </c>
      <c r="K196" s="103" t="e">
        <f t="shared" si="52"/>
        <v>#REF!</v>
      </c>
      <c r="L196" s="102"/>
    </row>
    <row r="197" spans="2:12" ht="13.5" customHeight="1">
      <c r="C197" s="18"/>
      <c r="D197" s="18"/>
      <c r="E197" s="466"/>
      <c r="F197" s="431"/>
      <c r="G197" s="18"/>
      <c r="H197" s="18"/>
      <c r="I197" s="18"/>
      <c r="J197" s="18"/>
      <c r="K197" s="18"/>
      <c r="L197" s="102"/>
    </row>
    <row r="198" spans="2:12" ht="13.5" customHeight="1">
      <c r="B198" s="15" t="s">
        <v>203</v>
      </c>
      <c r="C198" s="18"/>
      <c r="D198" s="18"/>
      <c r="E198" s="466"/>
      <c r="F198" s="431"/>
      <c r="G198" s="18"/>
      <c r="H198" s="18"/>
      <c r="I198" s="18"/>
      <c r="J198" s="18"/>
      <c r="K198" s="18"/>
      <c r="L198" s="102"/>
    </row>
    <row r="199" spans="2:12" ht="13.5" customHeight="1">
      <c r="B199" s="2" t="s">
        <v>204</v>
      </c>
      <c r="C199" s="69"/>
      <c r="D199" s="69"/>
      <c r="E199" s="456"/>
      <c r="F199" s="426" t="e">
        <f t="shared" ref="F199:K199" si="53">+#REF!</f>
        <v>#REF!</v>
      </c>
      <c r="G199" s="69" t="e">
        <f t="shared" si="53"/>
        <v>#REF!</v>
      </c>
      <c r="H199" s="69" t="e">
        <f t="shared" si="53"/>
        <v>#REF!</v>
      </c>
      <c r="I199" s="69" t="e">
        <f t="shared" si="53"/>
        <v>#REF!</v>
      </c>
      <c r="J199" s="69" t="e">
        <f t="shared" si="53"/>
        <v>#REF!</v>
      </c>
      <c r="K199" s="69" t="e">
        <f t="shared" si="53"/>
        <v>#REF!</v>
      </c>
      <c r="L199" s="102"/>
    </row>
    <row r="200" spans="2:12" ht="13.5" customHeight="1">
      <c r="B200" s="35" t="s">
        <v>205</v>
      </c>
      <c r="C200" s="69"/>
      <c r="D200" s="69"/>
      <c r="E200" s="456"/>
      <c r="F200" s="426" t="e">
        <f t="shared" ref="F200:K200" si="54">_TaxRate*-F199</f>
        <v>#REF!</v>
      </c>
      <c r="G200" s="69" t="e">
        <f t="shared" si="54"/>
        <v>#REF!</v>
      </c>
      <c r="H200" s="69" t="e">
        <f t="shared" si="54"/>
        <v>#REF!</v>
      </c>
      <c r="I200" s="69" t="e">
        <f t="shared" si="54"/>
        <v>#REF!</v>
      </c>
      <c r="J200" s="69" t="e">
        <f t="shared" si="54"/>
        <v>#REF!</v>
      </c>
      <c r="K200" s="69" t="e">
        <f t="shared" si="54"/>
        <v>#REF!</v>
      </c>
      <c r="L200" s="102"/>
    </row>
    <row r="201" spans="2:12" ht="13.5" customHeight="1">
      <c r="B201" s="66" t="s">
        <v>206</v>
      </c>
      <c r="C201" s="103">
        <f t="shared" ref="C201:K201" si="55">SUM(C199:C200)</f>
        <v>0</v>
      </c>
      <c r="D201" s="103">
        <f t="shared" si="55"/>
        <v>0</v>
      </c>
      <c r="E201" s="457">
        <f t="shared" si="55"/>
        <v>0</v>
      </c>
      <c r="F201" s="429" t="e">
        <f t="shared" si="55"/>
        <v>#REF!</v>
      </c>
      <c r="G201" s="103" t="e">
        <f t="shared" si="55"/>
        <v>#REF!</v>
      </c>
      <c r="H201" s="103" t="e">
        <f t="shared" si="55"/>
        <v>#REF!</v>
      </c>
      <c r="I201" s="103" t="e">
        <f t="shared" si="55"/>
        <v>#REF!</v>
      </c>
      <c r="J201" s="103" t="e">
        <f t="shared" si="55"/>
        <v>#REF!</v>
      </c>
      <c r="K201" s="103" t="e">
        <f t="shared" si="55"/>
        <v>#REF!</v>
      </c>
      <c r="L201" s="102"/>
    </row>
    <row r="202" spans="2:12" ht="13.5" customHeight="1">
      <c r="B202" s="35" t="s">
        <v>207</v>
      </c>
      <c r="C202" s="69" t="e">
        <f>+#REF!</f>
        <v>#REF!</v>
      </c>
      <c r="D202" s="69" t="e">
        <f>+#REF!</f>
        <v>#REF!</v>
      </c>
      <c r="E202" s="456" t="e">
        <f>+#REF!</f>
        <v>#REF!</v>
      </c>
      <c r="F202" s="426" t="e">
        <f>+#REF!</f>
        <v>#REF!</v>
      </c>
      <c r="G202" s="69" t="e">
        <f>+#REF!</f>
        <v>#REF!</v>
      </c>
      <c r="H202" s="69" t="e">
        <f>+#REF!</f>
        <v>#REF!</v>
      </c>
      <c r="I202" s="69" t="e">
        <f>+#REF!</f>
        <v>#REF!</v>
      </c>
      <c r="J202" s="69" t="e">
        <f>+#REF!</f>
        <v>#REF!</v>
      </c>
      <c r="K202" s="69" t="e">
        <f>+#REF!</f>
        <v>#REF!</v>
      </c>
      <c r="L202" s="102"/>
    </row>
    <row r="203" spans="2:12" ht="13.5" customHeight="1">
      <c r="B203" s="35" t="s">
        <v>208</v>
      </c>
      <c r="C203" s="69" t="e">
        <f>+#REF!</f>
        <v>#REF!</v>
      </c>
      <c r="D203" s="69" t="e">
        <f>+#REF!</f>
        <v>#REF!</v>
      </c>
      <c r="E203" s="456" t="e">
        <f>+#REF!</f>
        <v>#REF!</v>
      </c>
      <c r="F203" s="426" t="e">
        <f>+#REF!</f>
        <v>#REF!</v>
      </c>
      <c r="G203" s="69" t="e">
        <f>+#REF!</f>
        <v>#REF!</v>
      </c>
      <c r="H203" s="69" t="e">
        <f>+#REF!</f>
        <v>#REF!</v>
      </c>
      <c r="I203" s="69" t="e">
        <f>+#REF!</f>
        <v>#REF!</v>
      </c>
      <c r="J203" s="69" t="e">
        <f>+#REF!</f>
        <v>#REF!</v>
      </c>
      <c r="K203" s="69" t="e">
        <f>+#REF!</f>
        <v>#REF!</v>
      </c>
      <c r="L203" s="102"/>
    </row>
    <row r="204" spans="2:12" ht="13.5" customHeight="1">
      <c r="B204" s="35" t="s">
        <v>209</v>
      </c>
      <c r="C204" s="69" t="e">
        <f>+#REF!</f>
        <v>#REF!</v>
      </c>
      <c r="D204" s="69" t="e">
        <f>+#REF!</f>
        <v>#REF!</v>
      </c>
      <c r="E204" s="456" t="e">
        <f>+#REF!</f>
        <v>#REF!</v>
      </c>
      <c r="F204" s="426" t="e">
        <f>+#REF!</f>
        <v>#REF!</v>
      </c>
      <c r="G204" s="69" t="e">
        <f>+#REF!</f>
        <v>#REF!</v>
      </c>
      <c r="H204" s="69" t="e">
        <f>+#REF!</f>
        <v>#REF!</v>
      </c>
      <c r="I204" s="69" t="e">
        <f>+#REF!</f>
        <v>#REF!</v>
      </c>
      <c r="J204" s="69" t="e">
        <f>+#REF!</f>
        <v>#REF!</v>
      </c>
      <c r="K204" s="69" t="e">
        <f>+#REF!</f>
        <v>#REF!</v>
      </c>
      <c r="L204" s="102"/>
    </row>
    <row r="205" spans="2:12" ht="13.5" customHeight="1">
      <c r="B205" s="35" t="s">
        <v>210</v>
      </c>
      <c r="C205" s="69" t="e">
        <f>#REF!+#REF!</f>
        <v>#REF!</v>
      </c>
      <c r="D205" s="69" t="e">
        <f>#REF!+#REF!</f>
        <v>#REF!</v>
      </c>
      <c r="E205" s="456" t="e">
        <f>#REF!+#REF!</f>
        <v>#REF!</v>
      </c>
      <c r="F205" s="426" t="e">
        <f>#REF!+#REF!</f>
        <v>#REF!</v>
      </c>
      <c r="G205" s="69" t="e">
        <f>#REF!+#REF!</f>
        <v>#REF!</v>
      </c>
      <c r="H205" s="69" t="e">
        <f>#REF!+#REF!</f>
        <v>#REF!</v>
      </c>
      <c r="I205" s="69" t="e">
        <f>#REF!+#REF!</f>
        <v>#REF!</v>
      </c>
      <c r="J205" s="69" t="e">
        <f>#REF!+#REF!</f>
        <v>#REF!</v>
      </c>
      <c r="K205" s="69" t="e">
        <f>#REF!+#REF!</f>
        <v>#REF!</v>
      </c>
      <c r="L205" s="102"/>
    </row>
    <row r="206" spans="2:12" ht="13.5" customHeight="1">
      <c r="B206" s="35" t="s">
        <v>211</v>
      </c>
      <c r="C206" s="69" t="e">
        <f>SUM(#REF!)</f>
        <v>#REF!</v>
      </c>
      <c r="D206" s="69" t="e">
        <f>SUM(#REF!)</f>
        <v>#REF!</v>
      </c>
      <c r="E206" s="456" t="e">
        <f>SUM(#REF!)</f>
        <v>#REF!</v>
      </c>
      <c r="F206" s="426" t="e">
        <f>SUM(#REF!)</f>
        <v>#REF!</v>
      </c>
      <c r="G206" s="69" t="e">
        <f>SUM(#REF!)</f>
        <v>#REF!</v>
      </c>
      <c r="H206" s="69" t="e">
        <f>SUM(#REF!)</f>
        <v>#REF!</v>
      </c>
      <c r="I206" s="69" t="e">
        <f>SUM(#REF!)</f>
        <v>#REF!</v>
      </c>
      <c r="J206" s="69" t="e">
        <f>SUM(#REF!)</f>
        <v>#REF!</v>
      </c>
      <c r="K206" s="69" t="e">
        <f>SUM(#REF!)</f>
        <v>#REF!</v>
      </c>
      <c r="L206" s="102"/>
    </row>
    <row r="207" spans="2:12" ht="13.5" customHeight="1">
      <c r="B207" s="133" t="s">
        <v>203</v>
      </c>
      <c r="C207" s="103" t="e">
        <f t="shared" ref="C207:K207" si="56">SUM(C201:C206)</f>
        <v>#REF!</v>
      </c>
      <c r="D207" s="103" t="e">
        <f t="shared" si="56"/>
        <v>#REF!</v>
      </c>
      <c r="E207" s="457" t="e">
        <f t="shared" si="56"/>
        <v>#REF!</v>
      </c>
      <c r="F207" s="429" t="e">
        <f t="shared" si="56"/>
        <v>#REF!</v>
      </c>
      <c r="G207" s="103" t="e">
        <f t="shared" si="56"/>
        <v>#REF!</v>
      </c>
      <c r="H207" s="103" t="e">
        <f t="shared" si="56"/>
        <v>#REF!</v>
      </c>
      <c r="I207" s="103" t="e">
        <f t="shared" si="56"/>
        <v>#REF!</v>
      </c>
      <c r="J207" s="103" t="e">
        <f t="shared" si="56"/>
        <v>#REF!</v>
      </c>
      <c r="K207" s="103" t="e">
        <f t="shared" si="56"/>
        <v>#REF!</v>
      </c>
      <c r="L207" s="102"/>
    </row>
    <row r="208" spans="2:12" ht="13.5" customHeight="1">
      <c r="E208" s="448"/>
      <c r="F208" s="448"/>
    </row>
    <row r="209" spans="2:11" ht="13.5" customHeight="1">
      <c r="B209" s="2" t="s">
        <v>212</v>
      </c>
      <c r="C209" s="69"/>
      <c r="D209" s="134"/>
      <c r="E209" s="467"/>
      <c r="F209" s="448"/>
    </row>
    <row r="210" spans="2:11" ht="13.5" customHeight="1">
      <c r="B210" s="59" t="s">
        <v>213</v>
      </c>
      <c r="C210" s="135">
        <f>C2</f>
        <v>2020</v>
      </c>
      <c r="D210" s="135">
        <f>D2</f>
        <v>2021</v>
      </c>
      <c r="E210" s="468">
        <f>E2</f>
        <v>2022</v>
      </c>
      <c r="F210" s="449">
        <f>F2</f>
        <v>2023</v>
      </c>
      <c r="G210" s="135">
        <f t="shared" ref="G210:K210" si="57">G2</f>
        <v>2024</v>
      </c>
      <c r="H210" s="135">
        <f t="shared" si="57"/>
        <v>2025</v>
      </c>
      <c r="I210" s="135">
        <f t="shared" si="57"/>
        <v>2026</v>
      </c>
      <c r="J210" s="135">
        <f t="shared" si="57"/>
        <v>2027</v>
      </c>
      <c r="K210" s="135">
        <f t="shared" si="57"/>
        <v>2028</v>
      </c>
    </row>
    <row r="211" spans="2:11" ht="13.5" customHeight="1">
      <c r="B211" s="136">
        <v>0.3</v>
      </c>
      <c r="C211" s="106"/>
      <c r="D211" s="2"/>
      <c r="E211" s="450"/>
      <c r="F211" s="450"/>
      <c r="G211" s="2"/>
      <c r="H211" s="2"/>
      <c r="I211" s="2"/>
      <c r="J211" s="2"/>
      <c r="K211" s="2"/>
    </row>
    <row r="212" spans="2:11" ht="13.5" customHeight="1">
      <c r="B212" s="15" t="s">
        <v>234</v>
      </c>
      <c r="C212" s="18">
        <v>300</v>
      </c>
      <c r="E212" s="448"/>
      <c r="F212" s="448"/>
    </row>
    <row r="213" spans="2:11" ht="13.5" customHeight="1">
      <c r="B213" s="2" t="s">
        <v>214</v>
      </c>
      <c r="C213" s="69">
        <v>-50</v>
      </c>
      <c r="E213" s="448"/>
      <c r="F213" s="448"/>
    </row>
    <row r="214" spans="2:11" ht="13.5" customHeight="1">
      <c r="B214" s="66" t="s">
        <v>215</v>
      </c>
      <c r="C214" s="103">
        <f>+SUM(C212:C213)</f>
        <v>250</v>
      </c>
      <c r="E214" s="448"/>
      <c r="F214" s="448"/>
    </row>
    <row r="215" spans="2:11" ht="13.5" customHeight="1">
      <c r="B215" s="137" t="s">
        <v>216</v>
      </c>
      <c r="C215" s="18">
        <v>-40</v>
      </c>
      <c r="E215" s="448"/>
      <c r="F215" s="448"/>
    </row>
    <row r="216" spans="2:11" ht="13.5" customHeight="1">
      <c r="B216" s="15" t="s">
        <v>217</v>
      </c>
      <c r="C216" s="18">
        <f>+SUM(C214:C215)</f>
        <v>210</v>
      </c>
      <c r="E216" s="448"/>
      <c r="F216" s="448"/>
    </row>
    <row r="217" spans="2:11" ht="13.5" customHeight="1">
      <c r="B217" s="2" t="s">
        <v>218</v>
      </c>
      <c r="C217" s="69">
        <f>C216*B211</f>
        <v>63</v>
      </c>
      <c r="E217" s="448"/>
      <c r="F217" s="448"/>
    </row>
    <row r="218" spans="2:11" ht="13.5" customHeight="1">
      <c r="B218" s="35" t="s">
        <v>219</v>
      </c>
      <c r="C218" s="69">
        <f>+SUM(C216:C217)</f>
        <v>273</v>
      </c>
      <c r="E218" s="448"/>
      <c r="F218" s="448"/>
    </row>
    <row r="219" spans="2:11" ht="13.5" customHeight="1">
      <c r="B219" s="66" t="s">
        <v>220</v>
      </c>
      <c r="C219" s="103" t="e">
        <f>-C218*#REF!</f>
        <v>#REF!</v>
      </c>
      <c r="E219" s="448"/>
      <c r="F219" s="448"/>
    </row>
    <row r="220" spans="2:11" ht="13.5" customHeight="1">
      <c r="B220" s="35" t="s">
        <v>135</v>
      </c>
      <c r="C220" s="69" t="e">
        <f>SUM(C218:C219)</f>
        <v>#REF!</v>
      </c>
      <c r="E220" s="448"/>
      <c r="F220" s="448"/>
    </row>
    <row r="221" spans="2:11" ht="13.5" customHeight="1">
      <c r="B221" s="35" t="s">
        <v>221</v>
      </c>
      <c r="C221" s="69"/>
      <c r="E221" s="448"/>
      <c r="F221" s="448"/>
    </row>
    <row r="222" spans="2:11" ht="13.5" customHeight="1">
      <c r="B222" s="35" t="s">
        <v>217</v>
      </c>
      <c r="C222" s="69">
        <f>+C216</f>
        <v>210</v>
      </c>
      <c r="E222" s="448"/>
      <c r="F222" s="448"/>
    </row>
    <row r="223" spans="2:11" ht="13.5" customHeight="1">
      <c r="B223" s="35" t="s">
        <v>220</v>
      </c>
      <c r="C223" s="69" t="e">
        <f>-#REF!*C222</f>
        <v>#REF!</v>
      </c>
      <c r="E223" s="448"/>
      <c r="F223" s="448"/>
    </row>
    <row r="224" spans="2:11" ht="13.5" customHeight="1">
      <c r="B224" s="35" t="s">
        <v>212</v>
      </c>
      <c r="C224" s="69" t="e">
        <f>SUM(C222:C223)</f>
        <v>#REF!</v>
      </c>
      <c r="E224" s="448"/>
      <c r="F224" s="448"/>
    </row>
    <row r="225" spans="2:6" ht="13.5" customHeight="1">
      <c r="B225" s="133" t="s">
        <v>222</v>
      </c>
      <c r="C225" s="103"/>
      <c r="E225" s="448"/>
      <c r="F225" s="448"/>
    </row>
    <row r="226" spans="2:6" ht="13.5" customHeight="1">
      <c r="B226" s="137" t="s">
        <v>135</v>
      </c>
      <c r="C226" s="138" t="e">
        <f>+C220</f>
        <v>#REF!</v>
      </c>
      <c r="E226" s="448"/>
      <c r="F226" s="448"/>
    </row>
    <row r="227" spans="2:6" ht="13.5" customHeight="1">
      <c r="B227" s="2" t="s">
        <v>223</v>
      </c>
      <c r="C227" s="69">
        <f>-C217</f>
        <v>-63</v>
      </c>
      <c r="E227" s="448"/>
      <c r="F227" s="448"/>
    </row>
    <row r="228" spans="2:6" ht="13.5" customHeight="1">
      <c r="B228" s="2" t="s">
        <v>224</v>
      </c>
      <c r="C228" s="69" t="e">
        <f>-C219</f>
        <v>#REF!</v>
      </c>
      <c r="E228" s="448"/>
      <c r="F228" s="448"/>
    </row>
    <row r="229" spans="2:6" ht="13.5" customHeight="1">
      <c r="B229" s="66" t="s">
        <v>217</v>
      </c>
      <c r="C229" s="103" t="e">
        <f>+SUM(C226:C228)</f>
        <v>#REF!</v>
      </c>
      <c r="E229" s="448"/>
      <c r="F229" s="448"/>
    </row>
    <row r="230" spans="2:6" ht="13.5" customHeight="1">
      <c r="B230" s="15" t="s">
        <v>220</v>
      </c>
      <c r="C230" s="18" t="e">
        <f>-#REF!*C229</f>
        <v>#REF!</v>
      </c>
      <c r="E230" s="448"/>
      <c r="F230" s="448"/>
    </row>
    <row r="231" spans="2:6" ht="13.5" customHeight="1">
      <c r="B231" s="2" t="s">
        <v>212</v>
      </c>
      <c r="C231" s="69" t="e">
        <f>SUM(C229:C230)</f>
        <v>#REF!</v>
      </c>
      <c r="E231" s="448"/>
      <c r="F231" s="448"/>
    </row>
    <row r="232" spans="2:6" ht="13.5" customHeight="1">
      <c r="B232" s="66"/>
      <c r="C232" s="103"/>
      <c r="D232" s="139"/>
      <c r="E232" s="469"/>
      <c r="F232" s="448"/>
    </row>
    <row r="233" spans="2:6" ht="13.5" customHeight="1">
      <c r="B233" s="35" t="s">
        <v>207</v>
      </c>
      <c r="C233" s="18"/>
      <c r="D233" s="140"/>
      <c r="E233" s="470" t="e">
        <f>+C224-C231</f>
        <v>#REF!</v>
      </c>
      <c r="F233" s="448"/>
    </row>
    <row r="234" spans="2:6" ht="13.5" customHeight="1">
      <c r="B234" s="35" t="s">
        <v>208</v>
      </c>
      <c r="C234" s="18"/>
      <c r="D234" s="139"/>
      <c r="E234" s="469"/>
      <c r="F234" s="448"/>
    </row>
    <row r="235" spans="2:6" ht="13.5" customHeight="1">
      <c r="B235" s="35" t="s">
        <v>209</v>
      </c>
      <c r="C235" s="69"/>
      <c r="D235" s="139"/>
      <c r="E235" s="469"/>
      <c r="F235" s="448"/>
    </row>
    <row r="236" spans="2:6" ht="13.5" customHeight="1">
      <c r="B236" s="35" t="s">
        <v>210</v>
      </c>
      <c r="C236" s="69"/>
      <c r="D236" s="139"/>
      <c r="E236" s="469"/>
      <c r="F236" s="448"/>
    </row>
    <row r="237" spans="2:6" ht="13.5" customHeight="1">
      <c r="B237" s="35" t="s">
        <v>211</v>
      </c>
      <c r="E237" s="448"/>
      <c r="F237" s="448"/>
    </row>
    <row r="238" spans="2:6" ht="13.5" customHeight="1">
      <c r="B238" s="133" t="s">
        <v>203</v>
      </c>
      <c r="E238" s="448"/>
      <c r="F238" s="448"/>
    </row>
    <row r="239" spans="2:6" ht="13.5" customHeight="1">
      <c r="E239" s="448"/>
      <c r="F239" s="448"/>
    </row>
    <row r="240" spans="2:6" ht="13.5" customHeight="1">
      <c r="E240" s="448"/>
      <c r="F240" s="448"/>
    </row>
    <row r="241" spans="5:6" ht="13.5" customHeight="1">
      <c r="E241" s="448"/>
      <c r="F241" s="448"/>
    </row>
    <row r="242" spans="5:6" ht="13.5" customHeight="1">
      <c r="E242" s="448"/>
      <c r="F242" s="448"/>
    </row>
    <row r="243" spans="5:6" ht="13.5" customHeight="1">
      <c r="E243" s="448"/>
      <c r="F243" s="448"/>
    </row>
    <row r="244" spans="5:6" ht="13.5" customHeight="1">
      <c r="E244" s="448"/>
      <c r="F244" s="448"/>
    </row>
    <row r="245" spans="5:6" ht="13.5" customHeight="1">
      <c r="E245" s="448"/>
      <c r="F245" s="448"/>
    </row>
    <row r="246" spans="5:6" ht="13.5" customHeight="1">
      <c r="E246" s="448"/>
      <c r="F246" s="448"/>
    </row>
    <row r="247" spans="5:6" ht="13.5" customHeight="1">
      <c r="E247" s="448"/>
      <c r="F247" s="448"/>
    </row>
    <row r="248" spans="5:6" ht="13.5" customHeight="1">
      <c r="E248" s="448"/>
      <c r="F248" s="448"/>
    </row>
    <row r="249" spans="5:6" ht="13.5" customHeight="1">
      <c r="E249" s="448"/>
      <c r="F249" s="448"/>
    </row>
    <row r="250" spans="5:6" ht="13.5" customHeight="1">
      <c r="E250" s="448"/>
      <c r="F250" s="448"/>
    </row>
    <row r="251" spans="5:6" ht="13.5" customHeight="1">
      <c r="E251" s="448"/>
      <c r="F251" s="448"/>
    </row>
    <row r="252" spans="5:6" ht="13.5" customHeight="1">
      <c r="E252" s="448"/>
      <c r="F252" s="448"/>
    </row>
    <row r="253" spans="5:6" ht="13.5" customHeight="1">
      <c r="E253" s="448"/>
      <c r="F253" s="448"/>
    </row>
    <row r="254" spans="5:6" ht="13.5" customHeight="1">
      <c r="E254" s="448"/>
      <c r="F254" s="448"/>
    </row>
    <row r="255" spans="5:6" ht="13.5" customHeight="1">
      <c r="E255" s="448"/>
      <c r="F255" s="448"/>
    </row>
    <row r="256" spans="5:6" ht="13.5" customHeight="1">
      <c r="E256" s="448"/>
      <c r="F256" s="448"/>
    </row>
    <row r="257" spans="5:6" ht="13.5" customHeight="1">
      <c r="E257" s="448"/>
      <c r="F257" s="448"/>
    </row>
    <row r="258" spans="5:6" ht="13.5" customHeight="1">
      <c r="E258" s="448"/>
      <c r="F258" s="448"/>
    </row>
    <row r="259" spans="5:6" ht="13.5" customHeight="1">
      <c r="E259" s="448"/>
      <c r="F259" s="448"/>
    </row>
    <row r="260" spans="5:6" ht="13.5" customHeight="1">
      <c r="E260" s="448"/>
      <c r="F260" s="448"/>
    </row>
    <row r="261" spans="5:6" ht="13.5" customHeight="1">
      <c r="E261" s="448"/>
      <c r="F261" s="448"/>
    </row>
    <row r="262" spans="5:6" ht="13.5" customHeight="1">
      <c r="E262" s="448"/>
      <c r="F262" s="448"/>
    </row>
    <row r="263" spans="5:6" ht="13.5" customHeight="1">
      <c r="E263" s="448"/>
      <c r="F263" s="448"/>
    </row>
    <row r="264" spans="5:6" ht="13.5" customHeight="1">
      <c r="E264" s="448"/>
      <c r="F264" s="448"/>
    </row>
    <row r="265" spans="5:6" ht="13.5" customHeight="1">
      <c r="E265" s="448"/>
      <c r="F265" s="448"/>
    </row>
    <row r="266" spans="5:6" ht="13.5" customHeight="1">
      <c r="E266" s="448"/>
      <c r="F266" s="448"/>
    </row>
    <row r="267" spans="5:6" ht="13.5" customHeight="1">
      <c r="E267" s="448"/>
      <c r="F267" s="448"/>
    </row>
    <row r="268" spans="5:6" ht="13.5" customHeight="1">
      <c r="E268" s="448"/>
      <c r="F268" s="448"/>
    </row>
    <row r="269" spans="5:6" ht="13.5" customHeight="1">
      <c r="E269" s="448"/>
      <c r="F269" s="448"/>
    </row>
    <row r="270" spans="5:6" ht="13.5" customHeight="1">
      <c r="E270" s="448"/>
      <c r="F270" s="448"/>
    </row>
    <row r="271" spans="5:6" ht="13.5" customHeight="1">
      <c r="E271" s="448"/>
      <c r="F271" s="448"/>
    </row>
    <row r="272" spans="5:6" ht="13.5" customHeight="1">
      <c r="E272" s="448"/>
      <c r="F272" s="448"/>
    </row>
    <row r="273" spans="5:6" ht="13.5" customHeight="1">
      <c r="E273" s="448"/>
      <c r="F273" s="448"/>
    </row>
    <row r="274" spans="5:6" ht="13.5" customHeight="1">
      <c r="E274" s="448"/>
      <c r="F274" s="448"/>
    </row>
    <row r="275" spans="5:6" ht="13.5" customHeight="1">
      <c r="E275" s="448"/>
      <c r="F275" s="448"/>
    </row>
    <row r="276" spans="5:6" ht="13.5" customHeight="1">
      <c r="E276" s="448"/>
      <c r="F276" s="448"/>
    </row>
    <row r="277" spans="5:6" ht="13.5" customHeight="1">
      <c r="E277" s="448"/>
      <c r="F277" s="448"/>
    </row>
    <row r="278" spans="5:6" ht="13.5" customHeight="1">
      <c r="E278" s="448"/>
      <c r="F278" s="448"/>
    </row>
    <row r="279" spans="5:6" ht="13.5" customHeight="1">
      <c r="E279" s="448"/>
      <c r="F279" s="448"/>
    </row>
    <row r="280" spans="5:6" ht="13.5" customHeight="1">
      <c r="E280" s="448"/>
      <c r="F280" s="448"/>
    </row>
    <row r="281" spans="5:6" ht="13.5" customHeight="1">
      <c r="E281" s="448"/>
      <c r="F281" s="448"/>
    </row>
    <row r="282" spans="5:6" ht="13.5" customHeight="1">
      <c r="E282" s="448"/>
      <c r="F282" s="448"/>
    </row>
    <row r="283" spans="5:6" ht="13.5" customHeight="1">
      <c r="E283" s="448"/>
      <c r="F283" s="448"/>
    </row>
    <row r="284" spans="5:6" ht="13.5" customHeight="1">
      <c r="E284" s="448"/>
      <c r="F284" s="448"/>
    </row>
    <row r="285" spans="5:6" ht="13.5" customHeight="1">
      <c r="E285" s="448"/>
      <c r="F285" s="448"/>
    </row>
    <row r="286" spans="5:6" ht="13.5" customHeight="1">
      <c r="E286" s="448"/>
      <c r="F286" s="448"/>
    </row>
    <row r="287" spans="5:6" ht="13.5" customHeight="1">
      <c r="E287" s="448"/>
      <c r="F287" s="448"/>
    </row>
    <row r="288" spans="5:6" ht="13.5" customHeight="1">
      <c r="E288" s="448"/>
      <c r="F288" s="448"/>
    </row>
    <row r="289" spans="5:6" ht="13.5" customHeight="1">
      <c r="E289" s="448"/>
      <c r="F289" s="448"/>
    </row>
    <row r="290" spans="5:6" ht="13.5" customHeight="1">
      <c r="E290" s="448"/>
      <c r="F290" s="448"/>
    </row>
    <row r="291" spans="5:6" ht="13.5" customHeight="1">
      <c r="E291" s="448"/>
      <c r="F291" s="448"/>
    </row>
    <row r="292" spans="5:6" ht="13.5" customHeight="1">
      <c r="E292" s="448"/>
      <c r="F292" s="448"/>
    </row>
    <row r="293" spans="5:6" ht="13.5" customHeight="1">
      <c r="E293" s="448"/>
      <c r="F293" s="448"/>
    </row>
    <row r="294" spans="5:6" ht="13.5" customHeight="1">
      <c r="E294" s="448"/>
      <c r="F294" s="448"/>
    </row>
    <row r="295" spans="5:6" ht="13.5" customHeight="1">
      <c r="E295" s="448"/>
      <c r="F295" s="448"/>
    </row>
    <row r="296" spans="5:6" ht="13.5" customHeight="1">
      <c r="E296" s="448"/>
      <c r="F296" s="448"/>
    </row>
    <row r="297" spans="5:6" ht="13.5" customHeight="1">
      <c r="E297" s="448"/>
      <c r="F297" s="448"/>
    </row>
    <row r="298" spans="5:6" ht="13.5" customHeight="1">
      <c r="E298" s="448"/>
      <c r="F298" s="448"/>
    </row>
    <row r="299" spans="5:6" ht="13.5" customHeight="1">
      <c r="E299" s="448"/>
      <c r="F299" s="448"/>
    </row>
    <row r="300" spans="5:6" ht="13.5" customHeight="1">
      <c r="E300" s="448"/>
      <c r="F300" s="448"/>
    </row>
    <row r="301" spans="5:6" ht="13.5" customHeight="1">
      <c r="E301" s="448"/>
      <c r="F301" s="448"/>
    </row>
    <row r="302" spans="5:6" ht="13.5" customHeight="1">
      <c r="E302" s="448"/>
      <c r="F302" s="448"/>
    </row>
    <row r="303" spans="5:6" ht="13.5" customHeight="1">
      <c r="E303" s="448"/>
      <c r="F303" s="448"/>
    </row>
    <row r="304" spans="5:6" ht="13.5" customHeight="1">
      <c r="E304" s="448"/>
      <c r="F304" s="448"/>
    </row>
    <row r="305" spans="5:6" ht="13.5" customHeight="1">
      <c r="E305" s="448"/>
      <c r="F305" s="448"/>
    </row>
    <row r="306" spans="5:6" ht="13.5" customHeight="1">
      <c r="E306" s="448"/>
      <c r="F306" s="448"/>
    </row>
    <row r="307" spans="5:6" ht="13.5" customHeight="1">
      <c r="E307" s="448"/>
      <c r="F307" s="448"/>
    </row>
    <row r="308" spans="5:6" ht="13.5" customHeight="1">
      <c r="E308" s="448"/>
      <c r="F308" s="448"/>
    </row>
    <row r="309" spans="5:6" ht="13.5" customHeight="1">
      <c r="E309" s="448"/>
      <c r="F309" s="448"/>
    </row>
    <row r="310" spans="5:6" ht="13.5" customHeight="1">
      <c r="E310" s="448"/>
      <c r="F310" s="448"/>
    </row>
    <row r="311" spans="5:6" ht="13.5" customHeight="1">
      <c r="E311" s="448"/>
      <c r="F311" s="448"/>
    </row>
    <row r="312" spans="5:6" ht="13.5" customHeight="1">
      <c r="E312" s="448"/>
      <c r="F312" s="448"/>
    </row>
    <row r="313" spans="5:6" ht="13.5" customHeight="1">
      <c r="E313" s="448"/>
      <c r="F313" s="448"/>
    </row>
    <row r="314" spans="5:6" ht="13.5" customHeight="1">
      <c r="E314" s="448"/>
      <c r="F314" s="448"/>
    </row>
    <row r="315" spans="5:6" ht="13.5" customHeight="1">
      <c r="E315" s="448"/>
      <c r="F315" s="448"/>
    </row>
    <row r="316" spans="5:6" ht="13.5" customHeight="1">
      <c r="E316" s="448"/>
      <c r="F316" s="448"/>
    </row>
    <row r="317" spans="5:6" ht="13.5" customHeight="1">
      <c r="E317" s="448"/>
      <c r="F317" s="448"/>
    </row>
    <row r="318" spans="5:6" ht="13.5" customHeight="1">
      <c r="E318" s="448"/>
      <c r="F318" s="448"/>
    </row>
    <row r="319" spans="5:6" ht="13.5" customHeight="1">
      <c r="E319" s="448"/>
      <c r="F319" s="448"/>
    </row>
    <row r="320" spans="5:6" ht="13.5" customHeight="1">
      <c r="E320" s="448"/>
      <c r="F320" s="448"/>
    </row>
    <row r="321" spans="5:6" ht="13.5" customHeight="1">
      <c r="E321" s="448"/>
      <c r="F321" s="448"/>
    </row>
    <row r="322" spans="5:6" ht="13.5" customHeight="1">
      <c r="E322" s="448"/>
      <c r="F322" s="448"/>
    </row>
    <row r="323" spans="5:6" ht="13.5" customHeight="1">
      <c r="E323" s="448"/>
      <c r="F323" s="448"/>
    </row>
    <row r="324" spans="5:6" ht="13.5" customHeight="1">
      <c r="E324" s="448"/>
      <c r="F324" s="448"/>
    </row>
    <row r="325" spans="5:6" ht="13.5" customHeight="1">
      <c r="E325" s="448"/>
      <c r="F325" s="448"/>
    </row>
    <row r="326" spans="5:6" ht="13.5" customHeight="1">
      <c r="E326" s="448"/>
      <c r="F326" s="448"/>
    </row>
    <row r="327" spans="5:6" ht="13.5" customHeight="1">
      <c r="E327" s="448"/>
      <c r="F327" s="448"/>
    </row>
    <row r="328" spans="5:6" ht="13.5" customHeight="1">
      <c r="E328" s="448"/>
      <c r="F328" s="448"/>
    </row>
    <row r="329" spans="5:6" ht="13.5" customHeight="1">
      <c r="E329" s="448"/>
      <c r="F329" s="448"/>
    </row>
    <row r="330" spans="5:6" ht="13.5" customHeight="1">
      <c r="E330" s="448"/>
      <c r="F330" s="448"/>
    </row>
    <row r="331" spans="5:6" ht="13.5" customHeight="1">
      <c r="E331" s="448"/>
      <c r="F331" s="448"/>
    </row>
    <row r="332" spans="5:6" ht="13.5" customHeight="1">
      <c r="E332" s="448"/>
      <c r="F332" s="448"/>
    </row>
    <row r="333" spans="5:6" ht="13.5" customHeight="1">
      <c r="E333" s="448"/>
      <c r="F333" s="448"/>
    </row>
    <row r="334" spans="5:6" ht="13.5" customHeight="1">
      <c r="E334" s="448"/>
      <c r="F334" s="448"/>
    </row>
    <row r="335" spans="5:6" ht="13.5" customHeight="1">
      <c r="E335" s="448"/>
      <c r="F335" s="448"/>
    </row>
    <row r="336" spans="5:6" ht="13.5" customHeight="1">
      <c r="E336" s="448"/>
      <c r="F336" s="448"/>
    </row>
    <row r="337" spans="5:6" ht="13.5" customHeight="1">
      <c r="E337" s="448"/>
      <c r="F337" s="448"/>
    </row>
    <row r="338" spans="5:6" ht="13.5" customHeight="1">
      <c r="E338" s="448"/>
      <c r="F338" s="448"/>
    </row>
    <row r="339" spans="5:6" ht="13.5" customHeight="1">
      <c r="E339" s="448"/>
      <c r="F339" s="448"/>
    </row>
    <row r="340" spans="5:6" ht="13.5" customHeight="1">
      <c r="E340" s="448"/>
      <c r="F340" s="448"/>
    </row>
    <row r="341" spans="5:6" ht="13.5" customHeight="1">
      <c r="E341" s="448"/>
      <c r="F341" s="448"/>
    </row>
    <row r="342" spans="5:6" ht="13.5" customHeight="1">
      <c r="E342" s="448"/>
      <c r="F342" s="448"/>
    </row>
    <row r="343" spans="5:6" ht="13.5" customHeight="1">
      <c r="E343" s="448"/>
      <c r="F343" s="448"/>
    </row>
    <row r="344" spans="5:6" ht="13.5" customHeight="1">
      <c r="E344" s="448"/>
      <c r="F344" s="448"/>
    </row>
    <row r="345" spans="5:6" ht="13.5" customHeight="1">
      <c r="E345" s="448"/>
      <c r="F345" s="448"/>
    </row>
    <row r="346" spans="5:6" ht="13.5" customHeight="1">
      <c r="E346" s="448"/>
      <c r="F346" s="448"/>
    </row>
    <row r="347" spans="5:6" ht="13.5" customHeight="1">
      <c r="E347" s="448"/>
      <c r="F347" s="448"/>
    </row>
    <row r="348" spans="5:6" ht="13.5" customHeight="1">
      <c r="E348" s="448"/>
      <c r="F348" s="448"/>
    </row>
    <row r="349" spans="5:6" ht="13.5" customHeight="1">
      <c r="E349" s="448"/>
      <c r="F349" s="448"/>
    </row>
    <row r="350" spans="5:6" ht="13.5" customHeight="1">
      <c r="E350" s="448"/>
      <c r="F350" s="448"/>
    </row>
    <row r="351" spans="5:6" ht="13.5" customHeight="1">
      <c r="E351" s="448"/>
      <c r="F351" s="448"/>
    </row>
    <row r="352" spans="5:6" ht="13.5" customHeight="1">
      <c r="E352" s="448"/>
      <c r="F352" s="448"/>
    </row>
    <row r="353" spans="5:6" ht="13.5" customHeight="1">
      <c r="E353" s="448"/>
      <c r="F353" s="448"/>
    </row>
    <row r="354" spans="5:6" ht="13.5" customHeight="1">
      <c r="E354" s="448"/>
      <c r="F354" s="448"/>
    </row>
    <row r="355" spans="5:6" ht="13.5" customHeight="1">
      <c r="E355" s="448"/>
      <c r="F355" s="448"/>
    </row>
    <row r="356" spans="5:6" ht="13.5" customHeight="1">
      <c r="E356" s="448"/>
      <c r="F356" s="448"/>
    </row>
    <row r="357" spans="5:6" ht="13.5" customHeight="1">
      <c r="E357" s="448"/>
      <c r="F357" s="448"/>
    </row>
    <row r="358" spans="5:6" ht="13.5" customHeight="1">
      <c r="E358" s="448"/>
      <c r="F358" s="448"/>
    </row>
    <row r="359" spans="5:6" ht="13.5" customHeight="1"/>
    <row r="360" spans="5:6" ht="13.5" customHeight="1"/>
    <row r="361" spans="5:6" ht="13.5" customHeight="1"/>
    <row r="362" spans="5:6" ht="13.5" customHeight="1"/>
    <row r="363" spans="5:6" ht="13.5" customHeight="1"/>
    <row r="364" spans="5:6" ht="13.5" customHeight="1"/>
    <row r="365" spans="5:6" ht="13.5" customHeight="1"/>
    <row r="366" spans="5:6" ht="13.5" customHeight="1"/>
    <row r="367" spans="5:6" ht="13.5" customHeight="1"/>
    <row r="368" spans="5:6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</sheetData>
  <pageMargins left="0.7" right="0.7" top="0.75" bottom="0.75" header="0" footer="0"/>
  <pageSetup orientation="portrait"/>
  <rowBreaks count="1" manualBreakCount="1">
    <brk id="11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9" tint="-0.249977111117893"/>
  </sheetPr>
  <dimension ref="A2:O230"/>
  <sheetViews>
    <sheetView topLeftCell="A34" workbookViewId="0">
      <selection activeCell="B74" sqref="B74"/>
    </sheetView>
  </sheetViews>
  <sheetFormatPr defaultRowHeight="16.5"/>
  <cols>
    <col min="2" max="2" width="41.85546875" customWidth="1"/>
    <col min="3" max="3" width="8.85546875" customWidth="1"/>
    <col min="6" max="13" width="10.7109375" customWidth="1"/>
  </cols>
  <sheetData>
    <row r="2" spans="2:15" ht="18">
      <c r="B2" s="659" t="s">
        <v>999</v>
      </c>
      <c r="C2" s="660"/>
      <c r="D2" s="661"/>
      <c r="E2" s="661"/>
      <c r="F2" s="662"/>
      <c r="G2" s="662"/>
      <c r="H2" s="662"/>
      <c r="I2" s="662"/>
      <c r="J2" s="662"/>
      <c r="K2" s="662"/>
      <c r="L2" s="662"/>
      <c r="M2" s="662"/>
    </row>
    <row r="3" spans="2:15" ht="18">
      <c r="B3" s="636"/>
      <c r="C3" s="632"/>
      <c r="D3" s="637"/>
      <c r="E3" s="637"/>
      <c r="F3" s="638"/>
      <c r="G3" s="638"/>
      <c r="H3" s="638"/>
      <c r="I3" s="638"/>
      <c r="J3" s="638"/>
      <c r="K3" s="638"/>
      <c r="L3" s="638"/>
      <c r="M3" s="638"/>
    </row>
    <row r="4" spans="2:15" ht="17.25" thickBot="1">
      <c r="B4" s="635" t="s">
        <v>988</v>
      </c>
      <c r="C4" s="632"/>
      <c r="D4" s="633"/>
      <c r="E4" s="633"/>
      <c r="F4" s="639">
        <f>'Model Drivers Schedule'!F2</f>
        <v>2020</v>
      </c>
      <c r="G4" s="639">
        <f>'Model Drivers Schedule'!G2</f>
        <v>2021</v>
      </c>
      <c r="H4" s="639">
        <f>'Model Drivers Schedule'!H2</f>
        <v>2022</v>
      </c>
      <c r="I4" s="639">
        <f>'Model Drivers Schedule'!I2</f>
        <v>2023</v>
      </c>
      <c r="J4" s="639">
        <f>'Model Drivers Schedule'!J2</f>
        <v>2024</v>
      </c>
      <c r="K4" s="639">
        <f>'Model Drivers Schedule'!K2</f>
        <v>2025</v>
      </c>
      <c r="L4" s="639">
        <f>'Model Drivers Schedule'!L2</f>
        <v>2026</v>
      </c>
      <c r="M4" s="639">
        <f>'Model Drivers Schedule'!M2</f>
        <v>2027</v>
      </c>
      <c r="N4" s="768">
        <f>'Model Drivers Schedule'!N2</f>
        <v>2028</v>
      </c>
      <c r="O4" s="768"/>
    </row>
    <row r="5" spans="2:15">
      <c r="B5" s="635"/>
      <c r="C5" s="632"/>
      <c r="D5" s="633"/>
      <c r="E5" s="633"/>
      <c r="F5" s="640"/>
      <c r="G5" s="640"/>
      <c r="H5" s="640"/>
      <c r="I5" s="641"/>
      <c r="J5" s="641"/>
      <c r="K5" s="641"/>
      <c r="L5" s="641"/>
      <c r="M5" s="641"/>
    </row>
    <row r="6" spans="2:15" ht="18">
      <c r="B6" s="478"/>
      <c r="C6" s="632"/>
      <c r="D6" s="633"/>
      <c r="E6" s="633"/>
      <c r="F6" s="633"/>
      <c r="G6" s="633"/>
      <c r="H6" s="633"/>
      <c r="I6" s="631"/>
      <c r="J6" s="631"/>
      <c r="K6" s="631"/>
      <c r="L6" s="631"/>
      <c r="M6" s="631"/>
    </row>
    <row r="7" spans="2:15">
      <c r="B7" s="578" t="s">
        <v>234</v>
      </c>
      <c r="C7" s="571"/>
      <c r="D7" s="633"/>
      <c r="E7" s="571"/>
      <c r="F7" s="642">
        <v>51585</v>
      </c>
      <c r="G7" s="642">
        <v>53494</v>
      </c>
      <c r="H7" s="642">
        <v>55749</v>
      </c>
      <c r="I7" s="643"/>
      <c r="J7" s="643"/>
      <c r="K7" s="643"/>
      <c r="L7" s="643"/>
      <c r="M7" s="644"/>
    </row>
    <row r="8" spans="2:15">
      <c r="B8" s="578" t="s">
        <v>992</v>
      </c>
      <c r="C8" s="571"/>
      <c r="D8" s="571"/>
      <c r="E8" s="571"/>
      <c r="F8" s="645">
        <v>27697</v>
      </c>
      <c r="G8" s="645">
        <v>28429</v>
      </c>
      <c r="H8" s="645">
        <v>29200</v>
      </c>
      <c r="I8" s="646"/>
      <c r="J8" s="646"/>
      <c r="K8" s="646"/>
      <c r="L8" s="646"/>
      <c r="M8" s="646"/>
    </row>
    <row r="9" spans="2:15">
      <c r="B9" s="647" t="s">
        <v>215</v>
      </c>
      <c r="C9" s="648"/>
      <c r="D9" s="571"/>
      <c r="E9" s="571"/>
      <c r="F9" s="649">
        <f>F7-F8</f>
        <v>23888</v>
      </c>
      <c r="G9" s="649">
        <f>G7-G8</f>
        <v>25065</v>
      </c>
      <c r="H9" s="649">
        <f>H7-H8</f>
        <v>26549</v>
      </c>
      <c r="I9" s="649"/>
      <c r="J9" s="649"/>
      <c r="K9" s="649"/>
      <c r="L9" s="650"/>
      <c r="M9" s="650"/>
    </row>
    <row r="10" spans="2:15">
      <c r="B10" s="647"/>
      <c r="C10" s="648"/>
      <c r="D10" s="571"/>
      <c r="E10" s="571"/>
      <c r="F10" s="649"/>
      <c r="G10" s="649"/>
      <c r="H10" s="649"/>
      <c r="I10" s="649"/>
      <c r="J10" s="649"/>
      <c r="K10" s="649"/>
      <c r="L10" s="650"/>
      <c r="M10" s="650"/>
    </row>
    <row r="11" spans="2:15">
      <c r="B11" s="571" t="s">
        <v>1295</v>
      </c>
      <c r="C11" s="648"/>
      <c r="D11" s="571"/>
      <c r="E11" s="571"/>
      <c r="F11" s="651"/>
      <c r="G11" s="651"/>
      <c r="H11" s="651"/>
      <c r="I11" s="649"/>
      <c r="J11" s="649"/>
      <c r="K11" s="649"/>
      <c r="L11" s="649"/>
      <c r="M11" s="650"/>
    </row>
    <row r="12" spans="2:15">
      <c r="B12" s="571" t="s">
        <v>1296</v>
      </c>
      <c r="C12" s="571"/>
      <c r="D12" s="571"/>
      <c r="E12" s="571"/>
      <c r="F12" s="652"/>
      <c r="G12" s="652"/>
      <c r="H12" s="652"/>
      <c r="I12" s="651"/>
      <c r="J12" s="651"/>
      <c r="K12" s="651"/>
      <c r="L12" s="651"/>
      <c r="M12" s="653"/>
    </row>
    <row r="13" spans="2:15">
      <c r="B13" s="578" t="s">
        <v>993</v>
      </c>
      <c r="C13" s="571"/>
      <c r="D13" s="642"/>
      <c r="E13" s="571"/>
      <c r="F13" s="642">
        <v>5877</v>
      </c>
      <c r="G13" s="642">
        <v>6006</v>
      </c>
      <c r="H13" s="642">
        <v>6144</v>
      </c>
      <c r="I13" s="643"/>
      <c r="J13" s="643"/>
      <c r="K13" s="643"/>
      <c r="L13" s="643"/>
      <c r="M13" s="644"/>
    </row>
    <row r="14" spans="2:15">
      <c r="B14" s="578" t="s">
        <v>1946</v>
      </c>
      <c r="C14" s="571"/>
      <c r="D14" s="571"/>
      <c r="E14" s="571"/>
      <c r="F14" s="645">
        <v>1764</v>
      </c>
      <c r="G14" s="645">
        <v>1931</v>
      </c>
      <c r="H14" s="645">
        <v>2026</v>
      </c>
      <c r="I14" s="646"/>
      <c r="J14" s="646"/>
      <c r="K14" s="646"/>
      <c r="L14" s="646"/>
      <c r="M14" s="646"/>
    </row>
    <row r="15" spans="2:15">
      <c r="B15" s="883" t="s">
        <v>1297</v>
      </c>
      <c r="C15" s="571"/>
      <c r="D15" s="571"/>
      <c r="E15" s="571"/>
      <c r="F15" s="881">
        <f>SUM(F11:F14)</f>
        <v>7641</v>
      </c>
      <c r="G15" s="881">
        <f t="shared" ref="G15:H15" si="0">SUM(G11:G14)</f>
        <v>7937</v>
      </c>
      <c r="H15" s="881">
        <f t="shared" si="0"/>
        <v>8170</v>
      </c>
      <c r="I15" s="644"/>
      <c r="J15" s="644"/>
      <c r="K15" s="644"/>
      <c r="L15" s="644"/>
      <c r="M15" s="644"/>
    </row>
    <row r="16" spans="2:15">
      <c r="B16" s="647" t="s">
        <v>267</v>
      </c>
      <c r="C16" s="648"/>
      <c r="D16" s="571"/>
      <c r="E16" s="571"/>
      <c r="F16" s="649">
        <f>F9-SUM(F13:F14)</f>
        <v>16247</v>
      </c>
      <c r="G16" s="649">
        <f t="shared" ref="G16:H16" si="1">G9-SUM(G13:G14)</f>
        <v>17128</v>
      </c>
      <c r="H16" s="649">
        <f t="shared" si="1"/>
        <v>18379</v>
      </c>
      <c r="I16" s="649"/>
      <c r="J16" s="649"/>
      <c r="K16" s="649"/>
      <c r="L16" s="650"/>
      <c r="M16" s="650"/>
    </row>
    <row r="17" spans="2:13">
      <c r="B17" s="647"/>
      <c r="C17" s="648"/>
      <c r="D17" s="571"/>
      <c r="E17" s="571"/>
      <c r="F17" s="651"/>
      <c r="G17" s="651"/>
      <c r="H17" s="651"/>
      <c r="I17" s="649"/>
      <c r="J17" s="649"/>
      <c r="K17" s="649"/>
      <c r="L17" s="649"/>
      <c r="M17" s="650"/>
    </row>
    <row r="18" spans="2:13">
      <c r="B18" s="578"/>
      <c r="C18" s="571"/>
      <c r="D18" s="571"/>
      <c r="E18" s="571"/>
      <c r="F18" s="649"/>
      <c r="G18" s="649"/>
      <c r="H18" s="649"/>
      <c r="I18" s="649"/>
      <c r="J18" s="649"/>
      <c r="K18" s="649"/>
      <c r="L18" s="649"/>
      <c r="M18" s="650"/>
    </row>
    <row r="19" spans="2:13">
      <c r="B19" s="578" t="s">
        <v>129</v>
      </c>
      <c r="C19" s="571"/>
      <c r="D19" s="571"/>
      <c r="E19" s="571"/>
      <c r="F19" s="645">
        <v>2960</v>
      </c>
      <c r="G19" s="645">
        <v>3196</v>
      </c>
      <c r="H19" s="645">
        <v>3452</v>
      </c>
      <c r="I19" s="646"/>
      <c r="J19" s="646"/>
      <c r="K19" s="646"/>
      <c r="L19" s="646"/>
      <c r="M19" s="646"/>
    </row>
    <row r="20" spans="2:13">
      <c r="B20" s="647" t="s">
        <v>199</v>
      </c>
      <c r="C20" s="648"/>
      <c r="D20" s="571"/>
      <c r="E20" s="571"/>
      <c r="F20" s="649">
        <f t="shared" ref="F20:H20" si="2">F16-F19</f>
        <v>13287</v>
      </c>
      <c r="G20" s="649">
        <f t="shared" si="2"/>
        <v>13932</v>
      </c>
      <c r="H20" s="649">
        <f t="shared" si="2"/>
        <v>14927</v>
      </c>
      <c r="I20" s="649"/>
      <c r="J20" s="649"/>
      <c r="K20" s="649"/>
      <c r="L20" s="650"/>
      <c r="M20" s="650"/>
    </row>
    <row r="21" spans="2:13">
      <c r="B21" s="1506" t="s">
        <v>328</v>
      </c>
      <c r="C21" s="648"/>
      <c r="D21" s="571"/>
      <c r="E21" s="571"/>
      <c r="F21" s="649"/>
      <c r="G21" s="649"/>
      <c r="H21" s="649"/>
      <c r="I21" s="649"/>
      <c r="J21" s="649"/>
      <c r="K21" s="649"/>
      <c r="L21" s="650"/>
      <c r="M21" s="650"/>
    </row>
    <row r="22" spans="2:13">
      <c r="B22" s="1507" t="s">
        <v>1947</v>
      </c>
      <c r="C22" s="648"/>
      <c r="D22" s="571"/>
      <c r="E22" s="571"/>
      <c r="F22" s="649"/>
      <c r="G22" s="649"/>
      <c r="H22" s="649"/>
      <c r="I22" s="649"/>
      <c r="J22" s="649"/>
      <c r="K22" s="649"/>
      <c r="L22" s="650"/>
      <c r="M22" s="650"/>
    </row>
    <row r="23" spans="2:13">
      <c r="B23" s="1506" t="s">
        <v>1948</v>
      </c>
      <c r="C23" s="648"/>
      <c r="D23" s="571"/>
      <c r="E23" s="571"/>
      <c r="F23" s="649"/>
      <c r="G23" s="649"/>
      <c r="H23" s="649"/>
      <c r="I23" s="649"/>
      <c r="J23" s="649"/>
      <c r="K23" s="649"/>
      <c r="L23" s="650"/>
      <c r="M23" s="650"/>
    </row>
    <row r="24" spans="2:13">
      <c r="B24" s="647"/>
      <c r="C24" s="648"/>
      <c r="D24" s="571"/>
      <c r="E24" s="571"/>
      <c r="F24" s="649"/>
      <c r="G24" s="649"/>
      <c r="H24" s="649"/>
      <c r="I24" s="649"/>
      <c r="J24" s="649"/>
      <c r="K24" s="649"/>
      <c r="L24" s="650"/>
      <c r="M24" s="650"/>
    </row>
    <row r="25" spans="2:13">
      <c r="B25" s="647"/>
      <c r="C25" s="648"/>
      <c r="D25" s="571"/>
      <c r="E25" s="571"/>
      <c r="F25" s="649"/>
      <c r="G25" s="649"/>
      <c r="H25" s="649"/>
      <c r="I25" s="649"/>
      <c r="J25" s="649"/>
      <c r="K25" s="649"/>
      <c r="L25" s="649"/>
      <c r="M25" s="650"/>
    </row>
    <row r="26" spans="2:13">
      <c r="B26" s="578" t="s">
        <v>994</v>
      </c>
      <c r="C26" s="571"/>
      <c r="D26" s="571"/>
      <c r="E26" s="571"/>
      <c r="F26" s="645">
        <v>1488</v>
      </c>
      <c r="G26" s="645">
        <v>2580</v>
      </c>
      <c r="H26" s="645">
        <v>2448</v>
      </c>
      <c r="I26" s="646"/>
      <c r="J26" s="646"/>
      <c r="K26" s="646"/>
      <c r="L26" s="646"/>
      <c r="M26" s="646"/>
    </row>
    <row r="27" spans="2:13">
      <c r="B27" s="647" t="s">
        <v>995</v>
      </c>
      <c r="C27" s="648"/>
      <c r="D27" s="571"/>
      <c r="E27" s="571"/>
      <c r="F27" s="649">
        <f>F20-F26</f>
        <v>11799</v>
      </c>
      <c r="G27" s="649">
        <f t="shared" ref="G27:H27" si="3">G20-G26</f>
        <v>11352</v>
      </c>
      <c r="H27" s="649">
        <f t="shared" si="3"/>
        <v>12479</v>
      </c>
      <c r="I27" s="649"/>
      <c r="J27" s="649"/>
      <c r="K27" s="649"/>
      <c r="L27" s="650"/>
      <c r="M27" s="650"/>
    </row>
    <row r="28" spans="2:13">
      <c r="B28" s="647"/>
      <c r="C28" s="648"/>
      <c r="D28" s="571"/>
      <c r="E28" s="571"/>
      <c r="F28" s="649"/>
      <c r="G28" s="649"/>
      <c r="H28" s="649"/>
      <c r="I28" s="649"/>
      <c r="J28" s="649"/>
      <c r="K28" s="649"/>
      <c r="L28" s="649"/>
      <c r="M28" s="650"/>
    </row>
    <row r="29" spans="2:13">
      <c r="B29" s="578" t="s">
        <v>996</v>
      </c>
      <c r="C29" s="571"/>
      <c r="D29" s="571"/>
      <c r="E29" s="571"/>
      <c r="F29" s="642">
        <v>0</v>
      </c>
      <c r="G29" s="642">
        <v>0</v>
      </c>
      <c r="H29" s="642">
        <v>0</v>
      </c>
      <c r="I29" s="643"/>
      <c r="J29" s="643"/>
      <c r="K29" s="643"/>
      <c r="L29" s="643"/>
      <c r="M29" s="644"/>
    </row>
    <row r="30" spans="2:13">
      <c r="B30" s="578" t="s">
        <v>997</v>
      </c>
      <c r="C30" s="571"/>
      <c r="D30" s="571"/>
      <c r="E30" s="571"/>
      <c r="F30" s="645">
        <v>3155</v>
      </c>
      <c r="G30" s="645">
        <v>2861</v>
      </c>
      <c r="H30" s="645">
        <v>3012</v>
      </c>
      <c r="I30" s="646"/>
      <c r="J30" s="646"/>
      <c r="K30" s="646"/>
      <c r="L30" s="646"/>
      <c r="M30" s="646"/>
    </row>
    <row r="31" spans="2:13">
      <c r="B31" s="578" t="s">
        <v>998</v>
      </c>
      <c r="C31" s="571"/>
      <c r="D31" s="571"/>
      <c r="E31" s="571"/>
      <c r="F31" s="654">
        <f>SUM(F29:F30)</f>
        <v>3155</v>
      </c>
      <c r="G31" s="654">
        <f t="shared" ref="G31:H31" si="4">SUM(G29:G30)</f>
        <v>2861</v>
      </c>
      <c r="H31" s="654">
        <f t="shared" si="4"/>
        <v>3012</v>
      </c>
      <c r="I31" s="654"/>
      <c r="J31" s="654"/>
      <c r="K31" s="654"/>
      <c r="L31" s="655"/>
      <c r="M31" s="655"/>
    </row>
    <row r="32" spans="2:13">
      <c r="B32" s="578"/>
      <c r="C32" s="571"/>
      <c r="D32" s="571"/>
      <c r="E32" s="571"/>
      <c r="F32" s="656"/>
      <c r="G32" s="656"/>
      <c r="H32" s="656"/>
      <c r="I32" s="657"/>
      <c r="J32" s="657"/>
      <c r="K32" s="657"/>
      <c r="L32" s="657"/>
      <c r="M32" s="644"/>
    </row>
    <row r="33" spans="2:13" ht="17.25" thickBot="1">
      <c r="B33" s="647" t="s">
        <v>135</v>
      </c>
      <c r="C33" s="648"/>
      <c r="D33" s="571"/>
      <c r="E33" s="571"/>
      <c r="F33" s="658">
        <f>F27-F31</f>
        <v>8644</v>
      </c>
      <c r="G33" s="658">
        <f t="shared" ref="G33:H33" si="5">G27-G31</f>
        <v>8491</v>
      </c>
      <c r="H33" s="658">
        <f t="shared" si="5"/>
        <v>9467</v>
      </c>
      <c r="I33" s="658"/>
      <c r="J33" s="658"/>
      <c r="K33" s="658"/>
      <c r="L33" s="658"/>
      <c r="M33" s="658"/>
    </row>
    <row r="35" spans="2:13" ht="18">
      <c r="B35" s="659" t="s">
        <v>307</v>
      </c>
      <c r="C35" s="660"/>
      <c r="D35" s="661"/>
      <c r="E35" s="661"/>
      <c r="F35" s="662"/>
      <c r="G35" s="662"/>
      <c r="H35" s="662"/>
      <c r="I35" s="662"/>
      <c r="J35" s="662"/>
      <c r="K35" s="662"/>
      <c r="L35" s="662"/>
      <c r="M35" s="662"/>
    </row>
    <row r="37" spans="2:13">
      <c r="B37" s="648" t="s">
        <v>311</v>
      </c>
      <c r="C37" s="648"/>
      <c r="D37" s="648"/>
      <c r="E37" s="648"/>
      <c r="F37" s="648"/>
      <c r="G37" s="648"/>
      <c r="H37" s="648"/>
      <c r="I37" s="664"/>
    </row>
    <row r="38" spans="2:13">
      <c r="B38" s="897" t="s">
        <v>1320</v>
      </c>
      <c r="C38" s="897"/>
      <c r="D38" s="897"/>
      <c r="E38" s="897"/>
      <c r="F38" s="897">
        <v>19079</v>
      </c>
      <c r="G38" s="897">
        <v>17576</v>
      </c>
      <c r="H38" s="897">
        <v>16601</v>
      </c>
      <c r="I38" s="667"/>
      <c r="J38" s="667"/>
      <c r="K38" s="664"/>
    </row>
    <row r="39" spans="2:13">
      <c r="B39" s="897" t="s">
        <v>1321</v>
      </c>
      <c r="C39" s="897"/>
      <c r="D39" s="897"/>
      <c r="E39" s="897"/>
      <c r="F39" s="897">
        <v>35776</v>
      </c>
      <c r="G39" s="897">
        <v>44378</v>
      </c>
      <c r="H39" s="897">
        <v>31397</v>
      </c>
      <c r="I39" s="667"/>
      <c r="J39" s="667"/>
      <c r="K39" s="664"/>
    </row>
    <row r="40" spans="2:13">
      <c r="B40" s="897" t="s">
        <v>1456</v>
      </c>
      <c r="C40" s="897"/>
      <c r="D40" s="897"/>
      <c r="E40" s="897"/>
      <c r="F40" s="897">
        <v>9518</v>
      </c>
      <c r="G40" s="897">
        <v>11335</v>
      </c>
      <c r="H40" s="897">
        <v>14039</v>
      </c>
      <c r="I40" s="648"/>
      <c r="J40" s="648"/>
      <c r="K40" s="648"/>
      <c r="L40" s="648"/>
    </row>
    <row r="41" spans="2:13">
      <c r="B41" s="897" t="s">
        <v>1322</v>
      </c>
      <c r="C41" s="897"/>
      <c r="D41" s="897"/>
      <c r="E41" s="897"/>
      <c r="F41" s="897">
        <v>0</v>
      </c>
      <c r="G41" s="897">
        <v>0</v>
      </c>
      <c r="H41" s="897">
        <v>0</v>
      </c>
      <c r="I41" s="648"/>
      <c r="J41" s="648"/>
      <c r="K41" s="648"/>
      <c r="L41" s="648"/>
    </row>
    <row r="42" spans="2:13">
      <c r="B42" s="898" t="s">
        <v>1323</v>
      </c>
      <c r="C42" s="898"/>
      <c r="D42" s="898"/>
      <c r="E42" s="898"/>
      <c r="F42" s="898">
        <v>1852</v>
      </c>
      <c r="G42" s="898">
        <v>2381</v>
      </c>
      <c r="H42" s="898">
        <v>4629</v>
      </c>
      <c r="I42" s="648"/>
      <c r="J42" s="648"/>
      <c r="K42" s="648"/>
      <c r="L42" s="648"/>
    </row>
    <row r="43" spans="2:13">
      <c r="B43" s="895" t="s">
        <v>1277</v>
      </c>
      <c r="C43" s="895"/>
      <c r="D43" s="895"/>
      <c r="E43" s="895"/>
      <c r="F43" s="895">
        <f t="shared" ref="F43:H43" si="6">SUM(F38:F42)</f>
        <v>66225</v>
      </c>
      <c r="G43" s="895">
        <f t="shared" si="6"/>
        <v>75670</v>
      </c>
      <c r="H43" s="895">
        <f t="shared" si="6"/>
        <v>66666</v>
      </c>
      <c r="I43" s="648"/>
      <c r="J43" s="648"/>
      <c r="K43" s="648"/>
      <c r="L43" s="648"/>
    </row>
    <row r="44" spans="2:13">
      <c r="B44" s="899" t="s">
        <v>1324</v>
      </c>
      <c r="C44" s="899"/>
      <c r="D44" s="899"/>
      <c r="E44" s="899"/>
      <c r="F44" s="899">
        <v>86</v>
      </c>
      <c r="G44" s="899">
        <v>6234</v>
      </c>
      <c r="H44" s="899">
        <v>6775</v>
      </c>
      <c r="I44" s="648"/>
      <c r="J44" s="648"/>
      <c r="K44" s="648"/>
      <c r="L44" s="648"/>
    </row>
    <row r="45" spans="2:13">
      <c r="B45" s="899" t="s">
        <v>1325</v>
      </c>
      <c r="C45" s="899"/>
      <c r="D45" s="899"/>
      <c r="E45" s="899"/>
      <c r="F45" s="899">
        <v>35323</v>
      </c>
      <c r="G45" s="899">
        <v>45633</v>
      </c>
      <c r="H45" s="899">
        <v>57809</v>
      </c>
      <c r="I45" s="648"/>
      <c r="J45" s="648"/>
      <c r="K45" s="648"/>
      <c r="L45" s="648"/>
    </row>
    <row r="46" spans="2:13">
      <c r="B46" s="899" t="s">
        <v>1326</v>
      </c>
      <c r="C46" s="899"/>
      <c r="D46" s="899"/>
      <c r="E46" s="899"/>
      <c r="F46" s="899">
        <v>9460</v>
      </c>
      <c r="G46" s="899">
        <v>9348</v>
      </c>
      <c r="H46" s="899">
        <v>12155</v>
      </c>
      <c r="I46" s="648"/>
      <c r="J46" s="648"/>
      <c r="K46" s="648"/>
      <c r="L46" s="648"/>
    </row>
    <row r="47" spans="2:13">
      <c r="B47" s="899" t="s">
        <v>1327</v>
      </c>
      <c r="C47" s="899"/>
      <c r="D47" s="899"/>
      <c r="E47" s="899"/>
      <c r="F47" s="899">
        <v>894</v>
      </c>
      <c r="G47" s="899">
        <v>623</v>
      </c>
      <c r="H47" s="899">
        <v>634</v>
      </c>
      <c r="I47" s="648"/>
      <c r="J47" s="648"/>
      <c r="K47" s="648"/>
      <c r="L47" s="648"/>
    </row>
    <row r="48" spans="2:13">
      <c r="B48" s="899" t="s">
        <v>1328</v>
      </c>
      <c r="C48" s="899"/>
      <c r="D48" s="899"/>
      <c r="E48" s="899"/>
      <c r="F48" s="899">
        <v>18715</v>
      </c>
      <c r="G48" s="899">
        <v>19050</v>
      </c>
      <c r="H48" s="899">
        <v>19197</v>
      </c>
      <c r="I48" s="648"/>
      <c r="J48" s="648"/>
      <c r="K48" s="648"/>
      <c r="L48" s="648"/>
    </row>
    <row r="49" spans="2:12">
      <c r="B49" s="898" t="s">
        <v>1329</v>
      </c>
      <c r="C49" s="898"/>
      <c r="D49" s="898"/>
      <c r="E49" s="898"/>
      <c r="F49" s="898">
        <v>2673</v>
      </c>
      <c r="G49" s="898">
        <v>2758</v>
      </c>
      <c r="H49" s="898">
        <v>2751</v>
      </c>
      <c r="I49" s="648"/>
      <c r="J49" s="648"/>
      <c r="K49" s="648"/>
      <c r="L49" s="648"/>
    </row>
    <row r="50" spans="2:12">
      <c r="B50" s="895" t="s">
        <v>308</v>
      </c>
      <c r="C50" s="895"/>
      <c r="D50" s="895"/>
      <c r="E50" s="895"/>
      <c r="F50" s="895">
        <f t="shared" ref="F50:H50" si="7">SUM(F43:F49)</f>
        <v>133376</v>
      </c>
      <c r="G50" s="895">
        <f t="shared" si="7"/>
        <v>159316</v>
      </c>
      <c r="H50" s="895">
        <f t="shared" si="7"/>
        <v>165987</v>
      </c>
      <c r="I50" s="648"/>
      <c r="J50" s="648"/>
      <c r="K50" s="648"/>
      <c r="L50" s="648"/>
    </row>
    <row r="51" spans="2:12">
      <c r="B51" s="895"/>
      <c r="C51" s="895"/>
      <c r="D51" s="895"/>
      <c r="E51" s="895"/>
      <c r="F51" s="895"/>
      <c r="G51" s="895"/>
      <c r="H51" s="895"/>
      <c r="I51" s="648"/>
      <c r="J51" s="648"/>
      <c r="K51" s="648"/>
      <c r="L51" s="648"/>
    </row>
    <row r="52" spans="2:12">
      <c r="B52" s="895" t="s">
        <v>1152</v>
      </c>
      <c r="C52" s="895"/>
      <c r="D52" s="895"/>
      <c r="E52" s="895"/>
      <c r="F52" s="895"/>
      <c r="G52" s="895"/>
      <c r="H52" s="895"/>
      <c r="I52" s="648"/>
      <c r="J52" s="648"/>
      <c r="K52" s="648"/>
      <c r="L52" s="648"/>
    </row>
    <row r="53" spans="2:12">
      <c r="B53" s="899" t="s">
        <v>1330</v>
      </c>
      <c r="C53" s="895"/>
      <c r="D53" s="895"/>
      <c r="E53" s="895"/>
      <c r="F53" s="899">
        <v>1363</v>
      </c>
      <c r="G53" s="899">
        <v>1331</v>
      </c>
      <c r="H53" s="899">
        <v>4083</v>
      </c>
      <c r="I53" s="648"/>
      <c r="J53" s="648"/>
      <c r="K53" s="865"/>
    </row>
    <row r="54" spans="2:12">
      <c r="B54" s="899" t="s">
        <v>1331</v>
      </c>
      <c r="C54" s="895"/>
      <c r="D54" s="895"/>
      <c r="E54" s="895"/>
      <c r="F54" s="899">
        <v>886</v>
      </c>
      <c r="G54" s="899">
        <v>1093</v>
      </c>
      <c r="H54" s="899">
        <v>1052</v>
      </c>
      <c r="I54" s="648"/>
      <c r="J54" s="648"/>
      <c r="K54" s="864"/>
    </row>
    <row r="55" spans="2:12">
      <c r="B55" s="899" t="s">
        <v>1332</v>
      </c>
      <c r="C55" s="895"/>
      <c r="D55" s="895"/>
      <c r="E55" s="895"/>
      <c r="F55" s="899"/>
      <c r="G55" s="899"/>
      <c r="H55" s="899"/>
      <c r="I55" s="648"/>
      <c r="J55" s="648"/>
      <c r="K55" s="642"/>
    </row>
    <row r="56" spans="2:12">
      <c r="B56" s="897" t="s">
        <v>1333</v>
      </c>
      <c r="C56" s="648"/>
      <c r="D56" s="648"/>
      <c r="E56" s="648"/>
      <c r="F56" s="897">
        <v>800</v>
      </c>
      <c r="G56" s="897">
        <v>1023</v>
      </c>
      <c r="H56" s="897">
        <v>1127</v>
      </c>
      <c r="I56" s="648"/>
      <c r="J56" s="648"/>
      <c r="K56" s="868"/>
    </row>
    <row r="57" spans="2:12">
      <c r="B57" s="897" t="s">
        <v>1334</v>
      </c>
      <c r="C57" s="648"/>
      <c r="D57" s="648"/>
      <c r="E57" s="648"/>
      <c r="F57" s="897">
        <v>11735</v>
      </c>
      <c r="G57" s="897">
        <v>11152</v>
      </c>
      <c r="H57" s="897">
        <v>14312</v>
      </c>
      <c r="I57" s="648"/>
      <c r="J57" s="648"/>
      <c r="K57" s="865"/>
    </row>
    <row r="58" spans="2:12">
      <c r="B58" s="898" t="s">
        <v>1335</v>
      </c>
      <c r="C58" s="894"/>
      <c r="D58" s="894"/>
      <c r="E58" s="894"/>
      <c r="F58" s="898">
        <v>269</v>
      </c>
      <c r="G58" s="898">
        <v>382</v>
      </c>
      <c r="H58" s="898">
        <v>561</v>
      </c>
      <c r="I58" s="648"/>
      <c r="J58" s="648"/>
      <c r="K58" s="864"/>
    </row>
    <row r="59" spans="2:12">
      <c r="B59" s="895" t="s">
        <v>1278</v>
      </c>
      <c r="C59" s="895"/>
      <c r="D59" s="895"/>
      <c r="E59" s="895"/>
      <c r="F59" s="895">
        <f t="shared" ref="F59:H59" si="8">SUM(F53:F58)</f>
        <v>15053</v>
      </c>
      <c r="G59" s="895">
        <f t="shared" si="8"/>
        <v>14981</v>
      </c>
      <c r="H59" s="895">
        <f t="shared" si="8"/>
        <v>21135</v>
      </c>
      <c r="I59" s="648"/>
      <c r="J59" s="648"/>
      <c r="K59" s="868"/>
    </row>
    <row r="60" spans="2:12">
      <c r="B60" s="897" t="s">
        <v>1336</v>
      </c>
      <c r="C60" s="897"/>
      <c r="D60" s="897"/>
      <c r="E60" s="897"/>
      <c r="F60" s="897">
        <v>9524</v>
      </c>
      <c r="G60" s="897">
        <v>9631</v>
      </c>
      <c r="H60" s="897">
        <v>12746</v>
      </c>
      <c r="I60" s="648"/>
      <c r="J60" s="648"/>
      <c r="K60" s="865"/>
    </row>
    <row r="61" spans="2:12">
      <c r="B61" s="898" t="s">
        <v>1337</v>
      </c>
      <c r="C61" s="898"/>
      <c r="D61" s="898"/>
      <c r="E61" s="898"/>
      <c r="F61" s="898">
        <v>7745</v>
      </c>
      <c r="G61" s="898">
        <v>6414</v>
      </c>
      <c r="H61" s="898">
        <v>7227</v>
      </c>
      <c r="I61" s="648"/>
      <c r="J61" s="648"/>
      <c r="K61" s="865"/>
    </row>
    <row r="62" spans="2:12">
      <c r="B62" s="648" t="s">
        <v>415</v>
      </c>
      <c r="C62" s="648"/>
      <c r="D62" s="648"/>
      <c r="E62" s="648"/>
      <c r="F62" s="648">
        <f t="shared" ref="F62:H62" si="9">SUM(F59:F61)</f>
        <v>32322</v>
      </c>
      <c r="G62" s="648">
        <f t="shared" si="9"/>
        <v>31026</v>
      </c>
      <c r="H62" s="648">
        <f t="shared" si="9"/>
        <v>41108</v>
      </c>
      <c r="I62" s="648"/>
      <c r="J62" s="648"/>
      <c r="K62" s="865"/>
    </row>
    <row r="63" spans="2:12">
      <c r="B63" s="648"/>
      <c r="C63" s="648"/>
      <c r="D63" s="648"/>
      <c r="E63" s="648"/>
      <c r="F63" s="648"/>
      <c r="G63" s="648"/>
      <c r="H63" s="648"/>
      <c r="I63" s="648"/>
    </row>
    <row r="64" spans="2:12">
      <c r="B64" s="648" t="s">
        <v>1338</v>
      </c>
      <c r="C64" s="648"/>
      <c r="D64" s="648"/>
      <c r="E64" s="648"/>
      <c r="F64" s="648"/>
      <c r="G64" s="648"/>
      <c r="H64" s="648"/>
      <c r="I64" s="648"/>
      <c r="J64" s="864"/>
      <c r="K64" s="864"/>
    </row>
    <row r="65" spans="2:13">
      <c r="B65" s="897" t="s">
        <v>1339</v>
      </c>
      <c r="C65" s="897"/>
      <c r="D65" s="897"/>
      <c r="E65" s="897"/>
      <c r="F65" s="897">
        <v>45851</v>
      </c>
      <c r="G65" s="897">
        <v>50018</v>
      </c>
      <c r="H65" s="897">
        <v>55811</v>
      </c>
      <c r="I65" s="648"/>
      <c r="J65" s="864"/>
      <c r="K65" s="864"/>
    </row>
    <row r="66" spans="2:13">
      <c r="B66" s="897" t="s">
        <v>1340</v>
      </c>
      <c r="C66" s="897"/>
      <c r="D66" s="897"/>
      <c r="E66" s="897"/>
      <c r="F66" s="897">
        <v>55692</v>
      </c>
      <c r="G66" s="897">
        <v>77345</v>
      </c>
      <c r="H66" s="897">
        <v>69761</v>
      </c>
      <c r="I66" s="648"/>
      <c r="J66" s="868"/>
      <c r="K66" s="868"/>
    </row>
    <row r="67" spans="2:13">
      <c r="B67" s="897" t="s">
        <v>1341</v>
      </c>
      <c r="C67" s="897"/>
      <c r="D67" s="897"/>
      <c r="E67" s="897"/>
      <c r="F67" s="897">
        <v>-489</v>
      </c>
      <c r="G67" s="897">
        <v>927</v>
      </c>
      <c r="H67" s="897">
        <v>-693</v>
      </c>
      <c r="I67" s="648"/>
      <c r="J67" s="869"/>
      <c r="K67" s="870"/>
    </row>
    <row r="68" spans="2:13">
      <c r="B68" s="897" t="s">
        <v>1342</v>
      </c>
      <c r="C68" s="897"/>
      <c r="D68" s="897"/>
      <c r="E68" s="897"/>
      <c r="F68" s="897">
        <f t="shared" ref="F68:H68" si="10">SUM(F65:F67)</f>
        <v>101054</v>
      </c>
      <c r="G68" s="897">
        <f t="shared" si="10"/>
        <v>128290</v>
      </c>
      <c r="H68" s="897">
        <f t="shared" si="10"/>
        <v>124879</v>
      </c>
      <c r="I68" s="648"/>
      <c r="J68" s="869"/>
      <c r="K68" s="870"/>
    </row>
    <row r="69" spans="2:13" ht="17.25" thickBot="1">
      <c r="B69" s="896" t="s">
        <v>1279</v>
      </c>
      <c r="C69" s="896"/>
      <c r="D69" s="896"/>
      <c r="E69" s="896"/>
      <c r="F69" s="896">
        <f>F62+F68</f>
        <v>133376</v>
      </c>
      <c r="G69" s="896">
        <f>G62+G68</f>
        <v>159316</v>
      </c>
      <c r="H69" s="896">
        <f t="shared" ref="H69" si="11">H62+H68</f>
        <v>165987</v>
      </c>
      <c r="I69" s="648"/>
    </row>
    <row r="70" spans="2:13" ht="17.25" thickTop="1"/>
    <row r="71" spans="2:13">
      <c r="B71" s="750"/>
      <c r="C71" s="747"/>
      <c r="D71" s="747"/>
      <c r="E71" s="747"/>
      <c r="F71" s="747"/>
      <c r="G71" s="747"/>
      <c r="H71" s="747"/>
      <c r="I71" s="747"/>
    </row>
    <row r="72" spans="2:13" ht="18">
      <c r="B72" s="659" t="s">
        <v>1179</v>
      </c>
      <c r="C72" s="660"/>
      <c r="D72" s="661"/>
      <c r="E72" s="661"/>
      <c r="F72" s="662"/>
      <c r="G72" s="662"/>
      <c r="H72" s="662"/>
      <c r="I72" s="662"/>
      <c r="J72" s="662"/>
      <c r="K72" s="662"/>
      <c r="L72" s="662"/>
      <c r="M72" s="662"/>
    </row>
    <row r="74" spans="2:13">
      <c r="B74" s="648"/>
      <c r="C74" s="648"/>
      <c r="D74" s="474"/>
      <c r="E74" s="474"/>
      <c r="F74" s="872"/>
      <c r="G74" s="872"/>
      <c r="H74" s="872"/>
      <c r="I74" s="873"/>
      <c r="J74" s="873"/>
    </row>
    <row r="75" spans="2:13">
      <c r="B75" s="900" t="s">
        <v>135</v>
      </c>
      <c r="C75" s="900"/>
      <c r="D75" s="901"/>
      <c r="E75" s="901"/>
      <c r="F75" s="902">
        <f>F33</f>
        <v>8644</v>
      </c>
      <c r="G75" s="902">
        <v>9540.8505999999979</v>
      </c>
      <c r="H75" s="902">
        <v>10091.448499999999</v>
      </c>
      <c r="I75" s="867"/>
      <c r="J75" s="867"/>
    </row>
    <row r="76" spans="2:13">
      <c r="B76" s="648" t="s">
        <v>1465</v>
      </c>
      <c r="C76" s="1046"/>
      <c r="D76" s="479"/>
      <c r="E76" s="479"/>
      <c r="F76" s="674"/>
      <c r="G76" s="674"/>
      <c r="H76" s="674"/>
      <c r="I76" s="867"/>
      <c r="J76" s="867"/>
    </row>
    <row r="77" spans="2:13">
      <c r="B77" s="665" t="s">
        <v>1343</v>
      </c>
      <c r="C77" s="665"/>
      <c r="D77" s="474"/>
      <c r="E77" s="474"/>
      <c r="F77" s="867">
        <v>2960</v>
      </c>
      <c r="G77" s="867">
        <v>3196</v>
      </c>
      <c r="H77" s="867">
        <v>3452</v>
      </c>
      <c r="I77" s="867"/>
      <c r="J77" s="867"/>
    </row>
    <row r="78" spans="2:13">
      <c r="B78" s="665" t="s">
        <v>1473</v>
      </c>
      <c r="C78" s="665"/>
      <c r="D78" s="474"/>
      <c r="E78" s="474"/>
      <c r="F78" s="867"/>
      <c r="G78" s="867"/>
      <c r="H78" s="867"/>
      <c r="I78" s="867"/>
      <c r="J78" s="867"/>
    </row>
    <row r="79" spans="2:13">
      <c r="B79" s="665" t="s">
        <v>1472</v>
      </c>
      <c r="C79" s="665"/>
      <c r="D79" s="474"/>
      <c r="E79" s="474"/>
      <c r="F79" s="867"/>
      <c r="G79" s="867"/>
      <c r="H79" s="867"/>
      <c r="I79" s="867"/>
      <c r="J79" s="867"/>
    </row>
    <row r="80" spans="2:13">
      <c r="B80" s="874" t="s">
        <v>30</v>
      </c>
      <c r="C80" s="665"/>
      <c r="D80" s="474"/>
      <c r="E80" s="474"/>
      <c r="F80" s="867"/>
      <c r="G80" s="867"/>
      <c r="H80" s="867"/>
      <c r="I80" s="867"/>
      <c r="J80" s="867"/>
    </row>
    <row r="81" spans="1:12">
      <c r="B81" s="673" t="s">
        <v>1471</v>
      </c>
      <c r="C81" s="900"/>
      <c r="D81" s="901"/>
      <c r="E81" s="901"/>
      <c r="F81" s="1048"/>
      <c r="G81" s="1048"/>
      <c r="H81" s="1048"/>
      <c r="I81" s="875"/>
      <c r="J81" s="875"/>
    </row>
    <row r="82" spans="1:12">
      <c r="B82" s="874" t="s">
        <v>1286</v>
      </c>
      <c r="C82" s="665"/>
      <c r="D82" s="474"/>
      <c r="E82" s="474"/>
      <c r="F82" s="867">
        <v>-600</v>
      </c>
      <c r="G82" s="867">
        <v>-625</v>
      </c>
      <c r="H82" s="867">
        <v>-291</v>
      </c>
      <c r="I82" s="630"/>
      <c r="J82" s="630"/>
    </row>
    <row r="83" spans="1:12">
      <c r="B83" s="874" t="s">
        <v>1287</v>
      </c>
      <c r="C83" s="665"/>
      <c r="D83" s="474"/>
      <c r="E83" s="474"/>
      <c r="F83" s="867">
        <v>-400</v>
      </c>
      <c r="G83" s="867">
        <v>-131</v>
      </c>
      <c r="H83" s="867">
        <v>-86</v>
      </c>
      <c r="I83" s="630"/>
      <c r="J83" s="630"/>
    </row>
    <row r="84" spans="1:12">
      <c r="B84" s="874" t="s">
        <v>1288</v>
      </c>
      <c r="C84" s="665"/>
      <c r="D84" s="474"/>
      <c r="E84" s="474"/>
      <c r="F84" s="867">
        <v>-260</v>
      </c>
      <c r="G84" s="867">
        <v>181</v>
      </c>
      <c r="H84" s="867">
        <v>114</v>
      </c>
      <c r="I84" s="630"/>
      <c r="J84" s="630"/>
    </row>
    <row r="85" spans="1:12">
      <c r="B85" s="1053" t="s">
        <v>1474</v>
      </c>
      <c r="C85" s="1046"/>
      <c r="D85" s="479"/>
      <c r="E85" s="479"/>
      <c r="F85" s="630">
        <v>100</v>
      </c>
      <c r="G85" s="630">
        <v>100</v>
      </c>
      <c r="H85" s="630">
        <v>100</v>
      </c>
      <c r="I85" s="630"/>
      <c r="J85" s="630"/>
    </row>
    <row r="86" spans="1:12">
      <c r="B86" s="1053" t="s">
        <v>1475</v>
      </c>
      <c r="C86" s="1046"/>
      <c r="D86" s="479"/>
      <c r="E86" s="479"/>
      <c r="F86" s="630">
        <v>100</v>
      </c>
      <c r="G86" s="630">
        <v>100</v>
      </c>
      <c r="H86" s="630">
        <v>100</v>
      </c>
      <c r="I86" s="630"/>
      <c r="J86" s="630"/>
    </row>
    <row r="87" spans="1:12">
      <c r="B87" s="1053" t="s">
        <v>1476</v>
      </c>
      <c r="C87" s="1046"/>
      <c r="D87" s="479"/>
      <c r="E87" s="479"/>
      <c r="F87" s="630">
        <v>100</v>
      </c>
      <c r="G87" s="630">
        <v>100</v>
      </c>
      <c r="H87" s="630">
        <v>100</v>
      </c>
      <c r="I87" s="630"/>
      <c r="J87" s="630"/>
    </row>
    <row r="88" spans="1:12">
      <c r="B88" s="1052" t="s">
        <v>1477</v>
      </c>
      <c r="C88" s="1046"/>
      <c r="D88" s="479"/>
      <c r="E88" s="479"/>
      <c r="F88" s="630">
        <f>SUM(F77:F87)</f>
        <v>2000</v>
      </c>
      <c r="G88" s="630">
        <f t="shared" ref="G88:H88" si="12">SUM(G77:G87)</f>
        <v>2921</v>
      </c>
      <c r="H88" s="630">
        <f t="shared" si="12"/>
        <v>3489</v>
      </c>
      <c r="I88" s="630"/>
      <c r="J88" s="630"/>
    </row>
    <row r="89" spans="1:12">
      <c r="B89" s="673" t="s">
        <v>1480</v>
      </c>
      <c r="C89" s="900"/>
      <c r="D89" s="901"/>
      <c r="E89" s="901"/>
      <c r="F89" s="1048">
        <f>F88+F75</f>
        <v>10644</v>
      </c>
      <c r="G89" s="1048">
        <f t="shared" ref="G89:H89" si="13">G88+G75</f>
        <v>12461.850599999998</v>
      </c>
      <c r="H89" s="1048">
        <f t="shared" si="13"/>
        <v>13580.448499999999</v>
      </c>
      <c r="I89" s="630"/>
      <c r="J89" s="630"/>
    </row>
    <row r="90" spans="1:12">
      <c r="B90" s="648" t="s">
        <v>1463</v>
      </c>
      <c r="C90" s="648"/>
      <c r="D90" s="648"/>
      <c r="E90" s="648"/>
      <c r="F90" s="648"/>
      <c r="G90" s="648"/>
      <c r="H90" s="648"/>
      <c r="I90" s="877"/>
      <c r="J90" s="877"/>
    </row>
    <row r="91" spans="1:12">
      <c r="A91" s="422"/>
      <c r="B91" s="897" t="s">
        <v>1478</v>
      </c>
      <c r="C91" s="648"/>
      <c r="D91" s="648"/>
      <c r="E91" s="648"/>
      <c r="F91" s="648">
        <v>-15102</v>
      </c>
      <c r="G91" s="648">
        <v>-15115</v>
      </c>
      <c r="H91" s="648">
        <v>-18567</v>
      </c>
      <c r="I91" s="876"/>
      <c r="J91" s="876"/>
      <c r="K91" s="877"/>
      <c r="L91" s="877"/>
    </row>
    <row r="92" spans="1:12">
      <c r="A92" s="1047"/>
      <c r="B92" s="571" t="s">
        <v>1457</v>
      </c>
      <c r="C92" s="571"/>
      <c r="D92" s="571"/>
      <c r="E92" s="571"/>
      <c r="F92" s="571">
        <v>-23910</v>
      </c>
      <c r="G92" s="571">
        <v>-33930</v>
      </c>
      <c r="H92" s="571">
        <v>-30407</v>
      </c>
      <c r="I92" s="876"/>
      <c r="J92" s="876"/>
      <c r="K92" s="877"/>
      <c r="L92" s="877"/>
    </row>
    <row r="93" spans="1:12">
      <c r="A93" s="1047"/>
      <c r="B93" s="571" t="s">
        <v>1458</v>
      </c>
      <c r="C93" s="571"/>
      <c r="D93" s="571"/>
      <c r="E93" s="571"/>
      <c r="F93" s="571">
        <v>9565</v>
      </c>
      <c r="G93" s="571">
        <v>11787</v>
      </c>
      <c r="H93" s="571">
        <v>31671</v>
      </c>
      <c r="I93" s="867"/>
      <c r="J93" s="867"/>
      <c r="K93" s="867"/>
      <c r="L93" s="867"/>
    </row>
    <row r="94" spans="1:12">
      <c r="A94" s="1047"/>
      <c r="B94" s="571" t="s">
        <v>1459</v>
      </c>
      <c r="C94" s="571"/>
      <c r="D94" s="571"/>
      <c r="E94" s="571"/>
      <c r="F94" s="571">
        <v>10152</v>
      </c>
      <c r="G94" s="571">
        <v>13984</v>
      </c>
      <c r="H94" s="571">
        <v>10915</v>
      </c>
      <c r="I94" s="875"/>
      <c r="J94" s="875"/>
      <c r="K94" s="875"/>
      <c r="L94" s="875"/>
    </row>
    <row r="95" spans="1:12">
      <c r="A95" s="1047"/>
      <c r="B95" s="571" t="s">
        <v>1460</v>
      </c>
      <c r="C95" s="571"/>
      <c r="D95" s="571"/>
      <c r="E95" s="571"/>
      <c r="F95" s="571">
        <v>-61</v>
      </c>
      <c r="G95" s="571">
        <v>-6361</v>
      </c>
      <c r="H95" s="571">
        <v>-47</v>
      </c>
      <c r="I95" s="630"/>
      <c r="J95" s="630"/>
      <c r="K95" s="630"/>
      <c r="L95" s="630"/>
    </row>
    <row r="96" spans="1:12">
      <c r="A96" s="1047"/>
      <c r="B96" s="571" t="s">
        <v>1461</v>
      </c>
      <c r="C96" s="571"/>
      <c r="D96" s="571"/>
      <c r="E96" s="571"/>
      <c r="F96" s="571">
        <v>-508</v>
      </c>
      <c r="G96" s="571">
        <v>-388</v>
      </c>
      <c r="H96" s="571">
        <v>-851</v>
      </c>
      <c r="I96" s="630"/>
      <c r="J96" s="630"/>
      <c r="K96" s="630"/>
      <c r="L96" s="630"/>
    </row>
    <row r="97" spans="1:12">
      <c r="A97" s="1047"/>
      <c r="B97" s="571" t="s">
        <v>1462</v>
      </c>
      <c r="C97" s="571"/>
      <c r="D97" s="571"/>
      <c r="E97" s="571"/>
      <c r="F97" s="571">
        <v>0</v>
      </c>
      <c r="G97" s="571">
        <v>-36</v>
      </c>
      <c r="H97" s="571">
        <v>-284</v>
      </c>
      <c r="I97" s="630"/>
      <c r="J97" s="630"/>
      <c r="K97" s="630"/>
      <c r="L97" s="630"/>
    </row>
    <row r="98" spans="1:12">
      <c r="B98" s="894" t="s">
        <v>1464</v>
      </c>
      <c r="C98" s="894"/>
      <c r="D98" s="894"/>
      <c r="E98" s="894"/>
      <c r="F98" s="894">
        <f>SUM(F91:F97)</f>
        <v>-19864</v>
      </c>
      <c r="G98" s="894">
        <f t="shared" ref="G98:H98" si="14">SUM(G91:G97)</f>
        <v>-30059</v>
      </c>
      <c r="H98" s="894">
        <f t="shared" si="14"/>
        <v>-7570</v>
      </c>
      <c r="I98" s="664"/>
      <c r="J98" s="664"/>
    </row>
    <row r="99" spans="1:12">
      <c r="B99" s="648" t="s">
        <v>1481</v>
      </c>
      <c r="C99" s="648"/>
      <c r="D99" s="474"/>
      <c r="E99" s="474"/>
      <c r="F99" s="867"/>
      <c r="G99" s="867"/>
      <c r="H99" s="867"/>
      <c r="I99" s="664"/>
      <c r="J99" s="664"/>
    </row>
    <row r="100" spans="1:12">
      <c r="B100" s="571" t="s">
        <v>1482</v>
      </c>
      <c r="C100" s="571"/>
      <c r="D100" s="571"/>
      <c r="E100" s="571"/>
      <c r="F100" s="571">
        <v>0</v>
      </c>
      <c r="G100" s="571">
        <v>-4000</v>
      </c>
      <c r="H100" s="571">
        <v>-4000</v>
      </c>
      <c r="I100" s="867"/>
      <c r="J100" s="867"/>
    </row>
    <row r="101" spans="1:12">
      <c r="B101" s="571" t="s">
        <v>1466</v>
      </c>
      <c r="C101" s="571"/>
      <c r="D101" s="571"/>
      <c r="E101" s="571"/>
      <c r="F101" s="571"/>
      <c r="G101" s="571"/>
      <c r="H101" s="571"/>
      <c r="I101" s="867"/>
      <c r="J101" s="867"/>
    </row>
    <row r="102" spans="1:12">
      <c r="B102" s="571" t="s">
        <v>1469</v>
      </c>
      <c r="C102" s="571"/>
      <c r="D102" s="571"/>
      <c r="E102" s="571"/>
      <c r="F102" s="571">
        <v>0</v>
      </c>
      <c r="G102" s="571">
        <v>0</v>
      </c>
      <c r="H102" s="571">
        <v>0</v>
      </c>
      <c r="I102" s="867"/>
      <c r="J102" s="867"/>
    </row>
    <row r="103" spans="1:12">
      <c r="B103" s="571" t="s">
        <v>1483</v>
      </c>
      <c r="C103" s="571"/>
      <c r="D103" s="571"/>
      <c r="E103" s="571"/>
      <c r="F103" s="571">
        <v>-3465</v>
      </c>
      <c r="G103" s="571">
        <v>-3761</v>
      </c>
      <c r="H103" s="571">
        <v>-3216</v>
      </c>
      <c r="I103" s="867"/>
      <c r="J103" s="867"/>
    </row>
    <row r="104" spans="1:12">
      <c r="B104" s="571" t="s">
        <v>1467</v>
      </c>
      <c r="C104" s="571"/>
      <c r="D104" s="571"/>
      <c r="E104" s="571"/>
      <c r="F104" s="571"/>
      <c r="G104" s="571"/>
      <c r="H104" s="571"/>
      <c r="I104" s="867"/>
      <c r="J104" s="867"/>
    </row>
    <row r="105" spans="1:12">
      <c r="B105" s="571" t="s">
        <v>1468</v>
      </c>
      <c r="C105" s="571"/>
      <c r="D105" s="571"/>
      <c r="E105" s="571"/>
      <c r="F105" s="571"/>
      <c r="G105" s="571"/>
      <c r="H105" s="571"/>
      <c r="I105" s="867"/>
      <c r="J105" s="867"/>
    </row>
    <row r="106" spans="1:12">
      <c r="B106" s="571" t="s">
        <v>1289</v>
      </c>
      <c r="C106" s="571"/>
      <c r="D106" s="571"/>
      <c r="E106" s="571"/>
      <c r="F106" s="571">
        <v>0</v>
      </c>
      <c r="G106" s="571">
        <v>0</v>
      </c>
      <c r="H106" s="571">
        <v>0</v>
      </c>
      <c r="I106" s="867"/>
      <c r="J106" s="867"/>
    </row>
    <row r="107" spans="1:12">
      <c r="B107" s="571" t="s">
        <v>1470</v>
      </c>
      <c r="C107" s="571"/>
      <c r="D107" s="571"/>
      <c r="E107" s="571"/>
      <c r="F107" s="571"/>
      <c r="G107" s="571"/>
      <c r="H107" s="571"/>
      <c r="I107" s="875"/>
      <c r="J107" s="875"/>
    </row>
    <row r="108" spans="1:12">
      <c r="B108" s="1049" t="s">
        <v>1479</v>
      </c>
      <c r="C108" s="898"/>
      <c r="D108" s="1050"/>
      <c r="E108" s="1050"/>
      <c r="F108" s="1051">
        <f>SUM(F100:F107)</f>
        <v>-3465</v>
      </c>
      <c r="G108" s="1051">
        <f t="shared" ref="G108:H108" si="15">SUM(G100:G107)</f>
        <v>-7761</v>
      </c>
      <c r="H108" s="1051">
        <f t="shared" si="15"/>
        <v>-7216</v>
      </c>
      <c r="I108" s="866"/>
      <c r="J108" s="866"/>
    </row>
    <row r="109" spans="1:12">
      <c r="B109" s="571"/>
      <c r="C109" s="571"/>
      <c r="D109" s="474"/>
      <c r="E109" s="474"/>
      <c r="F109" s="867"/>
      <c r="G109" s="867"/>
      <c r="H109" s="867"/>
      <c r="I109" s="866"/>
      <c r="J109" s="866"/>
    </row>
    <row r="110" spans="1:12">
      <c r="B110" s="648" t="s">
        <v>1290</v>
      </c>
      <c r="C110" s="648"/>
      <c r="D110" s="474"/>
      <c r="E110" s="474"/>
      <c r="F110" s="867"/>
      <c r="G110" s="867"/>
      <c r="H110" s="867"/>
      <c r="I110" s="664"/>
      <c r="J110" s="664"/>
    </row>
    <row r="111" spans="1:12">
      <c r="B111" s="665" t="s">
        <v>1291</v>
      </c>
      <c r="C111" s="665"/>
      <c r="D111" s="474"/>
      <c r="E111" s="474"/>
      <c r="F111" s="867">
        <v>9671</v>
      </c>
      <c r="G111" s="671">
        <f>F113</f>
        <v>-3014</v>
      </c>
      <c r="H111" s="671">
        <f>G113</f>
        <v>-28372.149400000002</v>
      </c>
      <c r="I111" s="671"/>
      <c r="J111" s="671"/>
    </row>
    <row r="112" spans="1:12">
      <c r="B112" s="665" t="s">
        <v>1292</v>
      </c>
      <c r="C112" s="665"/>
      <c r="D112" s="474"/>
      <c r="E112" s="474"/>
      <c r="F112" s="671">
        <f>F108+F98+F89</f>
        <v>-12685</v>
      </c>
      <c r="G112" s="671">
        <f t="shared" ref="G112:H112" si="16">G108+G98+G89</f>
        <v>-25358.149400000002</v>
      </c>
      <c r="H112" s="671">
        <f t="shared" si="16"/>
        <v>-1205.5515000000014</v>
      </c>
      <c r="I112" s="671"/>
      <c r="J112" s="671"/>
    </row>
    <row r="113" spans="2:14" ht="17.25" thickBot="1">
      <c r="B113" s="1054" t="s">
        <v>1293</v>
      </c>
      <c r="C113" s="1054"/>
      <c r="D113" s="1055"/>
      <c r="E113" s="1055"/>
      <c r="F113" s="1056">
        <f>SUM(F111:F112)</f>
        <v>-3014</v>
      </c>
      <c r="G113" s="1056">
        <f t="shared" ref="G113:H113" si="17">SUM(G111:G112)</f>
        <v>-28372.149400000002</v>
      </c>
      <c r="H113" s="1056">
        <f t="shared" si="17"/>
        <v>-29577.700900000003</v>
      </c>
      <c r="I113" s="1056"/>
      <c r="J113" s="1056"/>
    </row>
    <row r="114" spans="2:14" ht="17.25" thickTop="1">
      <c r="B114" s="678"/>
      <c r="C114" s="678"/>
      <c r="D114" s="678"/>
      <c r="E114" s="678"/>
      <c r="F114" s="678"/>
      <c r="G114" s="678"/>
    </row>
    <row r="115" spans="2:14">
      <c r="B115" s="678"/>
      <c r="C115" s="678"/>
      <c r="D115" s="678"/>
      <c r="E115" s="678"/>
      <c r="F115" s="678"/>
      <c r="G115" s="678"/>
    </row>
    <row r="116" spans="2:14">
      <c r="B116" s="678"/>
      <c r="C116" s="678"/>
      <c r="D116" s="678"/>
      <c r="E116" s="678"/>
      <c r="F116" s="678"/>
      <c r="G116" s="678"/>
    </row>
    <row r="117" spans="2:14">
      <c r="B117" s="678"/>
      <c r="C117" s="678"/>
      <c r="D117" s="678"/>
      <c r="E117" s="678"/>
      <c r="F117" s="678"/>
      <c r="G117" s="678"/>
    </row>
    <row r="118" spans="2:14">
      <c r="B118" s="678"/>
      <c r="C118" s="678"/>
      <c r="D118" s="678"/>
      <c r="E118" s="678"/>
      <c r="F118" s="678"/>
      <c r="G118" s="678"/>
    </row>
    <row r="119" spans="2:14">
      <c r="B119" s="678"/>
      <c r="C119" s="678"/>
      <c r="D119" s="678"/>
      <c r="E119" s="678"/>
      <c r="F119" s="678"/>
      <c r="G119" s="678"/>
    </row>
    <row r="120" spans="2:14">
      <c r="B120" s="678"/>
      <c r="C120" s="678"/>
      <c r="D120" s="678"/>
      <c r="E120" s="678"/>
      <c r="F120" s="682"/>
      <c r="G120" s="682"/>
    </row>
    <row r="121" spans="2:14">
      <c r="B121" s="678"/>
      <c r="C121" s="678"/>
      <c r="D121" s="678"/>
      <c r="E121" s="678"/>
      <c r="F121" s="682"/>
      <c r="G121" s="682"/>
    </row>
    <row r="122" spans="2:14" ht="18">
      <c r="B122" s="659" t="s">
        <v>1280</v>
      </c>
      <c r="C122" s="659"/>
      <c r="D122" s="659"/>
      <c r="E122" s="659"/>
      <c r="F122" s="659"/>
      <c r="G122" s="659"/>
      <c r="H122" s="659"/>
      <c r="I122" s="659"/>
      <c r="J122" s="659"/>
      <c r="K122" s="659"/>
      <c r="L122" s="659"/>
      <c r="M122" s="659"/>
      <c r="N122" s="659"/>
    </row>
    <row r="123" spans="2:14">
      <c r="B123" s="678"/>
      <c r="C123" s="678"/>
      <c r="D123" s="678"/>
      <c r="E123" s="678"/>
      <c r="F123" s="682"/>
      <c r="G123" s="682"/>
    </row>
    <row r="124" spans="2:14">
      <c r="B124" s="678" t="s">
        <v>1281</v>
      </c>
      <c r="C124" s="547"/>
      <c r="D124" s="547"/>
      <c r="E124" s="547"/>
      <c r="F124" s="547"/>
      <c r="G124" s="682"/>
    </row>
    <row r="125" spans="2:14">
      <c r="B125" s="692" t="s">
        <v>135</v>
      </c>
      <c r="C125" s="547"/>
      <c r="D125" s="547"/>
      <c r="E125" s="547"/>
      <c r="F125" s="547"/>
      <c r="G125" s="682"/>
    </row>
    <row r="126" spans="2:14">
      <c r="B126" s="692" t="s">
        <v>129</v>
      </c>
      <c r="C126" s="547"/>
      <c r="D126" s="547"/>
      <c r="E126" s="547"/>
      <c r="F126" s="547"/>
      <c r="G126" s="682"/>
    </row>
    <row r="127" spans="2:14">
      <c r="B127" s="692" t="s">
        <v>1282</v>
      </c>
      <c r="C127" s="547"/>
      <c r="D127" s="547"/>
      <c r="E127" s="547"/>
      <c r="F127" s="547"/>
      <c r="G127" s="682"/>
    </row>
    <row r="128" spans="2:14">
      <c r="B128" s="692" t="s">
        <v>660</v>
      </c>
      <c r="C128" s="547"/>
      <c r="D128" s="547"/>
      <c r="E128" s="547"/>
      <c r="F128" s="871"/>
      <c r="G128" s="682"/>
    </row>
    <row r="129" spans="2:14">
      <c r="B129" s="692" t="s">
        <v>1089</v>
      </c>
      <c r="C129" s="547"/>
      <c r="D129" s="547"/>
      <c r="E129" s="547"/>
      <c r="F129" s="547"/>
      <c r="G129" s="682"/>
    </row>
    <row r="130" spans="2:14">
      <c r="B130" s="692" t="s">
        <v>199</v>
      </c>
      <c r="C130" s="547"/>
      <c r="D130" s="547"/>
      <c r="E130" s="547"/>
      <c r="F130" s="547"/>
      <c r="G130" s="682"/>
    </row>
    <row r="131" spans="2:14">
      <c r="B131" s="692" t="s">
        <v>1283</v>
      </c>
      <c r="C131" s="547"/>
      <c r="D131" s="547"/>
      <c r="E131" s="547"/>
      <c r="F131" s="547"/>
      <c r="G131" s="682"/>
    </row>
    <row r="132" spans="2:14">
      <c r="B132" s="692" t="s">
        <v>267</v>
      </c>
      <c r="C132" s="547"/>
      <c r="D132" s="547"/>
      <c r="E132" s="547"/>
      <c r="F132" s="547"/>
      <c r="G132" s="682"/>
    </row>
    <row r="133" spans="2:14">
      <c r="B133" s="692" t="s">
        <v>1284</v>
      </c>
      <c r="C133" s="547"/>
      <c r="D133" s="547"/>
      <c r="E133" s="547"/>
      <c r="F133" s="547"/>
      <c r="G133" s="682"/>
    </row>
    <row r="134" spans="2:14">
      <c r="B134" s="692" t="s">
        <v>1091</v>
      </c>
      <c r="C134" s="547"/>
      <c r="D134" s="547"/>
      <c r="E134" s="547"/>
      <c r="F134" s="547"/>
      <c r="G134" s="682"/>
    </row>
    <row r="135" spans="2:14">
      <c r="B135" s="692" t="s">
        <v>1285</v>
      </c>
      <c r="C135" s="547"/>
      <c r="D135" s="547"/>
      <c r="E135" s="547"/>
      <c r="F135" s="547"/>
      <c r="G135" s="682"/>
    </row>
    <row r="136" spans="2:14">
      <c r="B136" s="692" t="s">
        <v>788</v>
      </c>
      <c r="C136" s="547"/>
      <c r="D136" s="547"/>
      <c r="E136" s="547"/>
      <c r="F136" s="547"/>
      <c r="G136" s="682"/>
    </row>
    <row r="137" spans="2:14">
      <c r="B137" s="678"/>
      <c r="C137" s="678"/>
      <c r="D137" s="678"/>
      <c r="E137" s="678"/>
      <c r="F137" s="682"/>
      <c r="G137" s="682"/>
    </row>
    <row r="139" spans="2:14" ht="18">
      <c r="B139" s="659" t="s">
        <v>1034</v>
      </c>
      <c r="C139" s="659"/>
      <c r="D139" s="659"/>
      <c r="E139" s="659"/>
      <c r="F139" s="659"/>
      <c r="G139" s="659"/>
      <c r="H139" s="659"/>
      <c r="I139" s="659"/>
      <c r="J139" s="659"/>
      <c r="K139" s="659"/>
      <c r="L139" s="659"/>
      <c r="M139" s="659"/>
      <c r="N139" s="659"/>
    </row>
    <row r="141" spans="2:14" ht="17.25" thickBot="1">
      <c r="B141" s="978" t="s">
        <v>86</v>
      </c>
      <c r="C141" s="978"/>
      <c r="D141" s="677"/>
      <c r="E141" s="677"/>
      <c r="F141" s="677"/>
      <c r="G141" s="677"/>
    </row>
    <row r="142" spans="2:14" ht="18">
      <c r="B142" s="668" t="s">
        <v>1035</v>
      </c>
      <c r="C142" s="668"/>
      <c r="D142" s="631"/>
      <c r="E142" s="675"/>
      <c r="F142" s="633"/>
      <c r="G142" s="640"/>
      <c r="H142" s="640"/>
      <c r="I142" s="640"/>
      <c r="J142" s="631"/>
      <c r="K142" s="631"/>
      <c r="L142" s="631"/>
      <c r="M142" s="631"/>
      <c r="N142" s="631"/>
    </row>
    <row r="143" spans="2:14">
      <c r="B143" s="665" t="s">
        <v>267</v>
      </c>
      <c r="C143" s="665"/>
      <c r="D143" s="632"/>
      <c r="E143" s="633"/>
      <c r="F143" s="633"/>
      <c r="G143" s="474"/>
      <c r="H143" s="671"/>
      <c r="I143" s="671"/>
      <c r="J143" s="663" t="e">
        <f t="shared" ref="J143:N143" si="18">#REF!</f>
        <v>#REF!</v>
      </c>
      <c r="K143" s="663" t="e">
        <f t="shared" si="18"/>
        <v>#REF!</v>
      </c>
      <c r="L143" s="663" t="e">
        <f t="shared" si="18"/>
        <v>#REF!</v>
      </c>
      <c r="M143" s="663" t="e">
        <f t="shared" si="18"/>
        <v>#REF!</v>
      </c>
      <c r="N143" s="663" t="e">
        <f t="shared" si="18"/>
        <v>#REF!</v>
      </c>
    </row>
    <row r="144" spans="2:14">
      <c r="B144" s="665" t="s">
        <v>1093</v>
      </c>
      <c r="C144" s="665"/>
      <c r="D144" s="632"/>
      <c r="E144" s="633"/>
      <c r="F144" s="633"/>
      <c r="G144" s="474"/>
      <c r="H144" s="671"/>
      <c r="I144" s="671"/>
      <c r="J144" s="663">
        <f>-J81</f>
        <v>0</v>
      </c>
      <c r="K144" s="663">
        <f>-K81</f>
        <v>0</v>
      </c>
      <c r="L144" s="663">
        <f>-L81</f>
        <v>0</v>
      </c>
      <c r="M144" s="663">
        <f>-M81</f>
        <v>0</v>
      </c>
      <c r="N144" s="663">
        <f>-N81</f>
        <v>0</v>
      </c>
    </row>
    <row r="145" spans="2:14">
      <c r="B145" s="665" t="s">
        <v>978</v>
      </c>
      <c r="C145" s="665"/>
      <c r="D145" s="632"/>
      <c r="E145" s="633"/>
      <c r="F145" s="633"/>
      <c r="G145" s="671"/>
      <c r="H145" s="671"/>
      <c r="I145" s="671"/>
      <c r="J145" s="663" t="e">
        <v>#REF!</v>
      </c>
      <c r="K145" s="663" t="e">
        <v>#REF!</v>
      </c>
      <c r="L145" s="663" t="e">
        <v>#REF!</v>
      </c>
      <c r="M145" s="663" t="e">
        <v>#REF!</v>
      </c>
      <c r="N145" s="663" t="e">
        <v>#REF!</v>
      </c>
    </row>
    <row r="146" spans="2:14">
      <c r="B146" s="665" t="s">
        <v>1036</v>
      </c>
      <c r="C146" s="665"/>
      <c r="D146" s="632"/>
      <c r="E146" s="633"/>
      <c r="F146" s="633"/>
      <c r="G146" s="671"/>
      <c r="H146" s="671"/>
      <c r="I146" s="671"/>
      <c r="J146" s="634" t="e">
        <f t="shared" ref="J146:N146" si="19">#REF!</f>
        <v>#REF!</v>
      </c>
      <c r="K146" s="634" t="e">
        <f t="shared" si="19"/>
        <v>#REF!</v>
      </c>
      <c r="L146" s="634" t="e">
        <f t="shared" si="19"/>
        <v>#REF!</v>
      </c>
      <c r="M146" s="634" t="e">
        <f t="shared" si="19"/>
        <v>#REF!</v>
      </c>
      <c r="N146" s="634" t="e">
        <f t="shared" si="19"/>
        <v>#REF!</v>
      </c>
    </row>
    <row r="147" spans="2:14" ht="17.25" thickBot="1">
      <c r="B147" s="665" t="s">
        <v>1037</v>
      </c>
      <c r="C147" s="665"/>
      <c r="D147" s="637"/>
      <c r="E147" s="676"/>
      <c r="F147" s="676"/>
      <c r="G147" s="671"/>
      <c r="H147" s="671"/>
      <c r="I147" s="671"/>
      <c r="J147" s="672" t="e">
        <f>SUM(J143:J146)</f>
        <v>#REF!</v>
      </c>
      <c r="K147" s="672" t="e">
        <f>SUM(K143:K146)</f>
        <v>#REF!</v>
      </c>
      <c r="L147" s="672" t="e">
        <f t="shared" ref="L147:N147" si="20">SUM(L143:L146)</f>
        <v>#REF!</v>
      </c>
      <c r="M147" s="672" t="e">
        <f>SUM(M143:M146)</f>
        <v>#REF!</v>
      </c>
      <c r="N147" s="672" t="e">
        <f t="shared" si="20"/>
        <v>#REF!</v>
      </c>
    </row>
    <row r="149" spans="2:14" ht="17.25" thickBot="1">
      <c r="B149" s="979" t="s">
        <v>1088</v>
      </c>
      <c r="C149" s="980"/>
      <c r="D149" s="981"/>
      <c r="E149" s="981"/>
      <c r="F149" s="981"/>
      <c r="G149" s="981"/>
    </row>
    <row r="151" spans="2:14">
      <c r="B151" s="692" t="s">
        <v>135</v>
      </c>
      <c r="C151" s="692"/>
      <c r="D151" s="547"/>
      <c r="E151" s="547"/>
      <c r="F151" s="547"/>
      <c r="G151" s="547"/>
      <c r="H151" s="547"/>
      <c r="I151" s="693"/>
      <c r="J151" s="694">
        <v>0</v>
      </c>
    </row>
    <row r="152" spans="2:14">
      <c r="B152" s="692" t="s">
        <v>129</v>
      </c>
      <c r="C152" s="692"/>
      <c r="D152" s="547"/>
      <c r="E152" s="547"/>
      <c r="F152" s="547"/>
      <c r="G152" s="547"/>
      <c r="H152" s="547"/>
      <c r="I152" s="693"/>
      <c r="J152" s="694">
        <v>0</v>
      </c>
    </row>
    <row r="153" spans="2:14">
      <c r="B153" s="692" t="s">
        <v>1089</v>
      </c>
      <c r="C153" s="692"/>
      <c r="D153" s="547"/>
      <c r="E153" s="547"/>
      <c r="F153" s="547"/>
      <c r="G153" s="547"/>
      <c r="H153" s="547"/>
      <c r="I153" s="693"/>
      <c r="J153" s="694">
        <v>0</v>
      </c>
    </row>
    <row r="154" spans="2:14">
      <c r="B154" s="692" t="s">
        <v>1090</v>
      </c>
      <c r="C154" s="692"/>
      <c r="D154" s="547"/>
      <c r="E154" s="547"/>
      <c r="F154" s="547"/>
      <c r="G154" s="547"/>
      <c r="H154" s="547"/>
      <c r="I154" s="547"/>
      <c r="J154" s="694">
        <v>0</v>
      </c>
    </row>
    <row r="155" spans="2:14">
      <c r="B155" s="692" t="s">
        <v>1091</v>
      </c>
      <c r="C155" s="692"/>
      <c r="D155" s="547"/>
      <c r="E155" s="547"/>
      <c r="F155" s="547"/>
      <c r="G155" s="547"/>
      <c r="H155" s="547"/>
      <c r="I155" s="547"/>
      <c r="J155" s="694">
        <v>0</v>
      </c>
    </row>
    <row r="156" spans="2:14" ht="17.25" thickBot="1">
      <c r="B156" s="692" t="s">
        <v>1092</v>
      </c>
      <c r="C156" s="692"/>
      <c r="D156" s="547"/>
      <c r="E156" s="547"/>
      <c r="F156" s="547"/>
      <c r="G156" s="547"/>
      <c r="H156" s="547"/>
      <c r="I156" s="547"/>
      <c r="J156" s="695">
        <f>SUM(J151:J155)</f>
        <v>0</v>
      </c>
    </row>
    <row r="158" spans="2:14" ht="17.25" thickBot="1">
      <c r="B158" s="976" t="s">
        <v>1094</v>
      </c>
      <c r="C158" s="977"/>
      <c r="D158" s="677"/>
      <c r="E158" s="677"/>
      <c r="F158" s="677"/>
      <c r="G158" s="677"/>
    </row>
    <row r="160" spans="2:14">
      <c r="B160" s="15" t="s">
        <v>234</v>
      </c>
      <c r="D160" s="1018" t="s">
        <v>1425</v>
      </c>
      <c r="E160" s="1019"/>
      <c r="F160" s="1019"/>
      <c r="G160" s="1019"/>
      <c r="H160" s="1013">
        <v>100</v>
      </c>
    </row>
    <row r="161" spans="2:8">
      <c r="B161" s="2" t="s">
        <v>214</v>
      </c>
      <c r="D161" s="1020"/>
      <c r="E161" s="1020"/>
      <c r="F161" s="1020"/>
      <c r="G161" s="1020"/>
      <c r="H161" s="1021"/>
    </row>
    <row r="162" spans="2:8">
      <c r="B162" s="66" t="s">
        <v>215</v>
      </c>
      <c r="D162" s="1022" t="s">
        <v>267</v>
      </c>
      <c r="E162" s="1023"/>
      <c r="F162" s="1023"/>
      <c r="G162" s="1023"/>
      <c r="H162" s="1024">
        <v>25</v>
      </c>
    </row>
    <row r="163" spans="2:8">
      <c r="B163" s="137" t="s">
        <v>216</v>
      </c>
      <c r="D163" s="1015" t="s">
        <v>1424</v>
      </c>
      <c r="E163" s="1017"/>
      <c r="F163" s="1017"/>
      <c r="G163" s="1017"/>
      <c r="H163" s="1025">
        <v>-5</v>
      </c>
    </row>
    <row r="164" spans="2:8">
      <c r="B164" s="15" t="s">
        <v>217</v>
      </c>
      <c r="D164" s="1026" t="s">
        <v>199</v>
      </c>
      <c r="E164" s="1027"/>
      <c r="F164" s="1027"/>
      <c r="G164" s="1027"/>
      <c r="H164" s="1028">
        <v>20</v>
      </c>
    </row>
    <row r="165" spans="2:8">
      <c r="B165" s="2" t="s">
        <v>218</v>
      </c>
      <c r="D165" s="1022" t="s">
        <v>220</v>
      </c>
      <c r="E165" s="1023"/>
      <c r="F165" s="1023"/>
      <c r="G165" s="1023"/>
      <c r="H165" s="1025">
        <v>-8</v>
      </c>
    </row>
    <row r="166" spans="2:8">
      <c r="B166" s="35" t="s">
        <v>219</v>
      </c>
      <c r="D166" s="1029" t="s">
        <v>212</v>
      </c>
      <c r="E166" s="1030"/>
      <c r="F166" s="1030"/>
      <c r="G166" s="1030"/>
      <c r="H166" s="1028">
        <v>12</v>
      </c>
    </row>
    <row r="167" spans="2:8">
      <c r="B167" s="66" t="s">
        <v>220</v>
      </c>
      <c r="D167" s="1022" t="s">
        <v>1423</v>
      </c>
      <c r="E167" s="1023"/>
      <c r="F167" s="1023"/>
      <c r="G167" s="1023"/>
      <c r="H167" s="1025">
        <v>5</v>
      </c>
    </row>
    <row r="168" spans="2:8">
      <c r="B168" s="35" t="s">
        <v>135</v>
      </c>
      <c r="D168" s="1022" t="s">
        <v>1422</v>
      </c>
      <c r="E168" s="1023"/>
      <c r="F168" s="1023"/>
      <c r="G168" s="1023"/>
      <c r="H168" s="1025">
        <v>-5</v>
      </c>
    </row>
    <row r="169" spans="2:8">
      <c r="B169" s="35" t="s">
        <v>221</v>
      </c>
      <c r="D169" s="1022" t="s">
        <v>1421</v>
      </c>
      <c r="E169" s="1023"/>
      <c r="F169" s="1023"/>
      <c r="G169" s="1023"/>
      <c r="H169" s="1025">
        <v>-2</v>
      </c>
    </row>
    <row r="170" spans="2:8">
      <c r="B170" s="35" t="s">
        <v>217</v>
      </c>
      <c r="D170" s="1031" t="s">
        <v>203</v>
      </c>
      <c r="E170" s="1032"/>
      <c r="F170" s="1032"/>
      <c r="G170" s="1032"/>
      <c r="H170" s="1033">
        <v>10</v>
      </c>
    </row>
    <row r="171" spans="2:8">
      <c r="B171" s="35" t="s">
        <v>220</v>
      </c>
      <c r="D171" s="1020"/>
      <c r="E171" s="1020"/>
      <c r="F171" s="1020"/>
      <c r="G171" s="1020"/>
      <c r="H171" s="1034"/>
    </row>
    <row r="172" spans="2:8">
      <c r="B172" s="35" t="s">
        <v>212</v>
      </c>
      <c r="D172" s="1035" t="s">
        <v>1415</v>
      </c>
      <c r="E172" s="1036"/>
      <c r="F172" s="1036"/>
      <c r="G172" s="1036"/>
      <c r="H172" s="1037"/>
    </row>
    <row r="173" spans="2:8">
      <c r="B173" s="133" t="s">
        <v>222</v>
      </c>
      <c r="D173" s="1040" t="s">
        <v>269</v>
      </c>
      <c r="E173" s="1041"/>
      <c r="F173" s="1041"/>
      <c r="G173" s="1041"/>
      <c r="H173" s="1042">
        <v>0.25</v>
      </c>
    </row>
    <row r="174" spans="2:8">
      <c r="B174" s="137" t="s">
        <v>135</v>
      </c>
      <c r="D174" s="1038" t="s">
        <v>1414</v>
      </c>
      <c r="E174" s="1039"/>
      <c r="F174" s="1039"/>
      <c r="G174" s="1039"/>
      <c r="H174" s="1014">
        <v>0.05</v>
      </c>
    </row>
    <row r="175" spans="2:8">
      <c r="B175" s="2" t="s">
        <v>223</v>
      </c>
      <c r="D175" s="1038" t="s">
        <v>1440</v>
      </c>
      <c r="E175" s="1039"/>
      <c r="F175" s="1039"/>
      <c r="G175" s="1039"/>
      <c r="H175" s="1016">
        <v>0.2</v>
      </c>
    </row>
    <row r="176" spans="2:8">
      <c r="B176" s="2" t="s">
        <v>224</v>
      </c>
      <c r="D176" s="1038" t="s">
        <v>660</v>
      </c>
      <c r="E176" s="1039"/>
      <c r="F176" s="1039"/>
      <c r="G176" s="1039"/>
      <c r="H176" s="1014">
        <v>0.4</v>
      </c>
    </row>
    <row r="177" spans="2:8">
      <c r="B177" s="66" t="s">
        <v>217</v>
      </c>
      <c r="D177" s="1038" t="s">
        <v>1413</v>
      </c>
      <c r="E177" s="1039"/>
      <c r="F177" s="1039"/>
      <c r="G177" s="1039"/>
      <c r="H177" s="1014">
        <v>0.05</v>
      </c>
    </row>
    <row r="178" spans="2:8">
      <c r="B178" s="15" t="s">
        <v>220</v>
      </c>
      <c r="D178" s="1038" t="s">
        <v>1412</v>
      </c>
      <c r="E178" s="1039"/>
      <c r="F178" s="1039"/>
      <c r="G178" s="1039"/>
      <c r="H178" s="1014">
        <v>0.02</v>
      </c>
    </row>
    <row r="179" spans="2:8">
      <c r="B179" s="15" t="s">
        <v>212</v>
      </c>
    </row>
    <row r="180" spans="2:8">
      <c r="B180" s="35" t="s">
        <v>207</v>
      </c>
    </row>
    <row r="181" spans="2:8">
      <c r="B181" s="35" t="s">
        <v>208</v>
      </c>
    </row>
    <row r="182" spans="2:8">
      <c r="B182" s="35" t="s">
        <v>209</v>
      </c>
    </row>
    <row r="183" spans="2:8">
      <c r="B183" s="35" t="s">
        <v>210</v>
      </c>
    </row>
    <row r="184" spans="2:8">
      <c r="B184" s="35" t="s">
        <v>211</v>
      </c>
    </row>
    <row r="185" spans="2:8">
      <c r="B185" s="133" t="s">
        <v>203</v>
      </c>
    </row>
    <row r="188" spans="2:8" ht="17.25" thickBot="1">
      <c r="B188" s="975" t="s">
        <v>1182</v>
      </c>
      <c r="C188" s="677"/>
      <c r="D188" s="677"/>
      <c r="E188" s="677"/>
      <c r="F188" s="677"/>
    </row>
    <row r="190" spans="2:8">
      <c r="B190" t="s">
        <v>86</v>
      </c>
      <c r="C190">
        <f>0</f>
        <v>0</v>
      </c>
      <c r="D190">
        <f>0</f>
        <v>0</v>
      </c>
      <c r="E190">
        <f>0</f>
        <v>0</v>
      </c>
    </row>
    <row r="192" spans="2:8">
      <c r="B192" t="s">
        <v>1183</v>
      </c>
    </row>
    <row r="193" spans="2:6">
      <c r="B193" t="s">
        <v>1184</v>
      </c>
      <c r="C193">
        <f>0</f>
        <v>0</v>
      </c>
      <c r="D193">
        <f>0</f>
        <v>0</v>
      </c>
      <c r="E193">
        <f>0</f>
        <v>0</v>
      </c>
    </row>
    <row r="194" spans="2:6">
      <c r="B194" t="s">
        <v>1186</v>
      </c>
      <c r="C194">
        <f>0</f>
        <v>0</v>
      </c>
      <c r="D194">
        <f>0</f>
        <v>0</v>
      </c>
      <c r="E194">
        <f>0</f>
        <v>0</v>
      </c>
    </row>
    <row r="195" spans="2:6">
      <c r="B195" t="s">
        <v>1185</v>
      </c>
    </row>
    <row r="197" spans="2:6">
      <c r="B197" t="s">
        <v>1182</v>
      </c>
      <c r="C197">
        <f t="shared" ref="C197:E197" si="21">+C190+C193+C194</f>
        <v>0</v>
      </c>
      <c r="D197">
        <f t="shared" si="21"/>
        <v>0</v>
      </c>
      <c r="E197">
        <f t="shared" si="21"/>
        <v>0</v>
      </c>
    </row>
    <row r="199" spans="2:6">
      <c r="B199" s="991" t="s">
        <v>1425</v>
      </c>
      <c r="C199" s="992"/>
      <c r="D199" s="992"/>
      <c r="E199" s="992"/>
      <c r="F199" s="1006">
        <v>100</v>
      </c>
    </row>
    <row r="200" spans="2:6">
      <c r="B200" s="997"/>
      <c r="C200" s="997"/>
      <c r="D200" s="997"/>
      <c r="E200" s="997"/>
      <c r="F200" s="1007"/>
    </row>
    <row r="201" spans="2:6">
      <c r="B201" s="982" t="s">
        <v>1436</v>
      </c>
      <c r="C201" s="983"/>
      <c r="D201" s="983"/>
      <c r="E201" s="983"/>
      <c r="F201" s="984"/>
    </row>
    <row r="202" spans="2:6">
      <c r="B202" s="985" t="s">
        <v>135</v>
      </c>
      <c r="C202" s="986"/>
      <c r="D202" s="986"/>
      <c r="E202" s="986"/>
      <c r="F202" s="987">
        <f>+F216*F$5</f>
        <v>0</v>
      </c>
    </row>
    <row r="203" spans="2:6">
      <c r="B203" s="988" t="s">
        <v>1423</v>
      </c>
      <c r="C203" s="989"/>
      <c r="D203" s="989"/>
      <c r="E203" s="989"/>
      <c r="F203" s="990">
        <f>F217*F$5</f>
        <v>0</v>
      </c>
    </row>
    <row r="204" spans="2:6">
      <c r="B204" s="991" t="s">
        <v>1422</v>
      </c>
      <c r="C204" s="992"/>
      <c r="D204" s="992"/>
      <c r="E204" s="992"/>
      <c r="F204" s="990">
        <f>-F219*F$5</f>
        <v>0</v>
      </c>
    </row>
    <row r="205" spans="2:6">
      <c r="B205" s="991" t="s">
        <v>1421</v>
      </c>
      <c r="C205" s="992"/>
      <c r="D205" s="992"/>
      <c r="E205" s="992"/>
      <c r="F205" s="990">
        <f>-F220*F$5</f>
        <v>0</v>
      </c>
    </row>
    <row r="206" spans="2:6">
      <c r="B206" s="991" t="s">
        <v>1419</v>
      </c>
      <c r="C206" s="992"/>
      <c r="D206" s="992"/>
      <c r="E206" s="992"/>
      <c r="F206" s="993">
        <v>-5</v>
      </c>
    </row>
    <row r="207" spans="2:6">
      <c r="B207" s="994" t="s">
        <v>1418</v>
      </c>
      <c r="C207" s="995"/>
      <c r="D207" s="995"/>
      <c r="E207" s="995"/>
      <c r="F207" s="996">
        <f>+SUM(F202:F206)</f>
        <v>-5</v>
      </c>
    </row>
    <row r="208" spans="2:6">
      <c r="B208" s="997"/>
      <c r="C208" s="997"/>
      <c r="D208" s="997"/>
      <c r="E208" s="997"/>
      <c r="F208" s="998"/>
    </row>
    <row r="209" spans="2:6">
      <c r="B209" s="999" t="s">
        <v>1437</v>
      </c>
      <c r="C209" s="1000"/>
      <c r="D209" s="1000"/>
      <c r="E209" s="1000"/>
      <c r="F209" s="1001"/>
    </row>
    <row r="210" spans="2:6">
      <c r="B210" s="1002" t="s">
        <v>1438</v>
      </c>
      <c r="C210" s="1003"/>
      <c r="D210" s="1003"/>
      <c r="E210" s="986"/>
      <c r="F210" s="987">
        <f>SUM(F202,F203,F205)</f>
        <v>0</v>
      </c>
    </row>
    <row r="211" spans="2:6">
      <c r="B211" s="1004" t="s">
        <v>1422</v>
      </c>
      <c r="C211" s="1005"/>
      <c r="D211" s="1005"/>
      <c r="E211" s="992"/>
      <c r="F211" s="990">
        <f>+F204</f>
        <v>0</v>
      </c>
    </row>
    <row r="212" spans="2:6">
      <c r="B212" s="1004" t="s">
        <v>1419</v>
      </c>
      <c r="C212" s="1005"/>
      <c r="D212" s="1005"/>
      <c r="E212" s="992"/>
      <c r="F212" s="990">
        <f>+F206</f>
        <v>-5</v>
      </c>
    </row>
    <row r="213" spans="2:6">
      <c r="B213" s="994" t="s">
        <v>1418</v>
      </c>
      <c r="C213" s="995"/>
      <c r="D213" s="995"/>
      <c r="E213" s="995"/>
      <c r="F213" s="996">
        <f>+SUM(F210:F212)</f>
        <v>-5</v>
      </c>
    </row>
    <row r="214" spans="2:6">
      <c r="B214" s="997"/>
      <c r="C214" s="997"/>
      <c r="D214" s="997"/>
      <c r="E214" s="997"/>
      <c r="F214" s="998"/>
    </row>
    <row r="215" spans="2:6">
      <c r="B215" s="1008" t="s">
        <v>1415</v>
      </c>
      <c r="C215" s="1009"/>
      <c r="D215" s="1009"/>
      <c r="E215" s="1009"/>
      <c r="F215" s="1010"/>
    </row>
    <row r="216" spans="2:6">
      <c r="B216" s="1002" t="s">
        <v>1439</v>
      </c>
      <c r="C216" s="1003"/>
      <c r="D216" s="1003"/>
      <c r="E216" s="1003"/>
      <c r="F216" s="1011">
        <v>0.1</v>
      </c>
    </row>
    <row r="217" spans="2:6">
      <c r="B217" s="1004" t="s">
        <v>1414</v>
      </c>
      <c r="C217" s="1005"/>
      <c r="D217" s="1005"/>
      <c r="E217" s="1005"/>
      <c r="F217" s="1012">
        <v>0.05</v>
      </c>
    </row>
    <row r="218" spans="2:6">
      <c r="B218" s="1004" t="s">
        <v>660</v>
      </c>
      <c r="C218" s="1005"/>
      <c r="D218" s="1005"/>
      <c r="E218" s="1005"/>
      <c r="F218" s="1012">
        <v>0.4</v>
      </c>
    </row>
    <row r="219" spans="2:6">
      <c r="B219" s="1004" t="s">
        <v>1413</v>
      </c>
      <c r="C219" s="1005"/>
      <c r="D219" s="1005"/>
      <c r="E219" s="1005"/>
      <c r="F219" s="1012">
        <v>0.03</v>
      </c>
    </row>
    <row r="220" spans="2:6">
      <c r="B220" s="1004" t="s">
        <v>1412</v>
      </c>
      <c r="C220" s="1005"/>
      <c r="D220" s="1005"/>
      <c r="E220" s="1005"/>
      <c r="F220" s="1012">
        <v>0.02</v>
      </c>
    </row>
    <row r="221" spans="2:6">
      <c r="B221" s="1005"/>
      <c r="C221" s="1005"/>
      <c r="D221" s="1005"/>
      <c r="E221" s="1005"/>
      <c r="F221" s="1005"/>
    </row>
    <row r="222" spans="2:6">
      <c r="B222" s="1005"/>
      <c r="C222" s="1005"/>
      <c r="D222" s="1005"/>
      <c r="E222" s="1005"/>
      <c r="F222" s="1005"/>
    </row>
    <row r="223" spans="2:6">
      <c r="B223" s="1116" t="s">
        <v>199</v>
      </c>
      <c r="C223" s="1117">
        <f t="shared" ref="C223:D223" si="22">C212</f>
        <v>0</v>
      </c>
      <c r="D223" s="1117">
        <f t="shared" si="22"/>
        <v>0</v>
      </c>
    </row>
    <row r="224" spans="2:6">
      <c r="B224" s="1116" t="s">
        <v>1539</v>
      </c>
      <c r="C224" s="1117"/>
      <c r="D224" s="1117">
        <f t="shared" ref="D224" si="23">$C$8*C236</f>
        <v>0</v>
      </c>
    </row>
    <row r="225" spans="2:4">
      <c r="B225" s="1116" t="s">
        <v>995</v>
      </c>
      <c r="C225" s="1117"/>
      <c r="D225" s="1117">
        <f t="shared" ref="D225" si="24">D223-D224</f>
        <v>0</v>
      </c>
    </row>
    <row r="226" spans="2:4">
      <c r="B226" s="1116" t="s">
        <v>1039</v>
      </c>
      <c r="C226" s="1117"/>
      <c r="D226" s="1117">
        <f t="shared" ref="D226" si="25">$C$5*D225</f>
        <v>0</v>
      </c>
    </row>
    <row r="227" spans="2:4">
      <c r="B227" s="1116" t="s">
        <v>135</v>
      </c>
      <c r="C227" s="1117"/>
      <c r="D227" s="1117">
        <f t="shared" ref="D227" si="26">D225-D226</f>
        <v>0</v>
      </c>
    </row>
    <row r="228" spans="2:4">
      <c r="B228" s="1116" t="s">
        <v>1540</v>
      </c>
      <c r="C228" s="1117"/>
      <c r="D228" s="1117">
        <f t="shared" ref="D228" si="27">D215</f>
        <v>0</v>
      </c>
    </row>
    <row r="229" spans="2:4">
      <c r="B229" s="1116" t="s">
        <v>1541</v>
      </c>
      <c r="C229" s="1117"/>
      <c r="D229" s="1117">
        <f t="shared" ref="D229" si="28">D236-C236</f>
        <v>0</v>
      </c>
    </row>
    <row r="230" spans="2:4">
      <c r="B230" s="1116" t="s">
        <v>1182</v>
      </c>
      <c r="C230" s="1117"/>
      <c r="D230" s="1117">
        <f t="shared" ref="D230" si="29">D227-D228+D229</f>
        <v>0</v>
      </c>
    </row>
  </sheetData>
  <conditionalFormatting sqref="B6">
    <cfRule type="containsText" dxfId="10" priority="1" operator="containsText" text="OK">
      <formula>NOT(ISERROR(SEARCH("OK",B6)))</formula>
    </cfRule>
    <cfRule type="containsText" dxfId="9" priority="2" operator="containsText" text="ERROR">
      <formula>NOT(ISERROR(SEARCH("ERROR",B6)))</formula>
    </cfRule>
  </conditionalFormatting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B9033-F22E-4353-B9C6-D1FF930C23EE}">
  <dimension ref="A1:Q57"/>
  <sheetViews>
    <sheetView workbookViewId="0">
      <selection activeCell="I55" sqref="I55"/>
    </sheetView>
  </sheetViews>
  <sheetFormatPr defaultRowHeight="16.5"/>
  <sheetData>
    <row r="1" spans="1:17">
      <c r="A1" s="1060"/>
      <c r="B1" s="1057"/>
      <c r="C1" s="1057"/>
      <c r="D1" s="1057"/>
      <c r="E1" s="1057"/>
      <c r="F1" s="1057"/>
      <c r="G1" s="1057"/>
      <c r="H1" s="1057"/>
      <c r="I1" s="1057"/>
      <c r="J1" s="1523"/>
      <c r="K1" s="1523"/>
      <c r="L1" s="1523"/>
      <c r="M1" s="1523"/>
      <c r="N1" s="1523"/>
      <c r="O1" s="1057"/>
      <c r="P1" s="1057"/>
      <c r="Q1" s="1057"/>
    </row>
    <row r="2" spans="1:17">
      <c r="A2" s="1057"/>
      <c r="B2" s="1057"/>
      <c r="C2" s="1057"/>
      <c r="D2" s="1057"/>
      <c r="E2" s="1524" t="s">
        <v>1978</v>
      </c>
      <c r="F2" s="1524"/>
      <c r="G2" s="1524"/>
      <c r="H2" s="1524"/>
      <c r="I2" s="1524" t="s">
        <v>1979</v>
      </c>
      <c r="J2" s="1524"/>
      <c r="K2" s="1524"/>
      <c r="L2" s="1524"/>
      <c r="M2" s="1524"/>
      <c r="N2" s="1057"/>
      <c r="O2" s="1057"/>
      <c r="P2" s="1057"/>
      <c r="Q2" s="1057"/>
    </row>
    <row r="3" spans="1:17">
      <c r="A3" s="1057"/>
      <c r="B3" s="1057"/>
      <c r="C3" s="1057"/>
      <c r="D3" s="1057"/>
      <c r="E3" s="1525" t="e">
        <f ca="1">INDIRECT(CONCATENATE("'",$D$3," Input'!J7"))</f>
        <v>#REF!</v>
      </c>
      <c r="F3" s="1525" t="e">
        <f ca="1">INDIRECT(CONCATENATE("'",$D$3," Input'!K7"))</f>
        <v>#REF!</v>
      </c>
      <c r="G3" s="1525" t="e">
        <f ca="1">INDIRECT(CONCATENATE("'",$D$3," Input'!L7"))</f>
        <v>#REF!</v>
      </c>
      <c r="H3" s="1525" t="e">
        <f ca="1">INDIRECT(CONCATENATE("'",$D$3," Input'!M7"))</f>
        <v>#REF!</v>
      </c>
      <c r="I3" s="1526" t="e">
        <f ca="1">H3+1</f>
        <v>#REF!</v>
      </c>
      <c r="J3" s="1526" t="e">
        <f ca="1">I3+1</f>
        <v>#REF!</v>
      </c>
      <c r="K3" s="1526" t="e">
        <f ca="1">J3+1</f>
        <v>#REF!</v>
      </c>
      <c r="L3" s="1526" t="e">
        <f t="shared" ref="L3:M3" ca="1" si="0">K3+1</f>
        <v>#REF!</v>
      </c>
      <c r="M3" s="1526" t="e">
        <f t="shared" ca="1" si="0"/>
        <v>#REF!</v>
      </c>
      <c r="N3" s="1057"/>
      <c r="O3" s="1057"/>
      <c r="P3" s="1057"/>
      <c r="Q3" s="1057"/>
    </row>
    <row r="4" spans="1:17">
      <c r="A4" s="1527" t="s">
        <v>1980</v>
      </c>
      <c r="B4" s="1528"/>
      <c r="C4" s="1528"/>
      <c r="D4" s="1528"/>
      <c r="E4" s="1528"/>
      <c r="F4" s="1528"/>
      <c r="G4" s="1528"/>
      <c r="H4" s="1528"/>
      <c r="I4" s="1528"/>
      <c r="J4" s="1528"/>
      <c r="K4" s="1528"/>
      <c r="L4" s="1528"/>
      <c r="M4" s="1528"/>
      <c r="N4" s="1057"/>
      <c r="O4" s="1057"/>
      <c r="P4" s="1057"/>
      <c r="Q4" s="1057"/>
    </row>
    <row r="5" spans="1:17">
      <c r="A5" s="1057"/>
      <c r="B5" s="1057" t="s">
        <v>313</v>
      </c>
      <c r="C5" s="1057"/>
      <c r="D5" s="1057"/>
      <c r="E5" s="1529"/>
      <c r="F5" s="1530"/>
      <c r="G5" s="1530"/>
      <c r="H5" s="1530"/>
      <c r="I5" s="1057"/>
      <c r="J5" s="1057"/>
      <c r="K5" s="1057"/>
      <c r="L5" s="1057"/>
      <c r="M5" s="1057"/>
      <c r="N5" s="1057"/>
      <c r="O5" s="1057"/>
      <c r="P5" s="1057"/>
      <c r="Q5" s="1057"/>
    </row>
    <row r="6" spans="1:17">
      <c r="A6" s="1057"/>
      <c r="B6" s="1057"/>
      <c r="C6" s="1057" t="s">
        <v>1901</v>
      </c>
      <c r="D6" s="1057"/>
      <c r="E6" s="1529" t="e">
        <f ca="1">INDIRECT(CONCATENATE($D$3,"_Receivable_",E$36))</f>
        <v>#REF!</v>
      </c>
      <c r="F6" s="1529" t="e">
        <f ca="1">INDIRECT(CONCATENATE($D$3,"_Receivable_",F$36))</f>
        <v>#REF!</v>
      </c>
      <c r="G6" s="1529" t="e">
        <f ca="1">INDIRECT(CONCATENATE($D$3,"_Receivable_",G$36))</f>
        <v>#REF!</v>
      </c>
      <c r="H6" s="1529" t="e">
        <f ca="1">INDIRECT(CONCATENATE($D$3,"_Receivable_",H$36))</f>
        <v>#REF!</v>
      </c>
      <c r="I6" s="1531">
        <f ca="1">IFERROR(I7*I$38/365,"")</f>
        <v>0</v>
      </c>
      <c r="J6" s="1531">
        <f ca="1">IFERROR(J7*J$38/365,"")</f>
        <v>0</v>
      </c>
      <c r="K6" s="1531">
        <f ca="1">IFERROR(K7*K$38/365,"")</f>
        <v>0</v>
      </c>
      <c r="L6" s="1531">
        <f ca="1">IFERROR(L7*L$38/365,"")</f>
        <v>0</v>
      </c>
      <c r="M6" s="1531">
        <f ca="1">IFERROR(M7*M$38/365,"")</f>
        <v>0</v>
      </c>
      <c r="N6" s="1057"/>
      <c r="O6" s="1057"/>
      <c r="P6" s="1057"/>
      <c r="Q6" s="1057"/>
    </row>
    <row r="7" spans="1:17">
      <c r="A7" s="1057"/>
      <c r="B7" s="1057"/>
      <c r="C7" s="1532" t="s">
        <v>1981</v>
      </c>
      <c r="D7" s="1057"/>
      <c r="E7" s="1533" t="str">
        <f ca="1">IFERROR(E6/E$38*365,"NA")</f>
        <v>NA</v>
      </c>
      <c r="F7" s="1533" t="str">
        <f ca="1">IFERROR(F6/F$38*365,"NA")</f>
        <v>NA</v>
      </c>
      <c r="G7" s="1533" t="str">
        <f ca="1">IFERROR(G6/G$38*365,"NA")</f>
        <v>NA</v>
      </c>
      <c r="H7" s="1533" t="str">
        <f ca="1">IFERROR(H6/H$38*365,"NA")</f>
        <v>NA</v>
      </c>
      <c r="I7" s="1534">
        <f>ASM_Receivables_2018</f>
        <v>77.052918224678919</v>
      </c>
      <c r="J7" s="1534">
        <f>ASM_Receivables_2019</f>
        <v>77.052918224678919</v>
      </c>
      <c r="K7" s="1534">
        <f>ASM_Receivables_2020</f>
        <v>77.052918224678919</v>
      </c>
      <c r="L7" s="1534">
        <f>ASM_Receivables_2021</f>
        <v>77.052918224678919</v>
      </c>
      <c r="M7" s="1534">
        <f>ASM_Receivables_2022</f>
        <v>77.052918224678919</v>
      </c>
      <c r="N7" s="1057"/>
      <c r="O7" s="1057"/>
      <c r="P7" s="1057"/>
      <c r="Q7" s="1057"/>
    </row>
    <row r="8" spans="1:17">
      <c r="A8" s="1057"/>
      <c r="B8" s="1057"/>
      <c r="C8" s="1057" t="s">
        <v>136</v>
      </c>
      <c r="D8" s="1057"/>
      <c r="E8" s="1529" t="e">
        <f ca="1">INDIRECT(CONCATENATE($D$3,"_Inventories_",E$36))</f>
        <v>#REF!</v>
      </c>
      <c r="F8" s="1529" t="e">
        <f ca="1">INDIRECT(CONCATENATE($D$3,"_Inventories_",F$36))</f>
        <v>#REF!</v>
      </c>
      <c r="G8" s="1529" t="e">
        <f ca="1">INDIRECT(CONCATENATE($D$3,"_Inventories_",G$36))</f>
        <v>#REF!</v>
      </c>
      <c r="H8" s="1529" t="e">
        <f ca="1">INDIRECT(CONCATENATE($D$3,"_Inventories_",H$36))</f>
        <v>#REF!</v>
      </c>
      <c r="I8" s="1531">
        <f ca="1">IFERROR(I9*I$38/365,"")</f>
        <v>0</v>
      </c>
      <c r="J8" s="1531">
        <f ca="1">IFERROR(J9*J$38/365,"")</f>
        <v>0</v>
      </c>
      <c r="K8" s="1531">
        <f ca="1">IFERROR(K9*K$38/365,"")</f>
        <v>0</v>
      </c>
      <c r="L8" s="1531">
        <f ca="1">IFERROR(L9*L$38/365,"")</f>
        <v>0</v>
      </c>
      <c r="M8" s="1531">
        <f ca="1">IFERROR(M9*M$38/365,"")</f>
        <v>0</v>
      </c>
      <c r="N8" s="1057"/>
      <c r="O8" s="1057"/>
      <c r="P8" s="1057"/>
      <c r="Q8" s="1057"/>
    </row>
    <row r="9" spans="1:17">
      <c r="A9" s="1057"/>
      <c r="B9" s="1057"/>
      <c r="C9" s="1532" t="s">
        <v>1914</v>
      </c>
      <c r="D9" s="1057"/>
      <c r="E9" s="1533" t="str">
        <f ca="1">IFERROR(E8/E$38*365,"NA")</f>
        <v>NA</v>
      </c>
      <c r="F9" s="1533" t="str">
        <f ca="1">IFERROR(F8/F$38*365,"NA")</f>
        <v>NA</v>
      </c>
      <c r="G9" s="1533" t="str">
        <f ca="1">IFERROR(G8/G$38*365,"NA")</f>
        <v>NA</v>
      </c>
      <c r="H9" s="1533" t="str">
        <f ca="1">IFERROR(H8/H$38*365,"NA")</f>
        <v>NA</v>
      </c>
      <c r="I9" s="1534">
        <f>ASM_Inventories_2018</f>
        <v>8.976307792353964</v>
      </c>
      <c r="J9" s="1534">
        <f>ASM_Inventories_2019</f>
        <v>8.976307792353964</v>
      </c>
      <c r="K9" s="1534">
        <f>ASM_Inventories_2020</f>
        <v>8.976307792353964</v>
      </c>
      <c r="L9" s="1534">
        <f>ASM_Inventories_2021</f>
        <v>8.976307792353964</v>
      </c>
      <c r="M9" s="1534">
        <f>ASM_Inventories_2022</f>
        <v>8.976307792353964</v>
      </c>
      <c r="N9" s="1057"/>
      <c r="O9" s="1057"/>
      <c r="P9" s="1057"/>
      <c r="Q9" s="1057"/>
    </row>
    <row r="10" spans="1:17">
      <c r="A10" s="1057"/>
      <c r="B10" s="1057"/>
      <c r="C10" s="1057" t="s">
        <v>1982</v>
      </c>
      <c r="D10" s="1057"/>
      <c r="E10" s="1529" t="e">
        <f ca="1">INDIRECT(CONCATENATE($D$3,"_Prepayments_",E$36))</f>
        <v>#REF!</v>
      </c>
      <c r="F10" s="1529" t="e">
        <f ca="1">INDIRECT(CONCATENATE($D$3,"_Prepayments_",F$36))</f>
        <v>#REF!</v>
      </c>
      <c r="G10" s="1529" t="e">
        <f ca="1">INDIRECT(CONCATENATE($D$3,"_Prepayments_",G$36))</f>
        <v>#REF!</v>
      </c>
      <c r="H10" s="1529" t="e">
        <f ca="1">INDIRECT(CONCATENATE($D$3,"_Prepayments_",H$36))</f>
        <v>#REF!</v>
      </c>
      <c r="I10" s="1535">
        <f ca="1">IFERROR(I$38*I11,"")</f>
        <v>0</v>
      </c>
      <c r="J10" s="1535">
        <f ca="1">IFERROR(J$38*J11,"")</f>
        <v>0</v>
      </c>
      <c r="K10" s="1535">
        <f ca="1">IFERROR(K$38*K11,"")</f>
        <v>0</v>
      </c>
      <c r="L10" s="1535">
        <f ca="1">IFERROR(L$38*L11,"")</f>
        <v>0</v>
      </c>
      <c r="M10" s="1535">
        <f ca="1">IFERROR(M$38*M11,"")</f>
        <v>0</v>
      </c>
      <c r="N10" s="1057"/>
      <c r="O10" s="1057"/>
      <c r="P10" s="1057"/>
      <c r="Q10" s="1057"/>
    </row>
    <row r="11" spans="1:17">
      <c r="A11" s="1057"/>
      <c r="B11" s="1057"/>
      <c r="C11" s="1532" t="s">
        <v>1983</v>
      </c>
      <c r="D11" s="1057"/>
      <c r="E11" s="1536" t="str">
        <f ca="1">IFERROR(E10/E$38,"NA")</f>
        <v>NA</v>
      </c>
      <c r="F11" s="1536" t="str">
        <f ca="1">IFERROR(F10/F$38,"NA")</f>
        <v>NA</v>
      </c>
      <c r="G11" s="1536" t="str">
        <f ca="1">IFERROR(G10/G$38,"NA")</f>
        <v>NA</v>
      </c>
      <c r="H11" s="1536" t="str">
        <f ca="1">IFERROR(H10/H$38,"NA")</f>
        <v>NA</v>
      </c>
      <c r="I11" s="1537">
        <f>ASM_Prepaids_2018</f>
        <v>6.0234108275077226E-2</v>
      </c>
      <c r="J11" s="1537">
        <f>ASM_Prepaids_2019</f>
        <v>6.0234108275077226E-2</v>
      </c>
      <c r="K11" s="1537">
        <f>ASM_Prepaids_2020</f>
        <v>6.0234108275077226E-2</v>
      </c>
      <c r="L11" s="1537">
        <f>ASM_Prepaids_2021</f>
        <v>6.0234108275077226E-2</v>
      </c>
      <c r="M11" s="1537">
        <f>ASM_Prepaids_2022</f>
        <v>6.0234108275077226E-2</v>
      </c>
      <c r="N11" s="1057"/>
      <c r="O11" s="1057"/>
      <c r="P11" s="1057"/>
      <c r="Q11" s="1057"/>
    </row>
    <row r="12" spans="1:17">
      <c r="A12" s="1057"/>
      <c r="B12" s="1057"/>
      <c r="C12" s="1057" t="s">
        <v>1984</v>
      </c>
      <c r="D12" s="1057"/>
      <c r="E12" s="1529" t="e">
        <f ca="1">INDIRECT(CONCATENATE($D$3,"_OtherCurrentAssets_",E$36))</f>
        <v>#REF!</v>
      </c>
      <c r="F12" s="1529" t="e">
        <f ca="1">INDIRECT(CONCATENATE($D$3,"_OtherCurrentAssets_",F$36))</f>
        <v>#REF!</v>
      </c>
      <c r="G12" s="1529" t="e">
        <f ca="1">INDIRECT(CONCATENATE($D$3,"_OtherCurrentAssets_",G$36))</f>
        <v>#REF!</v>
      </c>
      <c r="H12" s="1529" t="e">
        <f ca="1">INDIRECT(CONCATENATE($D$3,"_OtherCurrentAssets_",H$36))</f>
        <v>#REF!</v>
      </c>
      <c r="I12" s="1535">
        <f ca="1">IFERROR(I$38*I13,"")</f>
        <v>0</v>
      </c>
      <c r="J12" s="1535">
        <f ca="1">IFERROR(J$38*J13,"")</f>
        <v>0</v>
      </c>
      <c r="K12" s="1535">
        <f ca="1">IFERROR(K$38*K13,"")</f>
        <v>0</v>
      </c>
      <c r="L12" s="1535">
        <f ca="1">IFERROR(L$38*L13,"")</f>
        <v>0</v>
      </c>
      <c r="M12" s="1535">
        <f ca="1">IFERROR(M$38*M13,"")</f>
        <v>0</v>
      </c>
      <c r="N12" s="1057"/>
      <c r="O12" s="1057"/>
      <c r="P12" s="1057"/>
      <c r="Q12" s="1057"/>
    </row>
    <row r="13" spans="1:17">
      <c r="A13" s="1057"/>
      <c r="B13" s="1057"/>
      <c r="C13" s="1532" t="s">
        <v>1983</v>
      </c>
      <c r="D13" s="1057"/>
      <c r="E13" s="1536" t="str">
        <f ca="1">IFERROR(E12/E$38,"NA")</f>
        <v>NA</v>
      </c>
      <c r="F13" s="1536" t="str">
        <f ca="1">IFERROR(F12/F$38,"NA")</f>
        <v>NA</v>
      </c>
      <c r="G13" s="1536" t="str">
        <f ca="1">IFERROR(G12/G$38,"NA")</f>
        <v>NA</v>
      </c>
      <c r="H13" s="1536" t="str">
        <f ca="1">IFERROR(H12/H$38,"NA")</f>
        <v>NA</v>
      </c>
      <c r="I13" s="1537">
        <f>ASM_OtherCurrentAssets_2018</f>
        <v>5.9008541450420816E-2</v>
      </c>
      <c r="J13" s="1537">
        <f>ASM_OtherCurrentAssets_2019</f>
        <v>5.9008541450420816E-2</v>
      </c>
      <c r="K13" s="1537">
        <f>ASM_OtherCurrentAssets_2020</f>
        <v>5.9008541450420816E-2</v>
      </c>
      <c r="L13" s="1537">
        <f>ASM_OtherCurrentAssets_2021</f>
        <v>5.9008541450420816E-2</v>
      </c>
      <c r="M13" s="1537">
        <f>ASM_OtherCurrentAssets_2022</f>
        <v>5.9008541450420816E-2</v>
      </c>
      <c r="N13" s="1057"/>
      <c r="O13" s="1057"/>
      <c r="P13" s="1057"/>
      <c r="Q13" s="1057"/>
    </row>
    <row r="14" spans="1:17">
      <c r="A14" s="1057"/>
      <c r="B14" s="1057" t="s">
        <v>336</v>
      </c>
      <c r="C14" s="1057"/>
      <c r="D14" s="1057"/>
      <c r="E14" s="1530"/>
      <c r="F14" s="1530"/>
      <c r="G14" s="1530"/>
      <c r="H14" s="1530"/>
      <c r="I14" s="1538"/>
      <c r="J14" s="1538"/>
      <c r="K14" s="1538"/>
      <c r="L14" s="1538"/>
      <c r="M14" s="1538"/>
      <c r="N14" s="1057"/>
      <c r="O14" s="1057"/>
      <c r="P14" s="1057"/>
      <c r="Q14" s="1057"/>
    </row>
    <row r="15" spans="1:17">
      <c r="A15" s="1057"/>
      <c r="B15" s="1057"/>
      <c r="C15" s="1057" t="s">
        <v>1903</v>
      </c>
      <c r="D15" s="1057"/>
      <c r="E15" s="1529" t="e">
        <f ca="1">INDIRECT(CONCATENATE($D$3,"_AccountsPayable_",E$36))</f>
        <v>#REF!</v>
      </c>
      <c r="F15" s="1529" t="e">
        <f ca="1">INDIRECT(CONCATENATE($D$3,"_AccountsPayable_",F$36))</f>
        <v>#REF!</v>
      </c>
      <c r="G15" s="1529" t="e">
        <f ca="1">INDIRECT(CONCATENATE($D$3,"_AccountsPayable_",G$36))</f>
        <v>#REF!</v>
      </c>
      <c r="H15" s="1529" t="e">
        <f ca="1">INDIRECT(CONCATENATE($D$3,"_AccountsPayable_",H$36))</f>
        <v>#REF!</v>
      </c>
      <c r="I15" s="1531">
        <f ca="1">IFERROR(I16*I$38/365,"")</f>
        <v>0</v>
      </c>
      <c r="J15" s="1531">
        <f ca="1">IFERROR(J16*J$38/365,"")</f>
        <v>0</v>
      </c>
      <c r="K15" s="1531">
        <f ca="1">IFERROR(K16*K$38/365,"")</f>
        <v>0</v>
      </c>
      <c r="L15" s="1531">
        <f ca="1">IFERROR(L16*L$38/365,"")</f>
        <v>0</v>
      </c>
      <c r="M15" s="1531">
        <f ca="1">IFERROR(M16*M$38/365,"")</f>
        <v>0</v>
      </c>
      <c r="N15" s="1057"/>
      <c r="O15" s="1057"/>
      <c r="P15" s="1057"/>
      <c r="Q15" s="1057"/>
    </row>
    <row r="16" spans="1:17">
      <c r="A16" s="1057"/>
      <c r="B16" s="1057"/>
      <c r="C16" s="1532" t="s">
        <v>1985</v>
      </c>
      <c r="D16" s="1057"/>
      <c r="E16" s="1533" t="str">
        <f ca="1">IFERROR(E15/E$38*365,"NA")</f>
        <v>NA</v>
      </c>
      <c r="F16" s="1533" t="str">
        <f ca="1">IFERROR(F15/F$38*365,"NA")</f>
        <v>NA</v>
      </c>
      <c r="G16" s="1533" t="str">
        <f ca="1">IFERROR(G15/G$38*365,"NA")</f>
        <v>NA</v>
      </c>
      <c r="H16" s="1533" t="str">
        <f ca="1">IFERROR(H15/H$38*365,"NA")</f>
        <v>NA</v>
      </c>
      <c r="I16" s="1539">
        <f>ASM_AccountsPayable_2018</f>
        <v>137.95395995647988</v>
      </c>
      <c r="J16" s="1539">
        <f>ASM_AccountsPayable_2019</f>
        <v>137.95395995647988</v>
      </c>
      <c r="K16" s="1539">
        <f>ASM_AccountsPayable_2020</f>
        <v>137.95395995647988</v>
      </c>
      <c r="L16" s="1539">
        <f>ASM_AccountsPayable_2021</f>
        <v>137.95395995647988</v>
      </c>
      <c r="M16" s="1539">
        <f>ASM_AccountsPayable_2022</f>
        <v>137.95395995647988</v>
      </c>
      <c r="N16" s="1057"/>
      <c r="O16" s="1057"/>
      <c r="P16" s="1057"/>
      <c r="Q16" s="1057"/>
    </row>
    <row r="17" spans="1:17">
      <c r="A17" s="1057"/>
      <c r="B17" s="1057"/>
      <c r="C17" s="1057" t="s">
        <v>1986</v>
      </c>
      <c r="D17" s="1057"/>
      <c r="E17" s="1529" t="e">
        <f ca="1">INDIRECT(CONCATENATE($D$3,"_AccruedLiabilities_",E$36))</f>
        <v>#REF!</v>
      </c>
      <c r="F17" s="1529" t="e">
        <f ca="1">INDIRECT(CONCATENATE($D$3,"_AccruedLiabilities_",F$36))</f>
        <v>#REF!</v>
      </c>
      <c r="G17" s="1529" t="e">
        <f ca="1">INDIRECT(CONCATENATE($D$3,"_AccruedLiabilities_",G$36))</f>
        <v>#REF!</v>
      </c>
      <c r="H17" s="1529" t="e">
        <f ca="1">INDIRECT(CONCATENATE($D$3,"_AccruedLiabilities_",H$36))</f>
        <v>#REF!</v>
      </c>
      <c r="I17" s="1535">
        <f ca="1">IFERROR(I$38*I18,"")</f>
        <v>0</v>
      </c>
      <c r="J17" s="1535">
        <f ca="1">IFERROR(J$38*J18,"")</f>
        <v>0</v>
      </c>
      <c r="K17" s="1535">
        <f ca="1">IFERROR(K$38*K18,"")</f>
        <v>0</v>
      </c>
      <c r="L17" s="1535">
        <f ca="1">IFERROR(L$38*L18,"")</f>
        <v>0</v>
      </c>
      <c r="M17" s="1535">
        <f ca="1">IFERROR(M$38*M18,"")</f>
        <v>0</v>
      </c>
      <c r="N17" s="1057"/>
      <c r="O17" s="1057"/>
      <c r="P17" s="1057"/>
      <c r="Q17" s="1057"/>
    </row>
    <row r="18" spans="1:17">
      <c r="A18" s="1057"/>
      <c r="B18" s="1057"/>
      <c r="C18" s="1532" t="s">
        <v>1983</v>
      </c>
      <c r="D18" s="1057"/>
      <c r="E18" s="1536" t="str">
        <f ca="1">IFERROR(E17/E$38,"NA")</f>
        <v>NA</v>
      </c>
      <c r="F18" s="1536" t="str">
        <f ca="1">IFERROR(F17/F$38,"NA")</f>
        <v>NA</v>
      </c>
      <c r="G18" s="1536" t="str">
        <f ca="1">IFERROR(G17/G$38,"NA")</f>
        <v>NA</v>
      </c>
      <c r="H18" s="1536" t="str">
        <f ca="1">IFERROR(H17/H$38,"NA")</f>
        <v>NA</v>
      </c>
      <c r="I18" s="1537">
        <f>ASM_AccruedLiabilities_2018</f>
        <v>0.56738741668021464</v>
      </c>
      <c r="J18" s="1537">
        <f>ASM_AccruedLiabilities_2019</f>
        <v>0.57238741668021464</v>
      </c>
      <c r="K18" s="1537">
        <f>ASM_AccruedLiabilities_2020</f>
        <v>0.57738741668021465</v>
      </c>
      <c r="L18" s="1537">
        <f>ASM_AccruedLiabilities_2021</f>
        <v>0.58238741668021465</v>
      </c>
      <c r="M18" s="1537">
        <f>ASM_AccruedLiabilities_2022</f>
        <v>0.58738741668021466</v>
      </c>
      <c r="N18" s="1057"/>
      <c r="O18" s="1057"/>
      <c r="P18" s="1057"/>
      <c r="Q18" s="1057"/>
    </row>
    <row r="19" spans="1:17">
      <c r="A19" s="1057"/>
      <c r="B19" s="1057"/>
      <c r="C19" s="1057" t="s">
        <v>1987</v>
      </c>
      <c r="D19" s="1057"/>
      <c r="E19" s="1529" t="e">
        <f ca="1">INDIRECT(CONCATENATE($D$3,"_OtherCurrentLiabilities_",E$36))-INDIRECT(CONCATENATE($D$3,"_CurrentLTDebt_",E$36))</f>
        <v>#REF!</v>
      </c>
      <c r="F19" s="1529" t="e">
        <f ca="1">INDIRECT(CONCATENATE($D$3,"_OtherCurrentLiabilities_",F$36))-INDIRECT(CONCATENATE($D$3,"_CurrentLTDebt_",F$36))</f>
        <v>#REF!</v>
      </c>
      <c r="G19" s="1529" t="e">
        <f ca="1">INDIRECT(CONCATENATE($D$3,"_OtherCurrentLiabilities_",G$36))-INDIRECT(CONCATENATE($D$3,"_CurrentLTDebt_",G$36))</f>
        <v>#REF!</v>
      </c>
      <c r="H19" s="1529" t="e">
        <f ca="1">INDIRECT(CONCATENATE($D$3,"_OtherCurrentLiabilities_",H$36))-INDIRECT(CONCATENATE($D$3,"_CurrentLTDebt_",H$36))</f>
        <v>#REF!</v>
      </c>
      <c r="I19" s="1535">
        <f ca="1">IFERROR(I$38*I20,"")</f>
        <v>0</v>
      </c>
      <c r="J19" s="1535">
        <f ca="1">IFERROR(J$38*J20,"")</f>
        <v>0</v>
      </c>
      <c r="K19" s="1535">
        <f ca="1">IFERROR(K$38*K20,"")</f>
        <v>0</v>
      </c>
      <c r="L19" s="1535">
        <f ca="1">IFERROR(L$38*L20,"")</f>
        <v>0</v>
      </c>
      <c r="M19" s="1535">
        <f ca="1">IFERROR(M$38*M20,"")</f>
        <v>0</v>
      </c>
      <c r="N19" s="1057"/>
      <c r="O19" s="1057"/>
      <c r="P19" s="1057"/>
      <c r="Q19" s="1057"/>
    </row>
    <row r="20" spans="1:17">
      <c r="A20" s="1057"/>
      <c r="B20" s="1057"/>
      <c r="C20" s="1532" t="s">
        <v>1983</v>
      </c>
      <c r="D20" s="1057"/>
      <c r="E20" s="1536" t="str">
        <f ca="1">IFERROR(E19/E$38,"NA")</f>
        <v>NA</v>
      </c>
      <c r="F20" s="1536" t="str">
        <f ca="1">IFERROR(F19/F$38,"NA")</f>
        <v>NA</v>
      </c>
      <c r="G20" s="1536" t="str">
        <f ca="1">IFERROR(G19/G$38,"NA")</f>
        <v>NA</v>
      </c>
      <c r="H20" s="1536" t="str">
        <f ca="1">IFERROR(H19/H$38,"NA")</f>
        <v>NA</v>
      </c>
      <c r="I20" s="1537">
        <f>ASM_OtherCurrentLiabilities_2018</f>
        <v>1.2186886434976176E-2</v>
      </c>
      <c r="J20" s="1537">
        <f>ASM_OtherCurrentLiabilities_2019</f>
        <v>1.2186886434976176E-2</v>
      </c>
      <c r="K20" s="1537">
        <f>ASM_OtherCurrentLiabilities_2020</f>
        <v>1.2186886434976176E-2</v>
      </c>
      <c r="L20" s="1537">
        <f>ASM_OtherCurrentLiabilities_2021</f>
        <v>1.2186886434976176E-2</v>
      </c>
      <c r="M20" s="1537">
        <f>ASM_OtherCurrentLiabilities_2022</f>
        <v>1.2186886434976176E-2</v>
      </c>
      <c r="N20" s="1057"/>
      <c r="O20" s="1057"/>
      <c r="P20" s="1057"/>
      <c r="Q20" s="1057"/>
    </row>
    <row r="21" spans="1:17">
      <c r="A21" s="1057"/>
      <c r="B21" s="1540" t="s">
        <v>122</v>
      </c>
      <c r="C21" s="1540"/>
      <c r="D21" s="1541"/>
      <c r="E21" s="1542" t="e">
        <f ca="1">(E6+E8+E10+E12)-(E15+E17+E19)</f>
        <v>#REF!</v>
      </c>
      <c r="F21" s="1542" t="e">
        <f ca="1">(F6+F8+F10+F12)-(F15+F17+F19)</f>
        <v>#REF!</v>
      </c>
      <c r="G21" s="1542" t="e">
        <f ca="1">(G6+G8+G10+G12)-(G15+G17+G19)</f>
        <v>#REF!</v>
      </c>
      <c r="H21" s="1542" t="e">
        <f ca="1">(H6+H8+H10+H12)-(H15+H17+H19)</f>
        <v>#REF!</v>
      </c>
      <c r="I21" s="1543">
        <f ca="1">IFERROR((I6+I8+I10+I12)-(I15+I17+I19),0)</f>
        <v>0</v>
      </c>
      <c r="J21" s="1543">
        <f ca="1">IFERROR((J6+J8+J10+J12)-(J15+J17+J19),0)</f>
        <v>0</v>
      </c>
      <c r="K21" s="1543">
        <f ca="1">IFERROR((K6+K8+K10+K12)-(K15+K17+K19),0)</f>
        <v>0</v>
      </c>
      <c r="L21" s="1543">
        <f t="shared" ref="L21:M21" ca="1" si="1">IFERROR((L6+L8+L10+L12)-(L15+L17+L19),0)</f>
        <v>0</v>
      </c>
      <c r="M21" s="1543">
        <f t="shared" ca="1" si="1"/>
        <v>0</v>
      </c>
      <c r="N21" s="1057"/>
      <c r="O21" s="1057"/>
      <c r="P21" s="1057"/>
      <c r="Q21" s="1057"/>
    </row>
    <row r="22" spans="1:17">
      <c r="A22" s="1057"/>
      <c r="B22" s="1544"/>
      <c r="C22" s="1545" t="s">
        <v>1988</v>
      </c>
      <c r="D22" s="1546"/>
      <c r="E22" s="1547" t="str">
        <f ca="1">IFERROR(E21/E$38,"NA")</f>
        <v>NA</v>
      </c>
      <c r="F22" s="1547" t="str">
        <f ca="1">IFERROR(F21/F$38,"NA")</f>
        <v>NA</v>
      </c>
      <c r="G22" s="1547" t="str">
        <f ca="1">IFERROR(G21/G$38,"NA")</f>
        <v>NA</v>
      </c>
      <c r="H22" s="1547" t="str">
        <f ca="1">IFERROR(H21/H$38,"NA")</f>
        <v>NA</v>
      </c>
      <c r="I22" s="1548" t="str">
        <f ca="1">IFERROR(I21/I$38,"NA")</f>
        <v>NA</v>
      </c>
      <c r="J22" s="1548" t="str">
        <f ca="1">IFERROR(J21/J$38,"NA")</f>
        <v>NA</v>
      </c>
      <c r="K22" s="1548" t="str">
        <f ca="1">IFERROR(K21/K$38,"NA")</f>
        <v>NA</v>
      </c>
      <c r="L22" s="1548" t="str">
        <f ca="1">IFERROR(L21/L$38,"NA")</f>
        <v>NA</v>
      </c>
      <c r="M22" s="1548" t="str">
        <f ca="1">IFERROR(M21/M$38,"NA")</f>
        <v>NA</v>
      </c>
      <c r="N22" s="1057"/>
      <c r="O22" s="1057"/>
      <c r="P22" s="1057"/>
      <c r="Q22" s="1057"/>
    </row>
    <row r="23" spans="1:17">
      <c r="A23" s="1057"/>
      <c r="B23" s="1057"/>
      <c r="C23" s="1057"/>
      <c r="D23" s="1057"/>
      <c r="E23" s="1057"/>
      <c r="F23" s="1057"/>
      <c r="G23" s="1057"/>
      <c r="H23" s="1057"/>
      <c r="I23" s="1538"/>
      <c r="J23" s="1538"/>
      <c r="K23" s="1538"/>
      <c r="L23" s="1538"/>
      <c r="M23" s="1538"/>
      <c r="N23" s="1057"/>
      <c r="O23" s="1057"/>
      <c r="P23" s="1057"/>
      <c r="Q23" s="1057"/>
    </row>
    <row r="24" spans="1:17">
      <c r="A24" s="1057"/>
      <c r="B24" s="1060" t="s">
        <v>1284</v>
      </c>
      <c r="C24" s="1057"/>
      <c r="D24" s="1057"/>
      <c r="E24" s="1549" t="e">
        <f ca="1">INDIRECT(CONCATENATE("'",$D$3," Input'!J60"))</f>
        <v>#REF!</v>
      </c>
      <c r="F24" s="1549" t="e">
        <f ca="1">INDIRECT(CONCATENATE("'",$D$3," Input'!K60"))</f>
        <v>#REF!</v>
      </c>
      <c r="G24" s="1549" t="e">
        <f ca="1">INDIRECT(CONCATENATE("'",$D$3," Input'!L60"))</f>
        <v>#REF!</v>
      </c>
      <c r="H24" s="1549" t="e">
        <f ca="1">INDIRECT(CONCATENATE("'",$D$3," Input'!M60"))</f>
        <v>#REF!</v>
      </c>
      <c r="I24" s="1535" t="str">
        <f ca="1">IFERROR(H24*(1+I25),"")</f>
        <v/>
      </c>
      <c r="J24" s="1535" t="str">
        <f ca="1">IFERROR(I24*(1+J25),"")</f>
        <v/>
      </c>
      <c r="K24" s="1535" t="str">
        <f ca="1">IFERROR(J24*(1+K25),"")</f>
        <v/>
      </c>
      <c r="L24" s="1535" t="str">
        <f ca="1">IFERROR(K24*(1+L25),"")</f>
        <v/>
      </c>
      <c r="M24" s="1535" t="str">
        <f ca="1">IFERROR(L24*(1+M25),"")</f>
        <v/>
      </c>
      <c r="N24" s="1057"/>
      <c r="O24" s="1057"/>
      <c r="P24" s="1057"/>
      <c r="Q24" s="1057"/>
    </row>
    <row r="25" spans="1:17">
      <c r="A25" s="1057"/>
      <c r="B25" s="1057"/>
      <c r="C25" s="1532" t="s">
        <v>1989</v>
      </c>
      <c r="D25" s="1057"/>
      <c r="E25" s="1536"/>
      <c r="F25" s="1536" t="e">
        <f ca="1">F24/E24-1</f>
        <v>#REF!</v>
      </c>
      <c r="G25" s="1536" t="e">
        <f ca="1">G24/F24-1</f>
        <v>#REF!</v>
      </c>
      <c r="H25" s="1536" t="e">
        <f ca="1">H24/G24-1</f>
        <v>#REF!</v>
      </c>
      <c r="I25" s="1537">
        <f>ASM_CAPEX_2018</f>
        <v>0.59916181863299234</v>
      </c>
      <c r="J25" s="1537">
        <f>ASM_CAPEX_2019</f>
        <v>-0.10510992129092744</v>
      </c>
      <c r="K25" s="1537">
        <f>ASM_CAPEX_2020</f>
        <v>-5.2817312860781951E-2</v>
      </c>
      <c r="L25" s="1537">
        <f>ASM_CAPEX_2021</f>
        <v>0.24408327033784971</v>
      </c>
      <c r="M25" s="1537">
        <f>ASM_CAPEX_2022</f>
        <v>-5.2817312860781951E-2</v>
      </c>
      <c r="N25" s="1057"/>
      <c r="O25" s="1057"/>
      <c r="P25" s="1057"/>
      <c r="Q25" s="1057"/>
    </row>
    <row r="26" spans="1:17">
      <c r="A26" s="1057"/>
      <c r="B26" s="1057"/>
      <c r="C26" s="1532"/>
      <c r="D26" s="1057"/>
      <c r="E26" s="1536"/>
      <c r="F26" s="1536"/>
      <c r="G26" s="1536"/>
      <c r="H26" s="1536"/>
      <c r="I26" s="1057"/>
      <c r="J26" s="1057"/>
      <c r="K26" s="1057"/>
      <c r="L26" s="1057"/>
      <c r="M26" s="1057"/>
      <c r="N26" s="1057"/>
      <c r="O26" s="1057"/>
      <c r="P26" s="1057"/>
      <c r="Q26" s="1057"/>
    </row>
    <row r="27" spans="1:17">
      <c r="A27" s="1057"/>
      <c r="B27" s="1060" t="s">
        <v>1990</v>
      </c>
      <c r="C27" s="1532"/>
      <c r="D27" s="1057"/>
      <c r="E27" s="1549">
        <f>TEL_PPE_2014</f>
        <v>191984000000</v>
      </c>
      <c r="F27" s="1549">
        <f>TEL_PPE_2015</f>
        <v>195782000000</v>
      </c>
      <c r="G27" s="1549">
        <f>TEL_PPE_2016</f>
        <v>203188000000</v>
      </c>
      <c r="H27" s="1549">
        <f>TEL_PPE_2017</f>
        <v>186907000000</v>
      </c>
      <c r="I27" s="1549" t="e">
        <f ca="1">H27+I24</f>
        <v>#VALUE!</v>
      </c>
      <c r="J27" s="1549" t="e">
        <f ca="1">I27+J24</f>
        <v>#VALUE!</v>
      </c>
      <c r="K27" s="1549" t="e">
        <f ca="1">J27+K24</f>
        <v>#VALUE!</v>
      </c>
      <c r="L27" s="1549" t="e">
        <f ca="1">K27+L24</f>
        <v>#VALUE!</v>
      </c>
      <c r="M27" s="1549" t="e">
        <f ca="1">L27+M24</f>
        <v>#VALUE!</v>
      </c>
      <c r="N27" s="1057"/>
      <c r="O27" s="1057"/>
      <c r="P27" s="1057"/>
      <c r="Q27" s="1057"/>
    </row>
    <row r="28" spans="1:17">
      <c r="A28" s="1057"/>
      <c r="B28" s="1057"/>
      <c r="C28" s="1532"/>
      <c r="D28" s="1057"/>
      <c r="E28" s="1536"/>
      <c r="F28" s="1536"/>
      <c r="G28" s="1536"/>
      <c r="H28" s="1536"/>
      <c r="I28" s="1057"/>
      <c r="J28" s="1057"/>
      <c r="K28" s="1057"/>
      <c r="L28" s="1057"/>
      <c r="M28" s="1057"/>
      <c r="N28" s="1057"/>
      <c r="O28" s="1057"/>
      <c r="P28" s="1057"/>
      <c r="Q28" s="1057"/>
    </row>
    <row r="29" spans="1:17">
      <c r="A29" s="1057"/>
      <c r="B29" s="1057"/>
      <c r="C29" s="1057"/>
      <c r="D29" s="1057"/>
      <c r="E29" s="1524" t="s">
        <v>1978</v>
      </c>
      <c r="F29" s="1524"/>
      <c r="G29" s="1524"/>
      <c r="H29" s="1524"/>
      <c r="I29" s="1524" t="s">
        <v>1979</v>
      </c>
      <c r="J29" s="1524"/>
      <c r="K29" s="1524"/>
      <c r="L29" s="1524"/>
      <c r="M29" s="1524"/>
      <c r="N29" s="1057"/>
      <c r="O29" s="1057"/>
      <c r="P29" s="1057"/>
      <c r="Q29" s="1057"/>
    </row>
    <row r="30" spans="1:17">
      <c r="A30" s="1057"/>
      <c r="B30" s="1057"/>
      <c r="C30" s="1057"/>
      <c r="D30" s="1057"/>
      <c r="E30" s="1525" t="e">
        <f ca="1">INDIRECT(CONCATENATE("'",$D$3," Input'!J7"))</f>
        <v>#REF!</v>
      </c>
      <c r="F30" s="1525" t="e">
        <f ca="1">INDIRECT(CONCATENATE("'",$D$3," Input'!K7"))</f>
        <v>#REF!</v>
      </c>
      <c r="G30" s="1525" t="e">
        <f ca="1">INDIRECT(CONCATENATE("'",$D$3," Input'!L7"))</f>
        <v>#REF!</v>
      </c>
      <c r="H30" s="1525" t="e">
        <f ca="1">INDIRECT(CONCATENATE("'",$D$3," Input'!M7"))</f>
        <v>#REF!</v>
      </c>
      <c r="I30" s="1526" t="e">
        <f ca="1">H30+1</f>
        <v>#REF!</v>
      </c>
      <c r="J30" s="1526" t="e">
        <f ca="1">I30+1</f>
        <v>#REF!</v>
      </c>
      <c r="K30" s="1526" t="e">
        <f ca="1">J30+1</f>
        <v>#REF!</v>
      </c>
      <c r="L30" s="1526" t="e">
        <f t="shared" ref="L30:M30" ca="1" si="2">K30+1</f>
        <v>#REF!</v>
      </c>
      <c r="M30" s="1526" t="e">
        <f t="shared" ca="1" si="2"/>
        <v>#REF!</v>
      </c>
      <c r="N30" s="1057"/>
      <c r="O30" s="1057"/>
      <c r="P30" s="1057"/>
      <c r="Q30" s="1057"/>
    </row>
    <row r="31" spans="1:17">
      <c r="A31" s="1527" t="s">
        <v>1991</v>
      </c>
      <c r="B31" s="1528"/>
      <c r="C31" s="1528"/>
      <c r="D31" s="1528"/>
      <c r="E31" s="1528"/>
      <c r="F31" s="1528"/>
      <c r="G31" s="1528"/>
      <c r="H31" s="1528"/>
      <c r="I31" s="1528"/>
      <c r="J31" s="1528"/>
      <c r="K31" s="1528"/>
      <c r="L31" s="1528"/>
      <c r="M31" s="1528"/>
      <c r="N31" s="1057"/>
      <c r="O31" s="1057"/>
      <c r="P31" s="1057"/>
      <c r="Q31" s="1057"/>
    </row>
    <row r="32" spans="1:17">
      <c r="A32" s="1057"/>
      <c r="B32" s="1060" t="s">
        <v>1955</v>
      </c>
      <c r="C32" s="1057"/>
      <c r="D32" s="1057"/>
      <c r="E32" s="1523" t="e">
        <f ca="1">INDIRECT(CONCATENATE("'",$D$3," Input'!J8"))</f>
        <v>#REF!</v>
      </c>
      <c r="F32" s="1523" t="e">
        <f ca="1">INDIRECT(CONCATENATE("'",$D$3," Input'!K8"))</f>
        <v>#REF!</v>
      </c>
      <c r="G32" s="1523" t="e">
        <f ca="1">INDIRECT(CONCATENATE("'",$D$3," Input'!L8"))</f>
        <v>#REF!</v>
      </c>
      <c r="H32" s="1523" t="e">
        <f ca="1">INDIRECT(CONCATENATE("'",$D$3," Input'!M8"))</f>
        <v>#REF!</v>
      </c>
      <c r="I32" s="1523" t="str">
        <f ca="1">IFERROR(H32*(1+I33),"")</f>
        <v/>
      </c>
      <c r="J32" s="1523" t="str">
        <f ca="1">IFERROR(I32*(1+J33),"")</f>
        <v/>
      </c>
      <c r="K32" s="1523" t="str">
        <f ca="1">IFERROR(J32*(1+K33),"")</f>
        <v/>
      </c>
      <c r="L32" s="1523" t="str">
        <f ca="1">IFERROR(K32*(1+L33),"")</f>
        <v/>
      </c>
      <c r="M32" s="1523" t="str">
        <f ca="1">IFERROR(L32*(1+M33),"")</f>
        <v/>
      </c>
      <c r="N32" s="1057"/>
      <c r="O32" s="1057"/>
      <c r="P32" s="1057"/>
      <c r="Q32" s="1057"/>
    </row>
    <row r="33" spans="1:17">
      <c r="A33" s="1057"/>
      <c r="B33" s="1057"/>
      <c r="C33" s="1057" t="s">
        <v>1992</v>
      </c>
      <c r="D33" s="1057"/>
      <c r="E33" s="1516" t="s">
        <v>1547</v>
      </c>
      <c r="F33" s="1550" t="e">
        <f ca="1">F32/E32-1</f>
        <v>#REF!</v>
      </c>
      <c r="G33" s="1550" t="e">
        <f ca="1">G32/F32-1</f>
        <v>#REF!</v>
      </c>
      <c r="H33" s="1550" t="e">
        <f ca="1">H32/G32-1</f>
        <v>#REF!</v>
      </c>
      <c r="I33" s="1537">
        <f>ASM_SalesGrowth_2018</f>
        <v>0.01</v>
      </c>
      <c r="J33" s="1537">
        <f>ASM_SalesGrowth_2019</f>
        <v>0.01</v>
      </c>
      <c r="K33" s="1537">
        <f>ASM_SalesGrowth_2020</f>
        <v>0.01</v>
      </c>
      <c r="L33" s="1537">
        <f>ASM_SalesGrowth_2021</f>
        <v>0.01</v>
      </c>
      <c r="M33" s="1537">
        <f>ASM_SalesGrowth_2022</f>
        <v>0.01</v>
      </c>
      <c r="N33" s="1057"/>
      <c r="O33" s="1057"/>
      <c r="P33" s="1057"/>
      <c r="Q33" s="1057"/>
    </row>
    <row r="34" spans="1:17">
      <c r="A34" s="1057"/>
      <c r="B34" s="1057" t="s">
        <v>1993</v>
      </c>
      <c r="C34" s="1057"/>
      <c r="D34" s="1057"/>
      <c r="E34" s="1523" t="e">
        <f ca="1">INDIRECT(CONCATENATE("'",$D$3," Input'!J9"))+INDIRECT(CONCATENATE("'",$D$3," Input'!J28"))</f>
        <v>#REF!</v>
      </c>
      <c r="F34" s="1523" t="e">
        <f ca="1">INDIRECT(CONCATENATE("'",$D$3," Input'!K9"))+INDIRECT(CONCATENATE("'",$D$3," Input'!K28"))</f>
        <v>#REF!</v>
      </c>
      <c r="G34" s="1523" t="e">
        <f ca="1">INDIRECT(CONCATENATE("'",$D$3," Input'!L9"))+INDIRECT(CONCATENATE("'",$D$3," Input'!L28"))</f>
        <v>#REF!</v>
      </c>
      <c r="H34" s="1523" t="e">
        <f ca="1">INDIRECT(CONCATENATE("'",$D$3," Input'!M9"))+INDIRECT(CONCATENATE("'",$D$3," Input'!M28"))</f>
        <v>#REF!</v>
      </c>
      <c r="I34" s="1523">
        <f ca="1">IFERROR(I$38*I35,"")</f>
        <v>0</v>
      </c>
      <c r="J34" s="1523">
        <f ca="1">IFERROR(J$38*J35,"")</f>
        <v>0</v>
      </c>
      <c r="K34" s="1523">
        <f ca="1">IFERROR(K$38*K35,"")</f>
        <v>0</v>
      </c>
      <c r="L34" s="1523">
        <f ca="1">IFERROR(L$38*L35,"")</f>
        <v>0</v>
      </c>
      <c r="M34" s="1523">
        <f ca="1">IFERROR(M$38*M35,"")</f>
        <v>0</v>
      </c>
      <c r="N34" s="1057"/>
      <c r="O34" s="1057"/>
      <c r="P34" s="1057"/>
      <c r="Q34" s="1057"/>
    </row>
    <row r="35" spans="1:17">
      <c r="A35" s="1057"/>
      <c r="B35" s="1057"/>
      <c r="C35" s="1057" t="s">
        <v>1988</v>
      </c>
      <c r="D35" s="1057"/>
      <c r="E35" s="1550" t="e">
        <f ca="1">E34/E32</f>
        <v>#REF!</v>
      </c>
      <c r="F35" s="1550" t="e">
        <f ca="1">F34/F32</f>
        <v>#REF!</v>
      </c>
      <c r="G35" s="1550" t="e">
        <f ca="1">G34/G32</f>
        <v>#REF!</v>
      </c>
      <c r="H35" s="1550" t="e">
        <f ca="1">H34/H32</f>
        <v>#REF!</v>
      </c>
      <c r="I35" s="1537">
        <f>ASM_COS_2018</f>
        <v>9.472280641457155E-2</v>
      </c>
      <c r="J35" s="1537">
        <f>ASM_COS_2019</f>
        <v>9.6536213220880809E-2</v>
      </c>
      <c r="K35" s="1537">
        <f>ASM_COS_2020</f>
        <v>9.8349620027190054E-2</v>
      </c>
      <c r="L35" s="1537">
        <f>ASM_COS_2021</f>
        <v>0.10016302683349931</v>
      </c>
      <c r="M35" s="1537">
        <f>ASM_COS_2022</f>
        <v>0.10197643363980856</v>
      </c>
      <c r="N35" s="1057"/>
      <c r="O35" s="1057"/>
      <c r="P35" s="1057"/>
      <c r="Q35" s="1057"/>
    </row>
    <row r="36" spans="1:17">
      <c r="A36" s="1057"/>
      <c r="B36" s="1060" t="s">
        <v>1994</v>
      </c>
      <c r="C36" s="1057"/>
      <c r="D36" s="1057"/>
      <c r="E36" s="1551" t="e">
        <f ca="1">E32-E34</f>
        <v>#REF!</v>
      </c>
      <c r="F36" s="1551" t="e">
        <f ca="1">F32-F34</f>
        <v>#REF!</v>
      </c>
      <c r="G36" s="1551" t="e">
        <f ca="1">G32-G34</f>
        <v>#REF!</v>
      </c>
      <c r="H36" s="1551" t="e">
        <f ca="1">H32-H34</f>
        <v>#REF!</v>
      </c>
      <c r="I36" s="1551" t="str">
        <f ca="1">IFERROR(I32-I34,"")</f>
        <v/>
      </c>
      <c r="J36" s="1551" t="str">
        <f ca="1">IFERROR(J32-J34,"")</f>
        <v/>
      </c>
      <c r="K36" s="1551" t="str">
        <f ca="1">IFERROR(K32-K34,"")</f>
        <v/>
      </c>
      <c r="L36" s="1551" t="str">
        <f ca="1">IFERROR(L32-L34,"")</f>
        <v/>
      </c>
      <c r="M36" s="1551" t="str">
        <f ca="1">IFERROR(M32-M34,"")</f>
        <v/>
      </c>
      <c r="N36" s="1057"/>
      <c r="O36" s="1057"/>
      <c r="P36" s="1057"/>
      <c r="Q36" s="1057"/>
    </row>
    <row r="37" spans="1:17">
      <c r="A37" s="1057"/>
      <c r="B37" s="1057"/>
      <c r="C37" s="1552" t="s">
        <v>1140</v>
      </c>
      <c r="D37" s="1057"/>
      <c r="E37" s="1550" t="e">
        <f ca="1">E36/E32</f>
        <v>#REF!</v>
      </c>
      <c r="F37" s="1550" t="e">
        <f ca="1">F36/F32</f>
        <v>#REF!</v>
      </c>
      <c r="G37" s="1550" t="e">
        <f ca="1">G36/G32</f>
        <v>#REF!</v>
      </c>
      <c r="H37" s="1550" t="e">
        <f ca="1">H36/H32</f>
        <v>#REF!</v>
      </c>
      <c r="I37" s="1550" t="str">
        <f ca="1">IFERROR(I36/I32,"NA")</f>
        <v>NA</v>
      </c>
      <c r="J37" s="1550" t="str">
        <f ca="1">IFERROR(J36/J32,"NA")</f>
        <v>NA</v>
      </c>
      <c r="K37" s="1550" t="str">
        <f ca="1">IFERROR(K36/K32,"NA")</f>
        <v>NA</v>
      </c>
      <c r="L37" s="1550" t="str">
        <f ca="1">IFERROR(L36/L32,"NA")</f>
        <v>NA</v>
      </c>
      <c r="M37" s="1550" t="str">
        <f ca="1">IFERROR(M36/M32,"NA")</f>
        <v>NA</v>
      </c>
      <c r="N37" s="1057"/>
      <c r="O37" s="1057"/>
      <c r="P37" s="1057"/>
      <c r="Q37" s="1057"/>
    </row>
    <row r="38" spans="1:17">
      <c r="A38" s="1057"/>
      <c r="B38" s="1057" t="s">
        <v>1995</v>
      </c>
      <c r="C38" s="1057"/>
      <c r="D38" s="1057"/>
      <c r="E38" s="1523" t="e">
        <f ca="1">INDIRECT(CONCATENATE("'",$D$3," Input'!J11"))+INDIRECT(CONCATENATE("'",$D$3," Input'!J34"))</f>
        <v>#REF!</v>
      </c>
      <c r="F38" s="1523" t="e">
        <f ca="1">INDIRECT(CONCATENATE("'",$D$3," Input'!K11"))+INDIRECT(CONCATENATE("'",$D$3," Input'!K34"))</f>
        <v>#REF!</v>
      </c>
      <c r="G38" s="1523" t="e">
        <f ca="1">INDIRECT(CONCATENATE("'",$D$3," Input'!L11"))+INDIRECT(CONCATENATE("'",$D$3," Input'!L34"))</f>
        <v>#REF!</v>
      </c>
      <c r="H38" s="1523" t="e">
        <f ca="1">INDIRECT(CONCATENATE("'",$D$3," Input'!M11"))+INDIRECT(CONCATENATE("'",$D$3," Input'!M34"))</f>
        <v>#REF!</v>
      </c>
      <c r="I38" s="1523">
        <f ca="1">IFERROR(I$38*I39,"")</f>
        <v>0</v>
      </c>
      <c r="J38" s="1523">
        <f ca="1">IFERROR(J$38*J39,"")</f>
        <v>0</v>
      </c>
      <c r="K38" s="1523">
        <f ca="1">IFERROR(K$38*K39,"")</f>
        <v>0</v>
      </c>
      <c r="L38" s="1523">
        <f ca="1">IFERROR(L$38*L39,"")</f>
        <v>0</v>
      </c>
      <c r="M38" s="1523">
        <f ca="1">IFERROR(M$38*M39,"")</f>
        <v>0</v>
      </c>
      <c r="N38" s="1057"/>
      <c r="O38" s="1057"/>
      <c r="P38" s="1057"/>
      <c r="Q38" s="1057"/>
    </row>
    <row r="39" spans="1:17">
      <c r="A39" s="1057"/>
      <c r="B39" s="1057"/>
      <c r="C39" s="1057" t="s">
        <v>1988</v>
      </c>
      <c r="D39" s="1057"/>
      <c r="E39" s="1550" t="e">
        <f ca="1">E38/E32</f>
        <v>#REF!</v>
      </c>
      <c r="F39" s="1550" t="e">
        <f ca="1">F38/F32</f>
        <v>#REF!</v>
      </c>
      <c r="G39" s="1550" t="e">
        <f ca="1">G38/G32</f>
        <v>#REF!</v>
      </c>
      <c r="H39" s="1550" t="e">
        <f ca="1">H38/H32</f>
        <v>#REF!</v>
      </c>
      <c r="I39" s="1537">
        <f>ASM_SGandA_2018</f>
        <v>0.43578122247135614</v>
      </c>
      <c r="J39" s="1537">
        <f>ASM_SGandA_2019</f>
        <v>0.44389174320766395</v>
      </c>
      <c r="K39" s="1537">
        <f>ASM_SGandA_2020</f>
        <v>0.4520022639439718</v>
      </c>
      <c r="L39" s="1537">
        <f>ASM_SGandA_2021</f>
        <v>0.46011278468027966</v>
      </c>
      <c r="M39" s="1537">
        <f>ASM_SGandA_2022</f>
        <v>0.46822330541658752</v>
      </c>
      <c r="N39" s="1057"/>
      <c r="O39" s="1057"/>
      <c r="P39" s="1057"/>
      <c r="Q39" s="1057"/>
    </row>
    <row r="40" spans="1:17">
      <c r="A40" s="1057"/>
      <c r="B40" s="1060" t="s">
        <v>267</v>
      </c>
      <c r="C40" s="1057"/>
      <c r="D40" s="1057"/>
      <c r="E40" s="1523" t="e">
        <f ca="1">E36-E38</f>
        <v>#REF!</v>
      </c>
      <c r="F40" s="1523" t="e">
        <f ca="1">F36-F38</f>
        <v>#REF!</v>
      </c>
      <c r="G40" s="1523" t="e">
        <f ca="1">G36-G38</f>
        <v>#REF!</v>
      </c>
      <c r="H40" s="1523" t="e">
        <f ca="1">H36-H38</f>
        <v>#REF!</v>
      </c>
      <c r="I40" s="1523" t="str">
        <f ca="1">IFERROR(I36-I38,"")</f>
        <v/>
      </c>
      <c r="J40" s="1523" t="str">
        <f ca="1">IFERROR(J36-J38,"")</f>
        <v/>
      </c>
      <c r="K40" s="1523" t="str">
        <f ca="1">IFERROR(K36-K38,"")</f>
        <v/>
      </c>
      <c r="L40" s="1523" t="str">
        <f ca="1">IFERROR(L36-L38,"")</f>
        <v/>
      </c>
      <c r="M40" s="1523" t="str">
        <f ca="1">IFERROR(M36-M38,"")</f>
        <v/>
      </c>
      <c r="N40" s="1057"/>
      <c r="O40" s="1057"/>
      <c r="P40" s="1057"/>
      <c r="Q40" s="1057"/>
    </row>
    <row r="41" spans="1:17">
      <c r="A41" s="1057"/>
      <c r="B41" s="1057"/>
      <c r="C41" s="1552" t="s">
        <v>1140</v>
      </c>
      <c r="D41" s="1057"/>
      <c r="E41" s="1550" t="e">
        <f ca="1">E40/E32</f>
        <v>#REF!</v>
      </c>
      <c r="F41" s="1550" t="e">
        <f ca="1">F40/F32</f>
        <v>#REF!</v>
      </c>
      <c r="G41" s="1550" t="e">
        <f ca="1">G40/G32</f>
        <v>#REF!</v>
      </c>
      <c r="H41" s="1550" t="e">
        <f ca="1">H40/H32</f>
        <v>#REF!</v>
      </c>
      <c r="I41" s="1550" t="str">
        <f ca="1">IFERROR(I40/I32,"NA")</f>
        <v>NA</v>
      </c>
      <c r="J41" s="1550" t="str">
        <f ca="1">IFERROR(J40/J32,"NA")</f>
        <v>NA</v>
      </c>
      <c r="K41" s="1550" t="str">
        <f ca="1">IFERROR(K40/K32,"NA")</f>
        <v>NA</v>
      </c>
      <c r="L41" s="1550" t="str">
        <f ca="1">IFERROR(L40/L32,"NA")</f>
        <v>NA</v>
      </c>
      <c r="M41" s="1550" t="str">
        <f ca="1">IFERROR(M40/M32,"NA")</f>
        <v>NA</v>
      </c>
      <c r="N41" s="1057"/>
      <c r="O41" s="1057"/>
      <c r="P41" s="1057"/>
      <c r="Q41" s="1057"/>
    </row>
    <row r="42" spans="1:17">
      <c r="A42" s="1057"/>
      <c r="B42" s="1057" t="s">
        <v>1996</v>
      </c>
      <c r="C42" s="1057"/>
      <c r="D42" s="1057"/>
      <c r="E42" s="1523" t="e">
        <f ca="1">INDIRECT(CONCATENATE("'",$D$3," Input'!J38"))</f>
        <v>#REF!</v>
      </c>
      <c r="F42" s="1523" t="e">
        <f ca="1">INDIRECT(CONCATENATE("'",$D$3," Input'!K38"))</f>
        <v>#REF!</v>
      </c>
      <c r="G42" s="1523" t="e">
        <f ca="1">INDIRECT(CONCATENATE("'",$D$3," Input'!L38"))</f>
        <v>#REF!</v>
      </c>
      <c r="H42" s="1523" t="e">
        <f ca="1">INDIRECT(CONCATENATE("'",$D$3," Input'!M38"))</f>
        <v>#REF!</v>
      </c>
      <c r="I42" s="1523" t="e">
        <f ca="1">I27*I43</f>
        <v>#VALUE!</v>
      </c>
      <c r="J42" s="1523" t="e">
        <f ca="1">J27*J43</f>
        <v>#VALUE!</v>
      </c>
      <c r="K42" s="1523" t="e">
        <f ca="1">K27*K43</f>
        <v>#VALUE!</v>
      </c>
      <c r="L42" s="1523" t="e">
        <f ca="1">L27*L43</f>
        <v>#VALUE!</v>
      </c>
      <c r="M42" s="1523" t="e">
        <f ca="1">M27*M43</f>
        <v>#VALUE!</v>
      </c>
      <c r="N42" s="1057"/>
      <c r="O42" s="1057"/>
      <c r="P42" s="1057"/>
      <c r="Q42" s="1057"/>
    </row>
    <row r="43" spans="1:17">
      <c r="A43" s="1057"/>
      <c r="B43" s="1057"/>
      <c r="C43" s="1057" t="s">
        <v>1997</v>
      </c>
      <c r="D43" s="1057"/>
      <c r="E43" s="1550" t="e">
        <f ca="1">E42/E27</f>
        <v>#REF!</v>
      </c>
      <c r="F43" s="1550" t="e">
        <f ca="1">F42/F27</f>
        <v>#REF!</v>
      </c>
      <c r="G43" s="1550" t="e">
        <f ca="1">G42/G27</f>
        <v>#REF!</v>
      </c>
      <c r="H43" s="1550" t="e">
        <f ca="1">H42/H27</f>
        <v>#REF!</v>
      </c>
      <c r="I43" s="1537">
        <f>ASM_DepnAndAmortn_2018</f>
        <v>0.2</v>
      </c>
      <c r="J43" s="1537">
        <f>ASM_DepnAndAmortn_2019</f>
        <v>0.17</v>
      </c>
      <c r="K43" s="1537">
        <f>ASM_DepnAndAmortn_2020</f>
        <v>0.16</v>
      </c>
      <c r="L43" s="1537">
        <f>ASM_DepnAndAmortn_2021</f>
        <v>0.15</v>
      </c>
      <c r="M43" s="1537">
        <f>ASM_DepnAndAmortn_2022</f>
        <v>0.14000000000000001</v>
      </c>
      <c r="N43" s="1057"/>
      <c r="O43" s="1057"/>
      <c r="P43" s="1057"/>
      <c r="Q43" s="1057"/>
    </row>
    <row r="44" spans="1:17">
      <c r="A44" s="1057"/>
      <c r="B44" s="1060" t="s">
        <v>199</v>
      </c>
      <c r="C44" s="1057"/>
      <c r="D44" s="1057"/>
      <c r="E44" s="1535" t="e">
        <f ca="1">E40-E42</f>
        <v>#REF!</v>
      </c>
      <c r="F44" s="1535" t="e">
        <f ca="1">F40-F42</f>
        <v>#REF!</v>
      </c>
      <c r="G44" s="1535" t="e">
        <f ca="1">G40-G42</f>
        <v>#REF!</v>
      </c>
      <c r="H44" s="1535" t="e">
        <f ca="1">H40-H42</f>
        <v>#REF!</v>
      </c>
      <c r="I44" s="1535" t="str">
        <f ca="1">IFERROR(I40-I42,"")</f>
        <v/>
      </c>
      <c r="J44" s="1535" t="str">
        <f ca="1">IFERROR(J40-J42,"")</f>
        <v/>
      </c>
      <c r="K44" s="1535" t="str">
        <f ca="1">IFERROR(K40-K42,"")</f>
        <v/>
      </c>
      <c r="L44" s="1535" t="str">
        <f ca="1">IFERROR(L40-L42,"")</f>
        <v/>
      </c>
      <c r="M44" s="1535" t="str">
        <f ca="1">IFERROR(M40-M42,"")</f>
        <v/>
      </c>
      <c r="N44" s="1057"/>
      <c r="O44" s="1057"/>
      <c r="P44" s="1057"/>
      <c r="Q44" s="1057"/>
    </row>
    <row r="45" spans="1:17">
      <c r="A45" s="1057"/>
      <c r="B45" s="1057"/>
      <c r="C45" s="1552" t="s">
        <v>1140</v>
      </c>
      <c r="D45" s="1057"/>
      <c r="E45" s="1550" t="e">
        <f ca="1">E44/E32</f>
        <v>#REF!</v>
      </c>
      <c r="F45" s="1550" t="e">
        <f ca="1">F44/F32</f>
        <v>#REF!</v>
      </c>
      <c r="G45" s="1550" t="e">
        <f ca="1">G44/G32</f>
        <v>#REF!</v>
      </c>
      <c r="H45" s="1550" t="e">
        <f ca="1">H44/H32</f>
        <v>#REF!</v>
      </c>
      <c r="I45" s="1550" t="str">
        <f ca="1">IFERROR(I44/I32,"NA")</f>
        <v>NA</v>
      </c>
      <c r="J45" s="1550" t="str">
        <f ca="1">IFERROR(J44/J32,"NA")</f>
        <v>NA</v>
      </c>
      <c r="K45" s="1550" t="str">
        <f ca="1">IFERROR(K44/K32,"NA")</f>
        <v>NA</v>
      </c>
      <c r="L45" s="1550" t="str">
        <f ca="1">IFERROR(L44/L32,"NA")</f>
        <v>NA</v>
      </c>
      <c r="M45" s="1550" t="str">
        <f ca="1">IFERROR(M44/M32,"NA")</f>
        <v>NA</v>
      </c>
      <c r="N45" s="1057"/>
      <c r="O45" s="1057"/>
      <c r="P45" s="1057"/>
      <c r="Q45" s="1057"/>
    </row>
    <row r="46" spans="1:17">
      <c r="A46" s="1057"/>
      <c r="B46" s="1060" t="s">
        <v>1039</v>
      </c>
      <c r="C46" s="1552"/>
      <c r="D46" s="1057"/>
      <c r="E46" s="1550"/>
      <c r="F46" s="1550"/>
      <c r="G46" s="1550"/>
      <c r="H46" s="1550"/>
      <c r="I46" s="1535" t="e">
        <f ca="1">IF(I44&lt;0,0,I44*I47)</f>
        <v>#VALUE!</v>
      </c>
      <c r="J46" s="1535" t="e">
        <f ca="1">IF(J44&lt;0,0,J44*J47)</f>
        <v>#VALUE!</v>
      </c>
      <c r="K46" s="1535" t="e">
        <f t="shared" ref="K46:M46" ca="1" si="3">IF(K44&lt;0,0,K44*K47)</f>
        <v>#VALUE!</v>
      </c>
      <c r="L46" s="1535" t="e">
        <f t="shared" ca="1" si="3"/>
        <v>#VALUE!</v>
      </c>
      <c r="M46" s="1535" t="e">
        <f t="shared" ca="1" si="3"/>
        <v>#VALUE!</v>
      </c>
      <c r="N46" s="1057"/>
      <c r="O46" s="1057"/>
      <c r="P46" s="1057"/>
      <c r="Q46" s="1057"/>
    </row>
    <row r="47" spans="1:17">
      <c r="A47" s="1057"/>
      <c r="B47" s="1057"/>
      <c r="C47" s="1552" t="s">
        <v>1998</v>
      </c>
      <c r="D47" s="1057"/>
      <c r="E47" s="1553"/>
      <c r="F47" s="1553"/>
      <c r="G47" s="1553"/>
      <c r="H47" s="1553"/>
      <c r="I47" s="1537">
        <f>ASM_TaxRate_2018</f>
        <v>0.3</v>
      </c>
      <c r="J47" s="1537">
        <f>ASM_TaxRate_2019</f>
        <v>0.3</v>
      </c>
      <c r="K47" s="1537">
        <f>ASM_TaxRate_2020</f>
        <v>0.3</v>
      </c>
      <c r="L47" s="1537">
        <f>ASM_TaxRate_2021</f>
        <v>0.3</v>
      </c>
      <c r="M47" s="1537">
        <f>ASM_TaxRate_2022</f>
        <v>0.3</v>
      </c>
      <c r="N47" s="1057"/>
      <c r="O47" s="1057"/>
      <c r="P47" s="1057"/>
      <c r="Q47" s="1057"/>
    </row>
    <row r="48" spans="1:17">
      <c r="A48" s="1057"/>
      <c r="B48" s="1525" t="s">
        <v>1999</v>
      </c>
      <c r="C48" s="1525"/>
      <c r="D48" s="1525"/>
      <c r="E48" s="1554"/>
      <c r="F48" s="1554"/>
      <c r="G48" s="1554"/>
      <c r="H48" s="1554"/>
      <c r="I48" s="1555">
        <f ca="1">IFERROR(I44-I46,0)</f>
        <v>0</v>
      </c>
      <c r="J48" s="1555">
        <f ca="1">IFERROR(J44-J46,0)</f>
        <v>0</v>
      </c>
      <c r="K48" s="1555">
        <f ca="1">IFERROR(K44-K46,0)</f>
        <v>0</v>
      </c>
      <c r="L48" s="1555">
        <f ca="1">IFERROR(L44-L46,0)</f>
        <v>0</v>
      </c>
      <c r="M48" s="1555">
        <f ca="1">IFERROR(M44-M46,0)</f>
        <v>0</v>
      </c>
      <c r="N48" s="1057"/>
      <c r="O48" s="1057"/>
      <c r="P48" s="1057"/>
      <c r="Q48" s="1057"/>
    </row>
    <row r="49" spans="1:17">
      <c r="A49" s="1057"/>
      <c r="B49" s="1060" t="s">
        <v>2000</v>
      </c>
      <c r="C49" s="1057"/>
      <c r="D49" s="1057"/>
      <c r="E49" s="1057"/>
      <c r="F49" s="1057"/>
      <c r="G49" s="1057"/>
      <c r="H49" s="1057"/>
      <c r="I49" s="1556"/>
      <c r="J49" s="1556"/>
      <c r="K49" s="1556"/>
      <c r="L49" s="1556"/>
      <c r="M49" s="1556"/>
      <c r="N49" s="1057"/>
      <c r="O49" s="1057"/>
      <c r="P49" s="1057"/>
      <c r="Q49" s="1057"/>
    </row>
    <row r="50" spans="1:17">
      <c r="A50" s="1057"/>
      <c r="B50" s="1057" t="s">
        <v>2001</v>
      </c>
      <c r="C50" s="1057"/>
      <c r="D50" s="1057"/>
      <c r="E50" s="1057"/>
      <c r="F50" s="1057"/>
      <c r="G50" s="1057"/>
      <c r="H50" s="1057"/>
      <c r="I50" s="1523" t="e">
        <f ca="1">I42</f>
        <v>#VALUE!</v>
      </c>
      <c r="J50" s="1523" t="e">
        <f ca="1">J42</f>
        <v>#VALUE!</v>
      </c>
      <c r="K50" s="1523" t="e">
        <f ca="1">K42</f>
        <v>#VALUE!</v>
      </c>
      <c r="L50" s="1523" t="e">
        <f ca="1">L42</f>
        <v>#VALUE!</v>
      </c>
      <c r="M50" s="1523" t="e">
        <f ca="1">M42</f>
        <v>#VALUE!</v>
      </c>
      <c r="N50" s="1057"/>
      <c r="O50" s="1057"/>
      <c r="P50" s="1057"/>
      <c r="Q50" s="1057"/>
    </row>
    <row r="51" spans="1:17">
      <c r="A51" s="1057"/>
      <c r="B51" s="1057" t="s">
        <v>2002</v>
      </c>
      <c r="C51" s="1057"/>
      <c r="D51" s="1057"/>
      <c r="E51" s="1557"/>
      <c r="F51" s="1557"/>
      <c r="G51" s="1557"/>
      <c r="H51" s="1557"/>
      <c r="I51" s="1535" t="e">
        <f ca="1">-I24</f>
        <v>#VALUE!</v>
      </c>
      <c r="J51" s="1535" t="e">
        <f ca="1">-J24</f>
        <v>#VALUE!</v>
      </c>
      <c r="K51" s="1535" t="e">
        <f ca="1">-K24</f>
        <v>#VALUE!</v>
      </c>
      <c r="L51" s="1535" t="e">
        <f ca="1">-L24</f>
        <v>#VALUE!</v>
      </c>
      <c r="M51" s="1535" t="e">
        <f ca="1">-M24</f>
        <v>#VALUE!</v>
      </c>
      <c r="N51" s="1057"/>
      <c r="O51" s="1057"/>
      <c r="P51" s="1057"/>
      <c r="Q51" s="1057"/>
    </row>
    <row r="52" spans="1:17">
      <c r="A52" s="1057"/>
      <c r="B52" s="1057" t="s">
        <v>2003</v>
      </c>
      <c r="C52" s="1057"/>
      <c r="D52" s="1057"/>
      <c r="E52" s="1057"/>
      <c r="F52" s="1057"/>
      <c r="G52" s="1057"/>
      <c r="H52" s="1057"/>
      <c r="I52" s="1535" t="e">
        <f ca="1">H21-I21</f>
        <v>#REF!</v>
      </c>
      <c r="J52" s="1535">
        <f ca="1">I21-J21</f>
        <v>0</v>
      </c>
      <c r="K52" s="1535">
        <f ca="1">J21-K21</f>
        <v>0</v>
      </c>
      <c r="L52" s="1535">
        <f ca="1">K21-L21</f>
        <v>0</v>
      </c>
      <c r="M52" s="1535">
        <f ca="1">L21-M21</f>
        <v>0</v>
      </c>
      <c r="N52" s="1057"/>
      <c r="O52" s="1057"/>
      <c r="P52" s="1057"/>
      <c r="Q52" s="1057"/>
    </row>
    <row r="53" spans="1:17">
      <c r="A53" s="1057"/>
      <c r="B53" s="1540" t="s">
        <v>2004</v>
      </c>
      <c r="C53" s="1540"/>
      <c r="D53" s="1540"/>
      <c r="E53" s="1540"/>
      <c r="F53" s="1540"/>
      <c r="G53" s="1540"/>
      <c r="H53" s="1540"/>
      <c r="I53" s="1558" t="e">
        <f ca="1">SUM(I48,I50:I52)</f>
        <v>#VALUE!</v>
      </c>
      <c r="J53" s="1558" t="e">
        <f ca="1">SUM(J48,J50:J52)</f>
        <v>#VALUE!</v>
      </c>
      <c r="K53" s="1558" t="e">
        <f ca="1">SUM(K48,K50:K52)</f>
        <v>#VALUE!</v>
      </c>
      <c r="L53" s="1558" t="e">
        <f ca="1">SUM(L48,L50:L52)</f>
        <v>#VALUE!</v>
      </c>
      <c r="M53" s="1558" t="e">
        <f ca="1">SUM(M48,M50:M52)</f>
        <v>#VALUE!</v>
      </c>
      <c r="N53" s="1057"/>
      <c r="O53" s="1057"/>
      <c r="P53" s="1057"/>
      <c r="Q53" s="1057"/>
    </row>
    <row r="54" spans="1:17">
      <c r="A54" s="1057"/>
      <c r="B54" s="1057" t="s">
        <v>38</v>
      </c>
      <c r="C54" s="1057"/>
      <c r="D54" s="1559">
        <f>WACC_ComputedWACC</f>
        <v>4.7814503140185732E-2</v>
      </c>
      <c r="E54" s="1057"/>
      <c r="F54" s="1057"/>
      <c r="G54" s="1057"/>
      <c r="H54" s="1057"/>
      <c r="I54" s="1057"/>
      <c r="J54" s="1057"/>
      <c r="K54" s="1057"/>
      <c r="L54" s="1057"/>
      <c r="M54" s="1057"/>
      <c r="N54" s="1057"/>
      <c r="O54" s="1057"/>
      <c r="P54" s="1057"/>
      <c r="Q54" s="1057"/>
    </row>
    <row r="55" spans="1:17">
      <c r="A55" s="1057"/>
      <c r="B55" s="1057" t="s">
        <v>2005</v>
      </c>
      <c r="C55" s="1057"/>
      <c r="D55" s="1057"/>
      <c r="E55" s="1057"/>
      <c r="F55" s="1057"/>
      <c r="G55" s="1057"/>
      <c r="H55" s="1057"/>
      <c r="I55" s="1560" t="e">
        <f ca="1">I30-H30-LOOKUP(#REF!,{"N","Y"},{0,0.5})</f>
        <v>#REF!</v>
      </c>
      <c r="J55" s="1560" t="e">
        <f ca="1">I55+1</f>
        <v>#REF!</v>
      </c>
      <c r="K55" s="1560" t="e">
        <f ca="1">J55+1</f>
        <v>#REF!</v>
      </c>
      <c r="L55" s="1560" t="e">
        <f t="shared" ref="L55:M55" ca="1" si="4">K55+1</f>
        <v>#REF!</v>
      </c>
      <c r="M55" s="1560" t="e">
        <f t="shared" ca="1" si="4"/>
        <v>#REF!</v>
      </c>
      <c r="N55" s="1057"/>
      <c r="O55" s="1057"/>
      <c r="P55" s="1057"/>
      <c r="Q55" s="1057"/>
    </row>
    <row r="56" spans="1:17">
      <c r="A56" s="1057"/>
      <c r="B56" s="1057" t="s">
        <v>2006</v>
      </c>
      <c r="C56" s="1057"/>
      <c r="D56" s="1057"/>
      <c r="E56" s="1057"/>
      <c r="F56" s="1057"/>
      <c r="G56" s="1057"/>
      <c r="H56" s="1057"/>
      <c r="I56" s="1561" t="e">
        <f ca="1">1/(1+$D$60)^I55</f>
        <v>#REF!</v>
      </c>
      <c r="J56" s="1561" t="e">
        <f t="shared" ref="J56:M56" ca="1" si="5">1/(1+$D$60)^J55</f>
        <v>#REF!</v>
      </c>
      <c r="K56" s="1561" t="e">
        <f t="shared" ca="1" si="5"/>
        <v>#REF!</v>
      </c>
      <c r="L56" s="1561" t="e">
        <f t="shared" ca="1" si="5"/>
        <v>#REF!</v>
      </c>
      <c r="M56" s="1561" t="e">
        <f t="shared" ca="1" si="5"/>
        <v>#REF!</v>
      </c>
      <c r="N56" s="1057"/>
      <c r="O56" s="1057"/>
      <c r="P56" s="1057"/>
      <c r="Q56" s="1057"/>
    </row>
    <row r="57" spans="1:17">
      <c r="A57" s="1057"/>
      <c r="B57" s="1525" t="s">
        <v>2007</v>
      </c>
      <c r="C57" s="1525"/>
      <c r="D57" s="1525"/>
      <c r="E57" s="1525"/>
      <c r="F57" s="1525"/>
      <c r="G57" s="1525"/>
      <c r="H57" s="1525"/>
      <c r="I57" s="1554" t="e">
        <f ca="1">I53*I56</f>
        <v>#VALUE!</v>
      </c>
      <c r="J57" s="1554" t="e">
        <f t="shared" ref="J57" ca="1" si="6">J53*J56</f>
        <v>#VALUE!</v>
      </c>
      <c r="K57" s="1554" t="e">
        <f ca="1">K53*K56</f>
        <v>#VALUE!</v>
      </c>
      <c r="L57" s="1554" t="e">
        <f t="shared" ref="L57:M57" ca="1" si="7">L53*L56</f>
        <v>#VALUE!</v>
      </c>
      <c r="M57" s="1554" t="e">
        <f t="shared" ca="1" si="7"/>
        <v>#VALUE!</v>
      </c>
      <c r="N57" s="1057"/>
      <c r="O57" s="1057"/>
      <c r="P57" s="1057"/>
      <c r="Q57" s="1057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548135"/>
  </sheetPr>
  <dimension ref="A1:Z1003"/>
  <sheetViews>
    <sheetView showGridLines="0" zoomScale="55" zoomScaleNormal="55" workbookViewId="0">
      <selection activeCell="B26" sqref="B26"/>
    </sheetView>
  </sheetViews>
  <sheetFormatPr defaultColWidth="12.5703125" defaultRowHeight="15" customHeight="1"/>
  <cols>
    <col min="1" max="1" width="3" customWidth="1"/>
    <col min="2" max="2" width="45.28515625" customWidth="1"/>
    <col min="3" max="3" width="8.7109375" customWidth="1"/>
    <col min="4" max="4" width="13.140625" customWidth="1"/>
    <col min="5" max="5" width="12.5703125" customWidth="1"/>
    <col min="6" max="8" width="13.140625" customWidth="1"/>
    <col min="9" max="9" width="15.140625" customWidth="1"/>
    <col min="10" max="14" width="13.140625" customWidth="1"/>
    <col min="15" max="15" width="12.5703125" customWidth="1"/>
    <col min="16" max="26" width="12.7109375" customWidth="1"/>
  </cols>
  <sheetData>
    <row r="1" spans="1:25" ht="16.5">
      <c r="A1" s="6"/>
      <c r="B1" s="6"/>
      <c r="C1" s="6"/>
      <c r="D1" s="6"/>
      <c r="E1" s="187">
        <f>'Control Panel'!V5</f>
        <v>2020</v>
      </c>
      <c r="F1" s="187">
        <f>'Control Panel'!W5</f>
        <v>2021</v>
      </c>
      <c r="G1" s="187">
        <f>'Control Panel'!X5</f>
        <v>2022</v>
      </c>
      <c r="H1" s="187">
        <f>'Control Panel'!Y5</f>
        <v>2023</v>
      </c>
      <c r="I1" s="917">
        <f>'Control Panel'!Z5</f>
        <v>2024</v>
      </c>
      <c r="J1" s="187">
        <f>'Control Panel'!AA5</f>
        <v>2025</v>
      </c>
      <c r="K1" s="187">
        <f>'Control Panel'!AB5</f>
        <v>2026</v>
      </c>
      <c r="L1" s="187">
        <f>'Control Panel'!AC5</f>
        <v>2027</v>
      </c>
      <c r="M1" s="187">
        <f>'Control Panel'!AD5</f>
        <v>2028</v>
      </c>
      <c r="N1" s="187">
        <v>2029</v>
      </c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ht="16.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5" ht="16.5">
      <c r="A3" s="6"/>
      <c r="B3" s="20" t="s">
        <v>610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ht="16.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ht="16.5">
      <c r="A5" s="6"/>
      <c r="B5" s="19" t="s">
        <v>116</v>
      </c>
      <c r="C5" s="6"/>
      <c r="D5" s="6"/>
      <c r="E5" s="6"/>
      <c r="F5" s="6"/>
      <c r="G5" s="6"/>
      <c r="H5" s="6"/>
      <c r="I5" s="918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25" ht="16.5">
      <c r="A6" s="6"/>
      <c r="B6" s="6" t="s">
        <v>611</v>
      </c>
      <c r="C6" s="6"/>
      <c r="D6" s="188"/>
      <c r="E6" s="919">
        <f>'Control Panel'!V6</f>
        <v>43861</v>
      </c>
      <c r="F6" s="919">
        <f>'Control Panel'!W6</f>
        <v>44227</v>
      </c>
      <c r="G6" s="919">
        <f>'Control Panel'!X6</f>
        <v>44592</v>
      </c>
      <c r="H6" s="919">
        <f>'Control Panel'!Y6</f>
        <v>44957</v>
      </c>
      <c r="I6" s="925">
        <f>'Control Panel'!Z6</f>
        <v>45322</v>
      </c>
      <c r="J6" s="919">
        <f>'Control Panel'!AA6</f>
        <v>45688</v>
      </c>
      <c r="K6" s="919">
        <f>'Control Panel'!AB6</f>
        <v>46053</v>
      </c>
      <c r="L6" s="919">
        <f>'Control Panel'!AC6</f>
        <v>46418</v>
      </c>
      <c r="M6" s="919">
        <f>'Control Panel'!AD6</f>
        <v>46783</v>
      </c>
      <c r="N6" s="919">
        <f>'Control Panel'!AE6</f>
        <v>47149</v>
      </c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25" ht="16.5">
      <c r="A7" s="6"/>
      <c r="B7" s="6"/>
      <c r="C7" s="6"/>
      <c r="D7" s="6"/>
      <c r="E7" s="920"/>
      <c r="F7" s="920"/>
      <c r="G7" s="920"/>
      <c r="H7" s="920"/>
      <c r="I7" s="921"/>
      <c r="J7" s="920"/>
      <c r="K7" s="920"/>
      <c r="L7" s="920"/>
      <c r="M7" s="920"/>
      <c r="N7" s="920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ht="16.5">
      <c r="A8" s="6"/>
      <c r="B8" s="6" t="s">
        <v>82</v>
      </c>
      <c r="C8" s="6"/>
      <c r="D8" s="6"/>
      <c r="E8" s="922">
        <v>100</v>
      </c>
      <c r="F8" s="922">
        <v>100</v>
      </c>
      <c r="G8" s="922">
        <v>100</v>
      </c>
      <c r="H8" s="922">
        <v>100</v>
      </c>
      <c r="I8" s="923">
        <v>100</v>
      </c>
      <c r="J8" s="922">
        <v>100</v>
      </c>
      <c r="K8" s="922">
        <v>100</v>
      </c>
      <c r="L8" s="922">
        <v>100</v>
      </c>
      <c r="M8" s="922">
        <v>100</v>
      </c>
      <c r="N8" s="922">
        <v>100</v>
      </c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 ht="16.5">
      <c r="A9" s="6"/>
      <c r="B9" s="6" t="s">
        <v>203</v>
      </c>
      <c r="C9" s="6"/>
      <c r="D9" s="6"/>
      <c r="E9" s="922">
        <v>50</v>
      </c>
      <c r="F9" s="922">
        <v>50</v>
      </c>
      <c r="G9" s="922">
        <v>50</v>
      </c>
      <c r="H9" s="922">
        <v>50</v>
      </c>
      <c r="I9" s="923">
        <v>50</v>
      </c>
      <c r="J9" s="922">
        <v>50</v>
      </c>
      <c r="K9" s="922">
        <v>50</v>
      </c>
      <c r="L9" s="922">
        <v>50</v>
      </c>
      <c r="M9" s="922">
        <v>50</v>
      </c>
      <c r="N9" s="922">
        <v>50</v>
      </c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 ht="16.5">
      <c r="A10" s="6"/>
      <c r="B10" s="6" t="s">
        <v>1409</v>
      </c>
      <c r="C10" s="6"/>
      <c r="D10" s="6"/>
      <c r="E10" s="920"/>
      <c r="F10" s="920"/>
      <c r="G10" s="920"/>
      <c r="H10" s="920"/>
      <c r="I10" s="924"/>
      <c r="J10" s="920"/>
      <c r="K10" s="920"/>
      <c r="L10" s="920"/>
      <c r="M10" s="920"/>
      <c r="N10" s="920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1:25" ht="16.5">
      <c r="A11" s="6"/>
      <c r="B11" s="6"/>
      <c r="C11" s="6"/>
      <c r="D11" s="6"/>
      <c r="E11" s="920"/>
      <c r="F11" s="920"/>
      <c r="G11" s="920"/>
      <c r="H11" s="920"/>
      <c r="I11" s="920"/>
      <c r="J11" s="920"/>
      <c r="K11" s="920"/>
      <c r="L11" s="920"/>
      <c r="M11" s="920"/>
      <c r="N11" s="920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1:25" ht="16.5">
      <c r="A12" s="6"/>
      <c r="B12" s="6"/>
      <c r="C12" s="6"/>
      <c r="D12" s="6"/>
      <c r="E12" s="920"/>
      <c r="F12" s="920"/>
      <c r="G12" s="920"/>
      <c r="H12" s="920"/>
      <c r="I12" s="920"/>
      <c r="J12" s="920"/>
      <c r="K12" s="920"/>
      <c r="L12" s="920"/>
      <c r="M12" s="920"/>
      <c r="N12" s="920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1:25" ht="16.5">
      <c r="A13" s="6"/>
      <c r="B13" s="6"/>
      <c r="C13" s="6"/>
      <c r="D13" s="6"/>
      <c r="E13" s="920"/>
      <c r="F13" s="920"/>
      <c r="G13" s="920"/>
      <c r="H13" s="920"/>
      <c r="I13" s="920"/>
      <c r="J13" s="920"/>
      <c r="K13" s="920"/>
      <c r="L13" s="920"/>
      <c r="M13" s="920"/>
      <c r="N13" s="920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1:25" ht="16.5">
      <c r="A14" s="6"/>
      <c r="B14" s="6"/>
      <c r="C14" s="6"/>
      <c r="D14" s="6"/>
      <c r="E14" s="920"/>
      <c r="F14" s="920"/>
      <c r="G14" s="920"/>
      <c r="H14" s="920"/>
      <c r="I14" s="920"/>
      <c r="J14" s="920"/>
      <c r="K14" s="920"/>
      <c r="L14" s="920"/>
      <c r="M14" s="920"/>
      <c r="N14" s="920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spans="1:25" ht="16.5">
      <c r="A15" s="6"/>
      <c r="B15" s="6"/>
      <c r="C15" s="6"/>
      <c r="D15" s="6"/>
      <c r="E15" s="920"/>
      <c r="F15" s="920"/>
      <c r="G15" s="920"/>
      <c r="H15" s="920"/>
      <c r="I15" s="920"/>
      <c r="J15" s="920"/>
      <c r="K15" s="920"/>
      <c r="L15" s="920"/>
      <c r="M15" s="920"/>
      <c r="N15" s="920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spans="1:25" ht="16.5">
      <c r="A16" s="6"/>
      <c r="B16" s="19" t="s">
        <v>612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spans="1:26" ht="16.5">
      <c r="A17" s="6"/>
      <c r="B17" s="6" t="s">
        <v>33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1:26" ht="16.5">
      <c r="A18" s="6"/>
      <c r="B18" s="191" t="s">
        <v>34</v>
      </c>
      <c r="C18" s="191"/>
      <c r="D18" s="191"/>
      <c r="E18" s="191"/>
      <c r="F18" s="191"/>
      <c r="G18" s="191"/>
      <c r="H18" s="191"/>
      <c r="I18" s="191"/>
      <c r="J18" s="191"/>
      <c r="K18" s="191"/>
      <c r="L18" s="191"/>
      <c r="M18" s="191"/>
      <c r="N18" s="191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spans="1:26" ht="16.5">
      <c r="A19" s="6"/>
      <c r="B19" s="6" t="s">
        <v>35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spans="1:26" ht="16.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192"/>
      <c r="Q20" s="6"/>
      <c r="R20" s="6"/>
      <c r="S20" s="6"/>
      <c r="T20" s="6"/>
      <c r="U20" s="6"/>
      <c r="V20" s="6"/>
      <c r="W20" s="6"/>
      <c r="X20" s="6"/>
      <c r="Y20" s="6"/>
    </row>
    <row r="21" spans="1:26" ht="16.5">
      <c r="A21" s="6"/>
      <c r="B21" s="191" t="s">
        <v>613</v>
      </c>
      <c r="C21" s="191"/>
      <c r="D21" s="191"/>
      <c r="E21" s="191"/>
      <c r="F21" s="191"/>
      <c r="G21" s="191"/>
      <c r="H21" s="191"/>
      <c r="I21" s="191"/>
      <c r="J21" s="191"/>
      <c r="K21" s="191"/>
      <c r="L21" s="191"/>
      <c r="M21" s="191"/>
      <c r="N21" s="191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spans="1:26" ht="16.5">
      <c r="A22" s="19" t="s">
        <v>77</v>
      </c>
      <c r="B22" s="19" t="s">
        <v>614</v>
      </c>
      <c r="C22" s="19"/>
      <c r="D22" s="193">
        <v>0</v>
      </c>
      <c r="E22" s="193" t="e">
        <f>+(E9*#REF!)</f>
        <v>#REF!</v>
      </c>
      <c r="F22" s="193" t="e">
        <f>+(F9*#REF!)</f>
        <v>#REF!</v>
      </c>
      <c r="G22" s="193" t="e">
        <f>+(G9*#REF!)</f>
        <v>#REF!</v>
      </c>
      <c r="H22" s="193" t="e">
        <f>+(H9*#REF!)</f>
        <v>#REF!</v>
      </c>
      <c r="I22" s="193" t="e">
        <f>+(I9*#REF!)</f>
        <v>#REF!</v>
      </c>
      <c r="J22" s="193" t="e">
        <f>+(J9*#REF!)</f>
        <v>#REF!</v>
      </c>
      <c r="K22" s="193" t="e">
        <f>+(K9*#REF!)</f>
        <v>#REF!</v>
      </c>
      <c r="L22" s="193" t="e">
        <f>+(L9*#REF!)</f>
        <v>#REF!</v>
      </c>
      <c r="M22" s="193" t="e">
        <f>+(M9*#REF!)</f>
        <v>#REF!</v>
      </c>
      <c r="N22" s="193" t="e">
        <f>+(N9*#REF!)</f>
        <v>#REF!</v>
      </c>
      <c r="O22" s="19"/>
      <c r="P22" s="194"/>
      <c r="Q22" s="19"/>
      <c r="R22" s="19"/>
      <c r="S22" s="19"/>
      <c r="T22" s="19"/>
      <c r="U22" s="19"/>
      <c r="V22" s="19"/>
      <c r="W22" s="19"/>
      <c r="X22" s="19"/>
      <c r="Y22" s="19"/>
    </row>
    <row r="23" spans="1:26" ht="16.5">
      <c r="A23" s="19"/>
      <c r="B23" s="19" t="s">
        <v>612</v>
      </c>
      <c r="C23" s="19"/>
      <c r="D23" s="193">
        <v>0</v>
      </c>
      <c r="E23" s="193">
        <v>0</v>
      </c>
      <c r="F23" s="193">
        <v>0</v>
      </c>
      <c r="G23" s="193">
        <v>0</v>
      </c>
      <c r="H23" s="193">
        <v>0</v>
      </c>
      <c r="I23" s="193">
        <v>0</v>
      </c>
      <c r="J23" s="193">
        <v>0</v>
      </c>
      <c r="K23" s="193">
        <v>0</v>
      </c>
      <c r="L23" s="193">
        <v>0</v>
      </c>
      <c r="M23" s="193">
        <v>0</v>
      </c>
      <c r="N23" s="193">
        <v>0</v>
      </c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</row>
    <row r="24" spans="1:26" ht="15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5.75" customHeight="1">
      <c r="A26" s="6"/>
      <c r="B26" s="195" t="s">
        <v>615</v>
      </c>
      <c r="C26" s="196"/>
      <c r="D26" s="196"/>
      <c r="E26" s="196"/>
      <c r="F26" s="196"/>
      <c r="G26" s="6"/>
      <c r="H26" s="6"/>
      <c r="I26" s="1195" t="s">
        <v>616</v>
      </c>
      <c r="J26" s="1195"/>
      <c r="K26" s="1195"/>
      <c r="L26" s="1195"/>
      <c r="M26" s="1195"/>
      <c r="N26" s="1195"/>
      <c r="O26" s="1195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.75" customHeight="1">
      <c r="A27" s="6"/>
      <c r="B27" s="6" t="s">
        <v>617</v>
      </c>
      <c r="C27" s="6"/>
      <c r="D27" s="190"/>
      <c r="E27" s="190"/>
      <c r="F27" s="190" t="e">
        <f>+XNPV(_WACC,$D$22:$N$22,#REF!)</f>
        <v>#REF!</v>
      </c>
      <c r="G27" s="6"/>
      <c r="H27" s="6"/>
      <c r="I27" s="55"/>
      <c r="O27" s="5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5.75" customHeight="1">
      <c r="A28" s="6"/>
      <c r="B28" s="6" t="s">
        <v>618</v>
      </c>
      <c r="C28" s="6"/>
      <c r="D28" s="190"/>
      <c r="E28" s="190"/>
      <c r="F28" s="190" t="e">
        <f>+XNPV(_WACC,$D$23:$N$23,#REF!)</f>
        <v>#REF!</v>
      </c>
      <c r="G28" s="6"/>
      <c r="H28" s="6"/>
      <c r="I28" s="55"/>
      <c r="K28" s="1193" t="s">
        <v>619</v>
      </c>
      <c r="L28" s="1193"/>
      <c r="M28" s="1193"/>
      <c r="N28" s="1193"/>
      <c r="O28" s="1194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5.75" customHeight="1">
      <c r="A29" s="6"/>
      <c r="B29" s="197" t="s">
        <v>0</v>
      </c>
      <c r="C29" s="197"/>
      <c r="D29" s="198"/>
      <c r="E29" s="198"/>
      <c r="F29" s="198" t="e">
        <f>SUM(F27:F28)</f>
        <v>#REF!</v>
      </c>
      <c r="G29" s="6"/>
      <c r="H29" s="6"/>
      <c r="I29" s="55"/>
      <c r="J29" s="199" t="e">
        <f>+$F$33</f>
        <v>#REF!</v>
      </c>
      <c r="K29" s="200">
        <f t="shared" ref="K29:L29" si="0">L29-5</f>
        <v>15</v>
      </c>
      <c r="L29" s="200">
        <f t="shared" si="0"/>
        <v>20</v>
      </c>
      <c r="M29" s="201">
        <f>'Control Panel'!$F$19</f>
        <v>25</v>
      </c>
      <c r="N29" s="200">
        <f t="shared" ref="N29" si="1">M29+5</f>
        <v>30</v>
      </c>
      <c r="O29" s="202">
        <f>N29+5</f>
        <v>35</v>
      </c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15.75" customHeight="1">
      <c r="A30" s="19"/>
      <c r="B30" s="191" t="s">
        <v>620</v>
      </c>
      <c r="C30" s="191"/>
      <c r="D30" s="203"/>
      <c r="E30" s="203"/>
      <c r="F30" s="203">
        <f>-Comps!$I$8</f>
        <v>-59107</v>
      </c>
      <c r="G30" s="19"/>
      <c r="H30" s="19"/>
      <c r="I30" s="1200" t="s">
        <v>621</v>
      </c>
      <c r="J30" s="204" t="e">
        <f t="shared" ref="J30:J31" si="2">J31+1%</f>
        <v>#REF!</v>
      </c>
      <c r="K30" s="205"/>
      <c r="L30" s="206" t="e">
        <v>#REF!</v>
      </c>
      <c r="M30" s="206" t="e">
        <v>#REF!</v>
      </c>
      <c r="N30" s="206" t="e">
        <v>#REF!</v>
      </c>
      <c r="O30" s="207" t="e">
        <v>#REF!</v>
      </c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5.75" customHeight="1">
      <c r="A31" s="6"/>
      <c r="B31" s="19" t="s">
        <v>622</v>
      </c>
      <c r="C31" s="19"/>
      <c r="D31" s="198"/>
      <c r="E31" s="198"/>
      <c r="F31" s="198" t="e">
        <f>+F29+F30</f>
        <v>#REF!</v>
      </c>
      <c r="G31" s="6"/>
      <c r="H31" s="6"/>
      <c r="I31" s="1201"/>
      <c r="J31" s="204" t="e">
        <f t="shared" si="2"/>
        <v>#REF!</v>
      </c>
      <c r="K31" s="5" t="e">
        <v>#REF!</v>
      </c>
      <c r="L31" s="5" t="e">
        <v>#REF!</v>
      </c>
      <c r="M31" s="5" t="e">
        <v>#REF!</v>
      </c>
      <c r="N31" s="5" t="e">
        <v>#REF!</v>
      </c>
      <c r="O31" s="208" t="e">
        <v>#REF!</v>
      </c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.75" customHeight="1">
      <c r="A32" s="6"/>
      <c r="B32" s="191" t="s">
        <v>14</v>
      </c>
      <c r="C32" s="191"/>
      <c r="D32" s="209"/>
      <c r="E32" s="209"/>
      <c r="F32" s="209">
        <f>Comps!$E$8</f>
        <v>518.20000000000005</v>
      </c>
      <c r="G32" s="6"/>
      <c r="H32" s="6"/>
      <c r="I32" s="1201"/>
      <c r="J32" s="210" t="e">
        <f>WACC!$R$29</f>
        <v>#REF!</v>
      </c>
      <c r="K32" s="5" t="e">
        <v>#REF!</v>
      </c>
      <c r="L32" s="5" t="e">
        <v>#REF!</v>
      </c>
      <c r="M32" s="5" t="e">
        <v>#REF!</v>
      </c>
      <c r="N32" s="5" t="e">
        <v>#REF!</v>
      </c>
      <c r="O32" s="208" t="e">
        <v>#REF!</v>
      </c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5.75" customHeight="1">
      <c r="A33" s="6"/>
      <c r="B33" s="19" t="s">
        <v>623</v>
      </c>
      <c r="C33" s="19"/>
      <c r="D33" s="193"/>
      <c r="E33" s="193"/>
      <c r="F33" s="193" t="e">
        <f>+F31/F32</f>
        <v>#REF!</v>
      </c>
      <c r="G33" s="6"/>
      <c r="H33" s="6"/>
      <c r="I33" s="1201"/>
      <c r="J33" s="204" t="e">
        <f t="shared" ref="J33:J34" si="3">J32-1%</f>
        <v>#REF!</v>
      </c>
      <c r="K33" s="5" t="e">
        <v>#REF!</v>
      </c>
      <c r="L33" s="5" t="e">
        <v>#REF!</v>
      </c>
      <c r="M33" s="5" t="e">
        <v>#REF!</v>
      </c>
      <c r="N33" s="5" t="e">
        <v>#REF!</v>
      </c>
      <c r="O33" s="208" t="e">
        <v>#REF!</v>
      </c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5.75" customHeight="1">
      <c r="A34" s="6"/>
      <c r="B34" s="6"/>
      <c r="C34" s="6"/>
      <c r="D34" s="6"/>
      <c r="E34" s="6"/>
      <c r="F34" s="6"/>
      <c r="G34" s="6"/>
      <c r="H34" s="6"/>
      <c r="I34" s="1201"/>
      <c r="J34" s="204" t="e">
        <f t="shared" si="3"/>
        <v>#REF!</v>
      </c>
      <c r="K34" s="5" t="e">
        <v>#REF!</v>
      </c>
      <c r="L34" s="5" t="e">
        <v>#REF!</v>
      </c>
      <c r="M34" s="5" t="e">
        <v>#REF!</v>
      </c>
      <c r="N34" s="5" t="e">
        <v>#REF!</v>
      </c>
      <c r="O34" s="208" t="e">
        <v>#REF!</v>
      </c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5.75" customHeight="1">
      <c r="A35" s="6"/>
      <c r="B35" s="211"/>
      <c r="C35" s="50"/>
      <c r="D35" s="50"/>
      <c r="E35" s="50"/>
      <c r="F35" s="50"/>
      <c r="G35" s="6"/>
      <c r="H35" s="6"/>
      <c r="I35" s="212"/>
      <c r="J35" s="6"/>
      <c r="K35" s="6"/>
      <c r="L35" s="6"/>
      <c r="M35" s="6"/>
      <c r="N35" s="6"/>
      <c r="O35" s="213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5.75" customHeight="1">
      <c r="A36" s="6"/>
      <c r="B36" s="27"/>
      <c r="C36" s="50"/>
      <c r="D36" s="50"/>
      <c r="E36" s="50"/>
      <c r="F36" s="50"/>
      <c r="G36" s="6"/>
      <c r="H36" s="6"/>
      <c r="I36" s="55"/>
      <c r="K36" s="1193" t="s">
        <v>624</v>
      </c>
      <c r="L36" s="1193"/>
      <c r="M36" s="1193"/>
      <c r="N36" s="1193"/>
      <c r="O36" s="1194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5.75" customHeight="1">
      <c r="A37" s="6"/>
      <c r="B37" s="6" t="s">
        <v>1130</v>
      </c>
      <c r="C37" s="6"/>
      <c r="D37" s="6"/>
      <c r="E37" s="6"/>
      <c r="F37" s="6"/>
      <c r="G37" s="6"/>
      <c r="H37" s="6"/>
      <c r="I37" s="55"/>
      <c r="J37" s="199" t="e">
        <f>+$F$33</f>
        <v>#REF!</v>
      </c>
      <c r="K37" s="214">
        <f t="shared" ref="K37:L37" si="4">L37-1%</f>
        <v>-0.02</v>
      </c>
      <c r="L37" s="214">
        <f t="shared" si="4"/>
        <v>-0.01</v>
      </c>
      <c r="M37" s="215">
        <f>'Control Panel'!$S$13</f>
        <v>0</v>
      </c>
      <c r="N37" s="214">
        <f t="shared" ref="N37" si="5">M37+1%</f>
        <v>0.01</v>
      </c>
      <c r="O37" s="216">
        <f>N37+1%</f>
        <v>0.02</v>
      </c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.75" customHeight="1">
      <c r="A38" s="6"/>
      <c r="B38" s="6"/>
      <c r="C38" s="6"/>
      <c r="D38" s="6"/>
      <c r="E38" s="6"/>
      <c r="F38" s="6"/>
      <c r="G38" s="6"/>
      <c r="H38" s="6"/>
      <c r="I38" s="1202" t="s">
        <v>24</v>
      </c>
      <c r="J38" s="204">
        <f t="shared" ref="J38:J39" si="6">J39+5%</f>
        <v>0.3</v>
      </c>
      <c r="K38" s="205"/>
      <c r="L38" s="206" t="e">
        <v>#REF!</v>
      </c>
      <c r="M38" s="206" t="e">
        <v>#REF!</v>
      </c>
      <c r="N38" s="206" t="e">
        <v>#REF!</v>
      </c>
      <c r="O38" s="207" t="e">
        <v>#REF!</v>
      </c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.75" customHeight="1">
      <c r="A39" s="6"/>
      <c r="B39" s="6"/>
      <c r="C39" s="19"/>
      <c r="D39" s="6"/>
      <c r="E39" s="6"/>
      <c r="F39" s="6"/>
      <c r="G39" s="6"/>
      <c r="H39" s="6"/>
      <c r="I39" s="1201"/>
      <c r="J39" s="204">
        <f t="shared" si="6"/>
        <v>0.25</v>
      </c>
      <c r="K39" s="5" t="e">
        <v>#REF!</v>
      </c>
      <c r="L39" s="5" t="e">
        <v>#REF!</v>
      </c>
      <c r="M39" s="5" t="e">
        <v>#REF!</v>
      </c>
      <c r="N39" s="5" t="e">
        <v>#REF!</v>
      </c>
      <c r="O39" s="208" t="e">
        <v>#REF!</v>
      </c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5.75" customHeight="1">
      <c r="A40" s="6"/>
      <c r="B40" s="740" t="s">
        <v>1131</v>
      </c>
      <c r="C40" s="741"/>
      <c r="D40" s="742">
        <f>C42/C43</f>
        <v>10</v>
      </c>
      <c r="E40" s="6"/>
      <c r="F40" s="6"/>
      <c r="G40" s="6"/>
      <c r="H40" s="6"/>
      <c r="I40" s="1201"/>
      <c r="J40" s="210">
        <f>'Control Panel'!$S$8</f>
        <v>0.2</v>
      </c>
      <c r="K40" s="5" t="e">
        <v>#REF!</v>
      </c>
      <c r="L40" s="5" t="e">
        <v>#REF!</v>
      </c>
      <c r="M40" s="5" t="e">
        <v>#REF!</v>
      </c>
      <c r="N40" s="5" t="e">
        <v>#REF!</v>
      </c>
      <c r="O40" s="208" t="e">
        <v>#REF!</v>
      </c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5.75" customHeight="1">
      <c r="A41" s="6"/>
      <c r="B41" s="19"/>
      <c r="C41" s="6"/>
      <c r="D41" s="6"/>
      <c r="E41" s="6"/>
      <c r="F41" s="6"/>
      <c r="G41" s="6"/>
      <c r="H41" s="6"/>
      <c r="I41" s="1201"/>
      <c r="J41" s="204">
        <f t="shared" ref="J41:J42" si="7">J40-5%</f>
        <v>0.15000000000000002</v>
      </c>
      <c r="K41" s="5" t="e">
        <v>#REF!</v>
      </c>
      <c r="L41" s="5" t="e">
        <v>#REF!</v>
      </c>
      <c r="M41" s="5" t="e">
        <v>#REF!</v>
      </c>
      <c r="N41" s="5" t="e">
        <v>#REF!</v>
      </c>
      <c r="O41" s="208" t="e">
        <v>#REF!</v>
      </c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5.75" customHeight="1">
      <c r="A42" s="6"/>
      <c r="B42" s="19" t="s">
        <v>1132</v>
      </c>
      <c r="C42" s="6">
        <v>100</v>
      </c>
      <c r="D42" s="6"/>
      <c r="E42" s="6"/>
      <c r="F42" s="6"/>
      <c r="G42" s="6"/>
      <c r="H42" s="6"/>
      <c r="I42" s="1201"/>
      <c r="J42" s="204">
        <f t="shared" si="7"/>
        <v>0.10000000000000002</v>
      </c>
      <c r="K42" s="5" t="e">
        <v>#REF!</v>
      </c>
      <c r="L42" s="5" t="e">
        <v>#REF!</v>
      </c>
      <c r="M42" s="5" t="e">
        <v>#REF!</v>
      </c>
      <c r="N42" s="5" t="e">
        <v>#REF!</v>
      </c>
      <c r="O42" s="208" t="e">
        <v>#REF!</v>
      </c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5.75" customHeight="1">
      <c r="A43" s="6"/>
      <c r="B43" s="19" t="s">
        <v>1133</v>
      </c>
      <c r="C43" s="6">
        <f>10</f>
        <v>10</v>
      </c>
      <c r="D43" s="6"/>
      <c r="E43" s="6"/>
      <c r="F43" s="6"/>
      <c r="G43" s="6"/>
      <c r="H43" s="6"/>
      <c r="I43" s="217"/>
      <c r="J43" s="191"/>
      <c r="K43" s="191"/>
      <c r="L43" s="191"/>
      <c r="M43" s="191"/>
      <c r="N43" s="191"/>
      <c r="O43" s="218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5.75" customHeight="1">
      <c r="A45" s="6"/>
      <c r="B45" s="6"/>
      <c r="C45" s="6"/>
      <c r="D45" s="6"/>
      <c r="E45" s="6"/>
      <c r="F45" s="6"/>
      <c r="G45" s="6"/>
      <c r="H45" s="6"/>
      <c r="I45" s="219" t="s">
        <v>625</v>
      </c>
      <c r="J45" s="220"/>
      <c r="K45" s="221"/>
      <c r="L45" s="221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5.75" customHeight="1">
      <c r="A46" s="6"/>
      <c r="B46" s="6"/>
      <c r="C46" s="6"/>
      <c r="D46" s="6"/>
      <c r="E46" s="6"/>
      <c r="F46" s="6"/>
      <c r="G46" s="6"/>
      <c r="H46" s="6"/>
      <c r="I46" s="37" t="s">
        <v>621</v>
      </c>
      <c r="J46" s="6"/>
      <c r="K46" s="6"/>
      <c r="L46" s="222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.75" customHeight="1">
      <c r="A47" s="6"/>
      <c r="B47" s="6"/>
      <c r="C47" s="6"/>
      <c r="D47" s="6"/>
      <c r="E47" s="6"/>
      <c r="F47" s="6"/>
      <c r="G47" s="50"/>
      <c r="H47" s="50"/>
      <c r="I47" s="37" t="s">
        <v>39</v>
      </c>
      <c r="J47" s="6"/>
      <c r="K47" s="6"/>
      <c r="L47" s="223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5.75" customHeight="1">
      <c r="A48" s="6"/>
      <c r="B48" s="6"/>
      <c r="C48" s="6"/>
      <c r="D48" s="6"/>
      <c r="E48" s="6"/>
      <c r="F48" s="6"/>
      <c r="G48" s="6"/>
      <c r="H48" s="6"/>
      <c r="I48" s="37" t="s">
        <v>24</v>
      </c>
      <c r="J48" s="6"/>
      <c r="K48" s="6"/>
      <c r="L48" s="222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5.75" customHeight="1">
      <c r="A49" s="6"/>
      <c r="B49" s="6"/>
      <c r="C49" s="6"/>
      <c r="D49" s="6"/>
      <c r="E49" s="6"/>
      <c r="F49" s="6"/>
      <c r="G49" s="6"/>
      <c r="H49" s="6"/>
      <c r="I49" s="37" t="s">
        <v>42</v>
      </c>
      <c r="J49" s="6"/>
      <c r="K49" s="6"/>
      <c r="L49" s="222"/>
      <c r="M49" s="6"/>
      <c r="N49" s="6"/>
      <c r="O49" s="6"/>
      <c r="P49" s="6"/>
      <c r="Q49" s="192"/>
      <c r="R49" s="6"/>
      <c r="S49" s="6"/>
      <c r="T49" s="6"/>
      <c r="U49" s="6"/>
      <c r="V49" s="6"/>
      <c r="W49" s="6"/>
      <c r="X49" s="6"/>
      <c r="Y49" s="6"/>
      <c r="Z49" s="6"/>
    </row>
    <row r="50" spans="1:26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5.75" customHeight="1">
      <c r="A51" s="6"/>
      <c r="B51" s="6"/>
      <c r="C51" s="6"/>
      <c r="D51" s="6"/>
      <c r="E51" s="6"/>
      <c r="F51" s="6"/>
      <c r="G51" s="6"/>
      <c r="H51" s="6"/>
      <c r="I51" s="471" t="s">
        <v>945</v>
      </c>
      <c r="J51" s="472"/>
      <c r="K51" s="472"/>
      <c r="L51" s="472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5.75" customHeight="1">
      <c r="A52" s="6"/>
      <c r="B52" s="6"/>
      <c r="C52" s="6"/>
      <c r="D52" s="6"/>
      <c r="E52" s="6"/>
      <c r="F52" s="6"/>
      <c r="G52" s="6"/>
      <c r="H52" s="6"/>
      <c r="I52" s="473"/>
      <c r="J52" s="473"/>
      <c r="K52" s="473"/>
      <c r="L52" s="473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5.75" customHeight="1">
      <c r="A53" s="6"/>
      <c r="B53" s="6"/>
      <c r="C53" s="6"/>
      <c r="D53" s="6"/>
      <c r="E53" s="6"/>
      <c r="F53" s="6"/>
      <c r="G53" s="6"/>
      <c r="H53" s="6"/>
      <c r="I53" s="474"/>
      <c r="J53" s="474"/>
      <c r="K53" s="474"/>
      <c r="L53" s="474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5.75" customHeight="1">
      <c r="A54" s="6"/>
      <c r="B54" s="12"/>
      <c r="C54" s="6"/>
      <c r="D54" s="6"/>
      <c r="E54" s="6"/>
      <c r="F54" s="6"/>
      <c r="G54" s="6"/>
      <c r="H54" s="6"/>
      <c r="I54" s="475" t="s">
        <v>946</v>
      </c>
      <c r="J54" s="475"/>
      <c r="K54" s="476"/>
      <c r="L54" s="477">
        <v>0.02</v>
      </c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5.75" customHeight="1">
      <c r="A55" s="6"/>
      <c r="B55" s="6"/>
      <c r="C55" s="11"/>
      <c r="D55" s="11"/>
      <c r="E55" s="11"/>
      <c r="F55" s="11"/>
      <c r="G55" s="6"/>
      <c r="H55" s="6"/>
      <c r="I55" s="478" t="s">
        <v>38</v>
      </c>
      <c r="J55" s="479"/>
      <c r="K55" s="480"/>
      <c r="L55" s="477">
        <v>0.05</v>
      </c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5.75" customHeight="1">
      <c r="A56" s="6"/>
      <c r="B56" s="12"/>
      <c r="C56" s="13"/>
      <c r="D56" s="13"/>
      <c r="E56" s="13"/>
      <c r="F56" s="13"/>
      <c r="G56" s="224"/>
      <c r="H56" s="225"/>
      <c r="I56" s="478" t="s">
        <v>789</v>
      </c>
      <c r="J56" s="479"/>
      <c r="K56" s="481" t="s">
        <v>1441</v>
      </c>
      <c r="L56" s="482" t="s">
        <v>951</v>
      </c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5.75" customHeight="1">
      <c r="A57" s="6"/>
      <c r="B57" s="12"/>
      <c r="C57" s="13"/>
      <c r="D57" s="13"/>
      <c r="E57" s="13"/>
      <c r="F57" s="13"/>
      <c r="G57" s="6"/>
      <c r="H57" s="6"/>
      <c r="I57" s="478" t="s">
        <v>947</v>
      </c>
      <c r="J57" s="478"/>
      <c r="K57" s="481" t="s">
        <v>948</v>
      </c>
      <c r="L57" s="482" t="s">
        <v>952</v>
      </c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5.75" customHeight="1">
      <c r="A58" s="6"/>
      <c r="B58" s="12"/>
      <c r="C58" s="13"/>
      <c r="D58" s="13"/>
      <c r="E58" s="13"/>
      <c r="F58" s="175"/>
      <c r="G58" s="6"/>
      <c r="H58" s="6"/>
      <c r="I58" s="483" t="s">
        <v>949</v>
      </c>
      <c r="J58" s="484"/>
      <c r="K58" s="485" t="s">
        <v>950</v>
      </c>
      <c r="L58" s="486" t="s">
        <v>953</v>
      </c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5.75" customHeight="1">
      <c r="A59" s="6"/>
      <c r="B59" s="6"/>
      <c r="C59" s="6"/>
      <c r="D59" s="6"/>
      <c r="E59" s="6"/>
      <c r="F59" s="6"/>
      <c r="G59" s="6"/>
      <c r="H59" s="6"/>
      <c r="I59" s="478"/>
      <c r="J59" s="479"/>
      <c r="K59" s="479"/>
      <c r="L59" s="480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5.75" customHeight="1">
      <c r="A60" s="6"/>
      <c r="B60" s="6"/>
      <c r="C60" s="6"/>
      <c r="D60" s="6"/>
      <c r="E60" s="6"/>
      <c r="F60" s="6"/>
      <c r="G60" s="6"/>
      <c r="H60" s="6"/>
      <c r="I60" s="474"/>
      <c r="J60" s="474"/>
      <c r="K60" s="474"/>
      <c r="L60" s="474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19" t="s">
        <v>957</v>
      </c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5.75" customHeight="1">
      <c r="A64" s="6"/>
      <c r="B64" s="158"/>
      <c r="C64" s="158"/>
      <c r="D64" s="158"/>
      <c r="E64" s="158"/>
      <c r="F64" s="158"/>
      <c r="G64" s="158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5.75" customHeight="1">
      <c r="A65" s="6"/>
      <c r="B65" s="158"/>
      <c r="C65" s="158"/>
      <c r="D65" s="1190" t="s">
        <v>626</v>
      </c>
      <c r="E65" s="1191"/>
      <c r="F65" s="1191"/>
      <c r="G65" s="158"/>
      <c r="H65" s="6"/>
      <c r="I65" s="474"/>
      <c r="J65" s="474"/>
      <c r="K65" s="487" t="s">
        <v>954</v>
      </c>
      <c r="L65" s="472"/>
      <c r="M65" s="472"/>
      <c r="N65" s="472"/>
      <c r="O65" s="472"/>
      <c r="P65" s="474"/>
      <c r="Q65" s="474"/>
      <c r="R65" s="488"/>
      <c r="S65" s="489" t="s">
        <v>955</v>
      </c>
      <c r="T65" s="490"/>
      <c r="U65" s="490"/>
      <c r="V65" s="490"/>
      <c r="W65" s="490"/>
      <c r="X65" s="6"/>
      <c r="Y65" s="6"/>
      <c r="Z65" s="6"/>
    </row>
    <row r="66" spans="1:26" ht="15.75" customHeight="1">
      <c r="A66" s="6"/>
      <c r="B66" s="158"/>
      <c r="C66" s="185">
        <f>F46</f>
        <v>0</v>
      </c>
      <c r="D66" s="226">
        <v>8</v>
      </c>
      <c r="E66" s="227">
        <f t="shared" ref="E66:F66" si="8">D66+1</f>
        <v>9</v>
      </c>
      <c r="F66" s="227">
        <f t="shared" si="8"/>
        <v>10</v>
      </c>
      <c r="G66" s="158"/>
      <c r="H66" s="6"/>
      <c r="I66" s="474"/>
      <c r="J66" s="474"/>
      <c r="K66" s="473"/>
      <c r="L66" s="473"/>
      <c r="M66" s="473"/>
      <c r="N66" s="473"/>
      <c r="O66" s="473"/>
      <c r="P66" s="474"/>
      <c r="Q66" s="474"/>
      <c r="R66" s="488"/>
      <c r="S66" s="491"/>
      <c r="T66" s="491"/>
      <c r="U66" s="491"/>
      <c r="V66" s="491"/>
      <c r="W66" s="491"/>
      <c r="X66" s="6"/>
      <c r="Y66" s="6"/>
      <c r="Z66" s="6"/>
    </row>
    <row r="67" spans="1:26" ht="15.75" customHeight="1">
      <c r="A67" s="6"/>
      <c r="B67" s="1198" t="s">
        <v>38</v>
      </c>
      <c r="C67" s="186">
        <v>0.09</v>
      </c>
      <c r="D67" s="228"/>
      <c r="E67" s="229"/>
      <c r="F67" s="230"/>
      <c r="G67" s="158"/>
      <c r="H67" s="6"/>
      <c r="I67" s="492"/>
      <c r="J67" s="493"/>
      <c r="K67" s="494" t="s">
        <v>946</v>
      </c>
      <c r="L67" s="495"/>
      <c r="M67" s="495"/>
      <c r="N67" s="495"/>
      <c r="O67" s="495"/>
      <c r="P67" s="492"/>
      <c r="Q67" s="474"/>
      <c r="R67" s="496"/>
      <c r="S67" s="497" t="s">
        <v>946</v>
      </c>
      <c r="T67" s="498"/>
      <c r="U67" s="498"/>
      <c r="V67" s="498"/>
      <c r="W67" s="498"/>
      <c r="X67" s="6"/>
      <c r="Y67" s="6"/>
      <c r="Z67" s="6"/>
    </row>
    <row r="68" spans="1:26" ht="15.75" customHeight="1">
      <c r="A68" s="6"/>
      <c r="B68" s="1199"/>
      <c r="C68" s="162">
        <f t="shared" ref="C68:C69" si="9">C67+1%</f>
        <v>9.9999999999999992E-2</v>
      </c>
      <c r="D68" s="231"/>
      <c r="E68" s="232"/>
      <c r="F68" s="233"/>
      <c r="G68" s="158"/>
      <c r="H68" s="6"/>
      <c r="I68" s="474"/>
      <c r="J68" s="499">
        <v>0</v>
      </c>
      <c r="K68" s="500">
        <f>L68-0.005</f>
        <v>9.9999999999999985E-3</v>
      </c>
      <c r="L68" s="500">
        <f>M68-0.005</f>
        <v>1.4999999999999999E-2</v>
      </c>
      <c r="M68" s="500">
        <v>0.02</v>
      </c>
      <c r="N68" s="500">
        <f>M68+0.005</f>
        <v>2.5000000000000001E-2</v>
      </c>
      <c r="O68" s="500">
        <f>N68+0.005</f>
        <v>3.0000000000000002E-2</v>
      </c>
      <c r="P68" s="488"/>
      <c r="Q68" s="474"/>
      <c r="R68" s="501"/>
      <c r="S68" s="500">
        <f>K68</f>
        <v>9.9999999999999985E-3</v>
      </c>
      <c r="T68" s="500">
        <f>L68</f>
        <v>1.4999999999999999E-2</v>
      </c>
      <c r="U68" s="500">
        <f>M68</f>
        <v>0.02</v>
      </c>
      <c r="V68" s="500">
        <f>N68</f>
        <v>2.5000000000000001E-2</v>
      </c>
      <c r="W68" s="500">
        <f>O68</f>
        <v>3.0000000000000002E-2</v>
      </c>
      <c r="X68" s="6"/>
      <c r="Y68" s="6"/>
      <c r="Z68" s="6"/>
    </row>
    <row r="69" spans="1:26" ht="15.75" customHeight="1">
      <c r="A69" s="6"/>
      <c r="B69" s="1199"/>
      <c r="C69" s="162">
        <f t="shared" si="9"/>
        <v>0.10999999999999999</v>
      </c>
      <c r="D69" s="234"/>
      <c r="E69" s="235"/>
      <c r="F69" s="236"/>
      <c r="G69" s="158"/>
      <c r="H69" s="6"/>
      <c r="I69" s="1196" t="s">
        <v>38</v>
      </c>
      <c r="J69" s="500">
        <f>J70-0.01</f>
        <v>7.8960000000000016E-2</v>
      </c>
      <c r="K69" s="502"/>
      <c r="L69" s="503"/>
      <c r="M69" s="503"/>
      <c r="N69" s="503"/>
      <c r="O69" s="504"/>
      <c r="P69" s="488"/>
      <c r="Q69" s="1196" t="s">
        <v>38</v>
      </c>
      <c r="R69" s="500">
        <f>J69</f>
        <v>7.8960000000000016E-2</v>
      </c>
      <c r="S69" s="505"/>
      <c r="T69" s="506"/>
      <c r="U69" s="506"/>
      <c r="V69" s="506"/>
      <c r="W69" s="507"/>
      <c r="X69" s="6"/>
      <c r="Y69" s="6"/>
      <c r="Z69" s="6"/>
    </row>
    <row r="70" spans="1:26" ht="15.75" customHeight="1">
      <c r="A70" s="6"/>
      <c r="B70" s="158"/>
      <c r="C70" s="158"/>
      <c r="D70" s="158"/>
      <c r="E70" s="158"/>
      <c r="F70" s="158"/>
      <c r="G70" s="158"/>
      <c r="H70" s="6"/>
      <c r="I70" s="1196"/>
      <c r="J70" s="500">
        <f>J71-0.01</f>
        <v>8.8960000000000011E-2</v>
      </c>
      <c r="K70" s="508"/>
      <c r="L70" s="509"/>
      <c r="M70" s="509"/>
      <c r="N70" s="509"/>
      <c r="O70" s="510"/>
      <c r="P70" s="488"/>
      <c r="Q70" s="1196"/>
      <c r="R70" s="500">
        <f t="shared" ref="R70:R73" si="10">J70</f>
        <v>8.8960000000000011E-2</v>
      </c>
      <c r="S70" s="511"/>
      <c r="T70" s="512"/>
      <c r="U70" s="512"/>
      <c r="V70" s="512"/>
      <c r="W70" s="513"/>
      <c r="X70" s="6"/>
      <c r="Y70" s="6"/>
      <c r="Z70" s="6"/>
    </row>
    <row r="71" spans="1:26" ht="15.75" customHeight="1">
      <c r="A71" s="6"/>
      <c r="B71" s="158"/>
      <c r="C71" s="158"/>
      <c r="D71" s="158"/>
      <c r="E71" s="158"/>
      <c r="F71" s="158"/>
      <c r="G71" s="158"/>
      <c r="H71" s="6"/>
      <c r="I71" s="1196"/>
      <c r="J71" s="500">
        <v>9.8960000000000006E-2</v>
      </c>
      <c r="K71" s="508"/>
      <c r="L71" s="509"/>
      <c r="M71" s="514"/>
      <c r="N71" s="509"/>
      <c r="O71" s="510"/>
      <c r="P71" s="488"/>
      <c r="Q71" s="1196"/>
      <c r="R71" s="500">
        <f t="shared" si="10"/>
        <v>9.8960000000000006E-2</v>
      </c>
      <c r="S71" s="511"/>
      <c r="T71" s="512"/>
      <c r="U71" s="515"/>
      <c r="V71" s="512"/>
      <c r="W71" s="513"/>
      <c r="X71" s="6"/>
      <c r="Y71" s="6"/>
      <c r="Z71" s="6"/>
    </row>
    <row r="72" spans="1:26" ht="15.75" customHeight="1">
      <c r="A72" s="6"/>
      <c r="B72" s="158"/>
      <c r="C72" s="158"/>
      <c r="D72" s="158"/>
      <c r="E72" s="158"/>
      <c r="F72" s="158"/>
      <c r="G72" s="158"/>
      <c r="H72" s="6"/>
      <c r="I72" s="1196"/>
      <c r="J72" s="500">
        <f>J71+0.01</f>
        <v>0.10896</v>
      </c>
      <c r="K72" s="508"/>
      <c r="L72" s="509"/>
      <c r="M72" s="509"/>
      <c r="N72" s="509"/>
      <c r="O72" s="510"/>
      <c r="P72" s="488"/>
      <c r="Q72" s="1196"/>
      <c r="R72" s="500">
        <f t="shared" si="10"/>
        <v>0.10896</v>
      </c>
      <c r="S72" s="511"/>
      <c r="T72" s="512"/>
      <c r="U72" s="512"/>
      <c r="V72" s="512"/>
      <c r="W72" s="513"/>
      <c r="X72" s="6"/>
      <c r="Y72" s="6"/>
      <c r="Z72" s="6"/>
    </row>
    <row r="73" spans="1:26" ht="15.75" customHeight="1">
      <c r="A73" s="6"/>
      <c r="B73" s="158"/>
      <c r="C73" s="158"/>
      <c r="D73" s="158"/>
      <c r="E73" s="158"/>
      <c r="F73" s="158"/>
      <c r="G73" s="158"/>
      <c r="H73" s="6"/>
      <c r="I73" s="1196"/>
      <c r="J73" s="500">
        <f>J72+0.01</f>
        <v>0.11896</v>
      </c>
      <c r="K73" s="516"/>
      <c r="L73" s="517"/>
      <c r="M73" s="517"/>
      <c r="N73" s="517"/>
      <c r="O73" s="518"/>
      <c r="P73" s="488"/>
      <c r="Q73" s="1196"/>
      <c r="R73" s="500">
        <f t="shared" si="10"/>
        <v>0.11896</v>
      </c>
      <c r="S73" s="519"/>
      <c r="T73" s="520"/>
      <c r="U73" s="520"/>
      <c r="V73" s="520"/>
      <c r="W73" s="521"/>
      <c r="X73" s="6"/>
      <c r="Y73" s="6"/>
      <c r="Z73" s="6"/>
    </row>
    <row r="74" spans="1:26" ht="15.75" customHeight="1">
      <c r="A74" s="6"/>
      <c r="B74" s="158"/>
      <c r="C74" s="158"/>
      <c r="D74" s="1190" t="s">
        <v>627</v>
      </c>
      <c r="E74" s="1191"/>
      <c r="F74" s="1191"/>
      <c r="G74" s="158"/>
      <c r="H74" s="6"/>
      <c r="I74" s="474"/>
      <c r="J74" s="488"/>
      <c r="K74" s="488"/>
      <c r="L74" s="488"/>
      <c r="M74" s="488"/>
      <c r="N74" s="488"/>
      <c r="O74" s="488"/>
      <c r="P74" s="488"/>
      <c r="Q74" s="474"/>
      <c r="R74" s="474"/>
      <c r="S74" s="474"/>
      <c r="T74" s="474"/>
      <c r="U74" s="474"/>
      <c r="V74" s="474"/>
      <c r="W74" s="474"/>
      <c r="X74" s="6"/>
      <c r="Y74" s="6"/>
      <c r="Z74" s="6"/>
    </row>
    <row r="75" spans="1:26" ht="15.75" customHeight="1">
      <c r="A75" s="6"/>
      <c r="B75" s="158"/>
      <c r="C75" s="185">
        <f>F57</f>
        <v>0</v>
      </c>
      <c r="D75" s="237">
        <v>0.03</v>
      </c>
      <c r="E75" s="238">
        <f t="shared" ref="E75:F75" si="11">D75+1%</f>
        <v>0.04</v>
      </c>
      <c r="F75" s="238">
        <f t="shared" si="11"/>
        <v>0.05</v>
      </c>
      <c r="G75" s="158"/>
      <c r="H75" s="6"/>
      <c r="I75" s="474"/>
      <c r="J75" s="488"/>
      <c r="K75" s="488"/>
      <c r="L75" s="488"/>
      <c r="M75" s="488"/>
      <c r="N75" s="488"/>
      <c r="O75" s="488"/>
      <c r="P75" s="488"/>
      <c r="Q75" s="488"/>
      <c r="R75" s="488"/>
      <c r="S75" s="522"/>
      <c r="T75" s="498"/>
      <c r="U75" s="498"/>
      <c r="V75" s="498"/>
      <c r="W75" s="498"/>
      <c r="X75" s="6"/>
      <c r="Y75" s="6"/>
      <c r="Z75" s="6"/>
    </row>
    <row r="76" spans="1:26" ht="15.75" customHeight="1">
      <c r="A76" s="6"/>
      <c r="B76" s="1198" t="s">
        <v>38</v>
      </c>
      <c r="C76" s="186">
        <v>0.09</v>
      </c>
      <c r="D76" s="228"/>
      <c r="E76" s="229"/>
      <c r="F76" s="230"/>
      <c r="G76" s="158"/>
      <c r="H76" s="6"/>
      <c r="I76" s="474"/>
      <c r="J76" s="488"/>
      <c r="K76" s="488"/>
      <c r="L76" s="488"/>
      <c r="M76" s="488"/>
      <c r="N76" s="488"/>
      <c r="O76" s="488"/>
      <c r="P76" s="488"/>
      <c r="Q76" s="488"/>
      <c r="R76" s="488"/>
      <c r="S76" s="488"/>
      <c r="T76" s="488"/>
      <c r="U76" s="488"/>
      <c r="V76" s="488"/>
      <c r="W76" s="488"/>
      <c r="X76" s="6"/>
      <c r="Y76" s="6"/>
      <c r="Z76" s="6"/>
    </row>
    <row r="77" spans="1:26" ht="15.75" customHeight="1">
      <c r="A77" s="6"/>
      <c r="B77" s="1199"/>
      <c r="C77" s="162">
        <f t="shared" ref="C77:C78" si="12">C76+1%</f>
        <v>9.9999999999999992E-2</v>
      </c>
      <c r="D77" s="231"/>
      <c r="E77" s="232"/>
      <c r="F77" s="233"/>
      <c r="G77" s="158"/>
      <c r="H77" s="6"/>
      <c r="I77" s="474"/>
      <c r="J77" s="488"/>
      <c r="K77" s="488"/>
      <c r="L77" s="488"/>
      <c r="M77" s="488"/>
      <c r="N77" s="488"/>
      <c r="O77" s="488"/>
      <c r="P77" s="488"/>
      <c r="Q77" s="488"/>
      <c r="R77" s="488"/>
      <c r="S77" s="488"/>
      <c r="T77" s="488"/>
      <c r="U77" s="488"/>
      <c r="V77" s="488"/>
      <c r="W77" s="488"/>
      <c r="X77" s="6"/>
      <c r="Y77" s="6"/>
      <c r="Z77" s="6"/>
    </row>
    <row r="78" spans="1:26" ht="15.75" customHeight="1">
      <c r="A78" s="6"/>
      <c r="B78" s="1199"/>
      <c r="C78" s="162">
        <f t="shared" si="12"/>
        <v>0.10999999999999999</v>
      </c>
      <c r="D78" s="234"/>
      <c r="E78" s="235"/>
      <c r="F78" s="236"/>
      <c r="G78" s="158"/>
      <c r="H78" s="6"/>
      <c r="I78" s="474"/>
      <c r="J78" s="474"/>
      <c r="K78" s="487" t="s">
        <v>622</v>
      </c>
      <c r="L78" s="472"/>
      <c r="M78" s="472"/>
      <c r="N78" s="472"/>
      <c r="O78" s="472"/>
      <c r="P78" s="488"/>
      <c r="Q78" s="488"/>
      <c r="R78" s="488"/>
      <c r="S78" s="489" t="s">
        <v>956</v>
      </c>
      <c r="T78" s="490"/>
      <c r="U78" s="490"/>
      <c r="V78" s="490"/>
      <c r="W78" s="490"/>
      <c r="X78" s="6"/>
      <c r="Y78" s="6"/>
      <c r="Z78" s="6"/>
    </row>
    <row r="79" spans="1:26" ht="15.75" customHeight="1">
      <c r="A79" s="6"/>
      <c r="B79" s="158"/>
      <c r="C79" s="158"/>
      <c r="D79" s="158"/>
      <c r="E79" s="158"/>
      <c r="F79" s="158"/>
      <c r="G79" s="158"/>
      <c r="H79" s="6"/>
      <c r="I79" s="474"/>
      <c r="J79" s="474"/>
      <c r="K79" s="473"/>
      <c r="L79" s="473"/>
      <c r="M79" s="473"/>
      <c r="N79" s="473"/>
      <c r="O79" s="473"/>
      <c r="P79" s="488"/>
      <c r="Q79" s="488"/>
      <c r="R79" s="488"/>
      <c r="S79" s="491"/>
      <c r="T79" s="491"/>
      <c r="U79" s="491"/>
      <c r="V79" s="491"/>
      <c r="W79" s="491"/>
      <c r="X79" s="6"/>
      <c r="Y79" s="6"/>
      <c r="Z79" s="6"/>
    </row>
    <row r="80" spans="1:26" ht="15.75" customHeight="1">
      <c r="A80" s="6"/>
      <c r="B80" s="158"/>
      <c r="C80" s="158"/>
      <c r="D80" s="158"/>
      <c r="E80" s="158"/>
      <c r="F80" s="158"/>
      <c r="G80" s="158"/>
      <c r="H80" s="6"/>
      <c r="I80" s="492"/>
      <c r="J80" s="492"/>
      <c r="K80" s="494" t="s">
        <v>946</v>
      </c>
      <c r="L80" s="495"/>
      <c r="M80" s="495"/>
      <c r="N80" s="495"/>
      <c r="O80" s="495"/>
      <c r="P80" s="496"/>
      <c r="Q80" s="496"/>
      <c r="R80" s="496"/>
      <c r="S80" s="497" t="s">
        <v>946</v>
      </c>
      <c r="T80" s="498"/>
      <c r="U80" s="498"/>
      <c r="V80" s="498"/>
      <c r="W80" s="498"/>
      <c r="X80" s="6"/>
      <c r="Y80" s="6"/>
      <c r="Z80" s="6"/>
    </row>
    <row r="81" spans="1:26" ht="15.75" customHeight="1">
      <c r="A81" s="6"/>
      <c r="B81" s="158"/>
      <c r="C81" s="158"/>
      <c r="D81" s="158"/>
      <c r="E81" s="158"/>
      <c r="F81" s="158"/>
      <c r="G81" s="158"/>
      <c r="H81" s="6"/>
      <c r="I81" s="488"/>
      <c r="J81" s="523"/>
      <c r="K81" s="524">
        <f>K68</f>
        <v>9.9999999999999985E-3</v>
      </c>
      <c r="L81" s="524">
        <f>L68</f>
        <v>1.4999999999999999E-2</v>
      </c>
      <c r="M81" s="524">
        <f>M68</f>
        <v>0.02</v>
      </c>
      <c r="N81" s="524">
        <f>N68</f>
        <v>2.5000000000000001E-2</v>
      </c>
      <c r="O81" s="524">
        <f>O68</f>
        <v>3.0000000000000002E-2</v>
      </c>
      <c r="P81" s="488"/>
      <c r="Q81" s="488"/>
      <c r="R81" s="525"/>
      <c r="S81" s="500">
        <f>K81</f>
        <v>9.9999999999999985E-3</v>
      </c>
      <c r="T81" s="500">
        <f t="shared" ref="T81:V81" si="13">L81</f>
        <v>1.4999999999999999E-2</v>
      </c>
      <c r="U81" s="500">
        <f t="shared" si="13"/>
        <v>0.02</v>
      </c>
      <c r="V81" s="500">
        <f t="shared" si="13"/>
        <v>2.5000000000000001E-2</v>
      </c>
      <c r="W81" s="500">
        <f>O81</f>
        <v>3.0000000000000002E-2</v>
      </c>
      <c r="X81" s="6"/>
      <c r="Y81" s="6"/>
      <c r="Z81" s="6"/>
    </row>
    <row r="82" spans="1:26" ht="15.75" customHeight="1">
      <c r="A82" s="6"/>
      <c r="B82" s="6"/>
      <c r="C82" s="6"/>
      <c r="D82" s="6"/>
      <c r="E82" s="6"/>
      <c r="F82" s="6"/>
      <c r="G82" s="6"/>
      <c r="H82" s="6"/>
      <c r="I82" s="1197" t="s">
        <v>38</v>
      </c>
      <c r="J82" s="500">
        <f>J69</f>
        <v>7.8960000000000016E-2</v>
      </c>
      <c r="K82" s="508"/>
      <c r="L82" s="526"/>
      <c r="M82" s="526"/>
      <c r="N82" s="503"/>
      <c r="O82" s="504"/>
      <c r="P82" s="488"/>
      <c r="Q82" s="1197" t="s">
        <v>38</v>
      </c>
      <c r="R82" s="500">
        <f>J82</f>
        <v>7.8960000000000016E-2</v>
      </c>
      <c r="S82" s="527"/>
      <c r="T82" s="528"/>
      <c r="U82" s="528"/>
      <c r="V82" s="528"/>
      <c r="W82" s="529"/>
      <c r="X82" s="6"/>
      <c r="Y82" s="6"/>
      <c r="Z82" s="6"/>
    </row>
    <row r="83" spans="1:26" ht="15.75" customHeight="1">
      <c r="A83" s="6"/>
      <c r="B83" s="6"/>
      <c r="C83" s="6"/>
      <c r="D83" s="6"/>
      <c r="E83" s="6"/>
      <c r="F83" s="6"/>
      <c r="G83" s="6"/>
      <c r="H83" s="6"/>
      <c r="I83" s="1197"/>
      <c r="J83" s="500">
        <f t="shared" ref="J83:J86" si="14">J70</f>
        <v>8.8960000000000011E-2</v>
      </c>
      <c r="K83" s="508"/>
      <c r="L83" s="509"/>
      <c r="M83" s="509"/>
      <c r="N83" s="509"/>
      <c r="O83" s="510"/>
      <c r="P83" s="488"/>
      <c r="Q83" s="1197"/>
      <c r="R83" s="500">
        <f t="shared" ref="R83:R86" si="15">J83</f>
        <v>8.8960000000000011E-2</v>
      </c>
      <c r="S83" s="530"/>
      <c r="T83" s="531"/>
      <c r="U83" s="531"/>
      <c r="V83" s="531"/>
      <c r="W83" s="532"/>
      <c r="X83" s="6"/>
      <c r="Y83" s="6"/>
      <c r="Z83" s="6"/>
    </row>
    <row r="84" spans="1:26" ht="15.75" customHeight="1">
      <c r="A84" s="6"/>
      <c r="B84" s="6"/>
      <c r="C84" s="6"/>
      <c r="D84" s="6"/>
      <c r="E84" s="6"/>
      <c r="F84" s="6"/>
      <c r="G84" s="6"/>
      <c r="H84" s="6"/>
      <c r="I84" s="1197"/>
      <c r="J84" s="500">
        <f t="shared" si="14"/>
        <v>9.8960000000000006E-2</v>
      </c>
      <c r="K84" s="508"/>
      <c r="L84" s="509"/>
      <c r="M84" s="514"/>
      <c r="N84" s="509"/>
      <c r="O84" s="510"/>
      <c r="P84" s="488"/>
      <c r="Q84" s="1197"/>
      <c r="R84" s="500">
        <f t="shared" si="15"/>
        <v>9.8960000000000006E-2</v>
      </c>
      <c r="S84" s="530"/>
      <c r="T84" s="531"/>
      <c r="U84" s="533"/>
      <c r="V84" s="531"/>
      <c r="W84" s="532"/>
      <c r="X84" s="6"/>
      <c r="Y84" s="6"/>
      <c r="Z84" s="6"/>
    </row>
    <row r="85" spans="1:26" ht="15.75" customHeight="1">
      <c r="A85" s="6"/>
      <c r="B85" s="6"/>
      <c r="C85" s="6"/>
      <c r="D85" s="6"/>
      <c r="E85" s="6"/>
      <c r="F85" s="6"/>
      <c r="G85" s="6"/>
      <c r="H85" s="6"/>
      <c r="I85" s="1197"/>
      <c r="J85" s="500">
        <f t="shared" si="14"/>
        <v>0.10896</v>
      </c>
      <c r="K85" s="508"/>
      <c r="L85" s="509"/>
      <c r="M85" s="509"/>
      <c r="N85" s="509"/>
      <c r="O85" s="510"/>
      <c r="P85" s="488"/>
      <c r="Q85" s="1197"/>
      <c r="R85" s="500">
        <f t="shared" si="15"/>
        <v>0.10896</v>
      </c>
      <c r="S85" s="530"/>
      <c r="T85" s="531"/>
      <c r="U85" s="531"/>
      <c r="V85" s="531"/>
      <c r="W85" s="532"/>
      <c r="X85" s="6"/>
      <c r="Y85" s="6"/>
      <c r="Z85" s="6"/>
    </row>
    <row r="86" spans="1:26" ht="15.75" customHeight="1">
      <c r="A86" s="6"/>
      <c r="B86" s="6"/>
      <c r="C86" s="6"/>
      <c r="D86" s="6"/>
      <c r="E86" s="6"/>
      <c r="F86" s="6"/>
      <c r="G86" s="6"/>
      <c r="H86" s="6"/>
      <c r="I86" s="1197"/>
      <c r="J86" s="500">
        <f t="shared" si="14"/>
        <v>0.11896</v>
      </c>
      <c r="K86" s="516"/>
      <c r="L86" s="517"/>
      <c r="M86" s="517"/>
      <c r="N86" s="517"/>
      <c r="O86" s="518"/>
      <c r="P86" s="488"/>
      <c r="Q86" s="1197"/>
      <c r="R86" s="500">
        <f t="shared" si="15"/>
        <v>0.11896</v>
      </c>
      <c r="S86" s="534"/>
      <c r="T86" s="535"/>
      <c r="U86" s="535"/>
      <c r="V86" s="535"/>
      <c r="W86" s="536"/>
      <c r="X86" s="6"/>
      <c r="Y86" s="6"/>
      <c r="Z86" s="6"/>
    </row>
    <row r="87" spans="1:26" ht="15.75" customHeight="1">
      <c r="A87" s="6"/>
      <c r="B87" s="6"/>
      <c r="C87" s="6"/>
      <c r="D87" s="6"/>
      <c r="E87" s="6"/>
      <c r="F87" s="6"/>
      <c r="G87" s="6"/>
      <c r="H87" s="6"/>
      <c r="I87" s="537"/>
      <c r="J87" s="500"/>
      <c r="K87" s="538"/>
      <c r="L87" s="538"/>
      <c r="M87" s="538"/>
      <c r="N87" s="538"/>
      <c r="O87" s="538"/>
      <c r="P87" s="488"/>
      <c r="Q87" s="537"/>
      <c r="R87" s="500"/>
      <c r="S87" s="539"/>
      <c r="T87" s="539"/>
      <c r="U87" s="539"/>
      <c r="V87" s="539"/>
      <c r="W87" s="539"/>
      <c r="X87" s="6"/>
      <c r="Y87" s="6"/>
      <c r="Z87" s="6"/>
    </row>
    <row r="88" spans="1:26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19" t="s">
        <v>958</v>
      </c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5.75" customHeight="1">
      <c r="A94" s="6"/>
      <c r="B94" s="6"/>
      <c r="C94" s="6"/>
      <c r="D94" s="6"/>
      <c r="E94" s="6"/>
      <c r="F94" s="6"/>
      <c r="G94" s="6"/>
      <c r="H94" s="6"/>
      <c r="I94" s="474"/>
      <c r="J94" s="474"/>
      <c r="K94" s="540"/>
      <c r="L94" s="540"/>
      <c r="M94" s="540"/>
      <c r="N94" s="540"/>
      <c r="O94" s="540"/>
      <c r="P94" s="540"/>
      <c r="Q94" s="540"/>
      <c r="R94" s="540"/>
      <c r="S94" s="540"/>
      <c r="T94" s="540"/>
      <c r="U94" s="540"/>
      <c r="V94" s="540"/>
      <c r="W94" s="540"/>
      <c r="X94" s="474"/>
      <c r="Y94" s="6"/>
      <c r="Z94" s="6"/>
    </row>
    <row r="95" spans="1:26" ht="15.75" customHeight="1">
      <c r="A95" s="6"/>
      <c r="B95" s="6"/>
      <c r="C95" s="6"/>
      <c r="D95" s="6"/>
      <c r="E95" s="6"/>
      <c r="F95" s="6"/>
      <c r="G95" s="6"/>
      <c r="H95" s="6"/>
      <c r="I95" s="474"/>
      <c r="J95" s="474"/>
      <c r="K95" s="487" t="s">
        <v>954</v>
      </c>
      <c r="L95" s="472"/>
      <c r="M95" s="472"/>
      <c r="N95" s="472"/>
      <c r="O95" s="472"/>
      <c r="P95" s="474"/>
      <c r="Q95" s="474"/>
      <c r="R95" s="488"/>
      <c r="S95" s="489" t="s">
        <v>955</v>
      </c>
      <c r="T95" s="490"/>
      <c r="U95" s="490"/>
      <c r="V95" s="490"/>
      <c r="W95" s="490"/>
      <c r="X95" s="488"/>
      <c r="Y95" s="6"/>
      <c r="Z95" s="6"/>
    </row>
    <row r="96" spans="1:26" ht="15.75" customHeight="1">
      <c r="A96" s="6"/>
      <c r="B96" s="6"/>
      <c r="C96" s="6"/>
      <c r="D96" s="6"/>
      <c r="E96" s="6"/>
      <c r="F96" s="6"/>
      <c r="G96" s="6"/>
      <c r="H96" s="6"/>
      <c r="I96" s="474"/>
      <c r="J96" s="474"/>
      <c r="K96" s="473"/>
      <c r="L96" s="473"/>
      <c r="M96" s="473"/>
      <c r="N96" s="473"/>
      <c r="O96" s="473"/>
      <c r="P96" s="474"/>
      <c r="Q96" s="474"/>
      <c r="R96" s="488"/>
      <c r="S96" s="491"/>
      <c r="T96" s="491"/>
      <c r="U96" s="491"/>
      <c r="V96" s="491"/>
      <c r="W96" s="491"/>
      <c r="X96" s="488"/>
      <c r="Y96" s="6"/>
      <c r="Z96" s="6"/>
    </row>
    <row r="97" spans="1:26" ht="15.75" customHeight="1">
      <c r="A97" s="6"/>
      <c r="B97" s="6"/>
      <c r="C97" s="6"/>
      <c r="D97" s="6"/>
      <c r="E97" s="6"/>
      <c r="F97" s="6"/>
      <c r="G97" s="6"/>
      <c r="H97" s="6"/>
      <c r="I97" s="492"/>
      <c r="J97" s="493"/>
      <c r="K97" s="494" t="s">
        <v>959</v>
      </c>
      <c r="L97" s="495"/>
      <c r="M97" s="495"/>
      <c r="N97" s="495"/>
      <c r="O97" s="495"/>
      <c r="P97" s="492"/>
      <c r="Q97" s="474"/>
      <c r="R97" s="496"/>
      <c r="S97" s="497" t="s">
        <v>959</v>
      </c>
      <c r="T97" s="498"/>
      <c r="U97" s="498"/>
      <c r="V97" s="498"/>
      <c r="W97" s="498"/>
      <c r="X97" s="496"/>
      <c r="Y97" s="6"/>
      <c r="Z97" s="6"/>
    </row>
    <row r="98" spans="1:26" ht="15.75" customHeight="1">
      <c r="A98" s="6"/>
      <c r="B98" s="6"/>
      <c r="C98" s="6"/>
      <c r="D98" s="6"/>
      <c r="E98" s="6"/>
      <c r="F98" s="6"/>
      <c r="G98" s="6"/>
      <c r="H98" s="6"/>
      <c r="I98" s="474"/>
      <c r="J98" s="541">
        <v>128440.13017069569</v>
      </c>
      <c r="K98" s="542">
        <f>L98-0.5</f>
        <v>6</v>
      </c>
      <c r="L98" s="542">
        <f>M98-0.5</f>
        <v>6.5</v>
      </c>
      <c r="M98" s="542">
        <v>7</v>
      </c>
      <c r="N98" s="542">
        <f>+M98+0.5</f>
        <v>7.5</v>
      </c>
      <c r="O98" s="542">
        <f>+N98+0.5</f>
        <v>8</v>
      </c>
      <c r="P98" s="488"/>
      <c r="Q98" s="474"/>
      <c r="R98" s="543"/>
      <c r="S98" s="542">
        <f>K98</f>
        <v>6</v>
      </c>
      <c r="T98" s="542">
        <f>L98</f>
        <v>6.5</v>
      </c>
      <c r="U98" s="542">
        <f>M98</f>
        <v>7</v>
      </c>
      <c r="V98" s="542">
        <f>N98</f>
        <v>7.5</v>
      </c>
      <c r="W98" s="542">
        <f>O98</f>
        <v>8</v>
      </c>
      <c r="X98" s="488"/>
      <c r="Y98" s="6"/>
      <c r="Z98" s="6"/>
    </row>
    <row r="99" spans="1:26" ht="15.75" customHeight="1">
      <c r="A99" s="6"/>
      <c r="B99" s="6"/>
      <c r="C99" s="6"/>
      <c r="D99" s="6"/>
      <c r="E99" s="6"/>
      <c r="F99" s="6"/>
      <c r="G99" s="6"/>
      <c r="H99" s="6"/>
      <c r="I99" s="1196" t="s">
        <v>38</v>
      </c>
      <c r="J99" s="500">
        <f>J100-0.01</f>
        <v>7.8960000000000016E-2</v>
      </c>
      <c r="K99" s="502"/>
      <c r="L99" s="503"/>
      <c r="M99" s="503"/>
      <c r="N99" s="503"/>
      <c r="O99" s="504"/>
      <c r="P99" s="488"/>
      <c r="Q99" s="1196" t="s">
        <v>38</v>
      </c>
      <c r="R99" s="500">
        <f>J99</f>
        <v>7.8960000000000016E-2</v>
      </c>
      <c r="S99" s="505"/>
      <c r="T99" s="506"/>
      <c r="U99" s="506"/>
      <c r="V99" s="506"/>
      <c r="W99" s="507"/>
      <c r="X99" s="488"/>
      <c r="Y99" s="6"/>
      <c r="Z99" s="6"/>
    </row>
    <row r="100" spans="1:26" ht="15.75" customHeight="1">
      <c r="A100" s="6"/>
      <c r="B100" s="6"/>
      <c r="C100" s="6"/>
      <c r="D100" s="6"/>
      <c r="E100" s="6"/>
      <c r="F100" s="6"/>
      <c r="G100" s="6"/>
      <c r="H100" s="6"/>
      <c r="I100" s="1196"/>
      <c r="J100" s="500">
        <f>J101-0.01</f>
        <v>8.8960000000000011E-2</v>
      </c>
      <c r="K100" s="508"/>
      <c r="L100" s="509"/>
      <c r="M100" s="509"/>
      <c r="N100" s="509"/>
      <c r="O100" s="510"/>
      <c r="P100" s="488"/>
      <c r="Q100" s="1196"/>
      <c r="R100" s="500">
        <f t="shared" ref="R100:R103" si="16">J100</f>
        <v>8.8960000000000011E-2</v>
      </c>
      <c r="S100" s="511"/>
      <c r="T100" s="512"/>
      <c r="U100" s="512"/>
      <c r="V100" s="512"/>
      <c r="W100" s="513"/>
      <c r="X100" s="488"/>
      <c r="Y100" s="6"/>
      <c r="Z100" s="6"/>
    </row>
    <row r="101" spans="1:26" ht="15.75" customHeight="1">
      <c r="A101" s="6"/>
      <c r="B101" s="6"/>
      <c r="C101" s="6"/>
      <c r="D101" s="6"/>
      <c r="E101" s="6"/>
      <c r="F101" s="6"/>
      <c r="G101" s="6"/>
      <c r="H101" s="6"/>
      <c r="I101" s="1196"/>
      <c r="J101" s="500">
        <v>9.8960000000000006E-2</v>
      </c>
      <c r="K101" s="508"/>
      <c r="L101" s="509"/>
      <c r="M101" s="514"/>
      <c r="N101" s="509"/>
      <c r="O101" s="510"/>
      <c r="P101" s="488"/>
      <c r="Q101" s="1196"/>
      <c r="R101" s="500">
        <f t="shared" si="16"/>
        <v>9.8960000000000006E-2</v>
      </c>
      <c r="S101" s="511"/>
      <c r="T101" s="512"/>
      <c r="U101" s="515"/>
      <c r="V101" s="512"/>
      <c r="W101" s="513"/>
      <c r="X101" s="488"/>
      <c r="Y101" s="6"/>
      <c r="Z101" s="6"/>
    </row>
    <row r="102" spans="1:26" ht="15.75" customHeight="1">
      <c r="A102" s="6"/>
      <c r="B102" s="6"/>
      <c r="C102" s="6"/>
      <c r="D102" s="6"/>
      <c r="E102" s="6"/>
      <c r="F102" s="6"/>
      <c r="G102" s="6"/>
      <c r="H102" s="6"/>
      <c r="I102" s="1196"/>
      <c r="J102" s="500">
        <f>J101+0.01</f>
        <v>0.10896</v>
      </c>
      <c r="K102" s="508"/>
      <c r="L102" s="509"/>
      <c r="M102" s="509"/>
      <c r="N102" s="509"/>
      <c r="O102" s="510"/>
      <c r="P102" s="488"/>
      <c r="Q102" s="1196"/>
      <c r="R102" s="500">
        <f t="shared" si="16"/>
        <v>0.10896</v>
      </c>
      <c r="S102" s="511"/>
      <c r="T102" s="512"/>
      <c r="U102" s="512"/>
      <c r="V102" s="512"/>
      <c r="W102" s="513"/>
      <c r="X102" s="488"/>
      <c r="Y102" s="6"/>
      <c r="Z102" s="6"/>
    </row>
    <row r="103" spans="1:26" ht="15.75" customHeight="1">
      <c r="A103" s="6"/>
      <c r="B103" s="6"/>
      <c r="C103" s="6"/>
      <c r="D103" s="6"/>
      <c r="E103" s="6"/>
      <c r="F103" s="6"/>
      <c r="G103" s="6"/>
      <c r="H103" s="6"/>
      <c r="I103" s="1196"/>
      <c r="J103" s="500">
        <f>J102+0.01</f>
        <v>0.11896</v>
      </c>
      <c r="K103" s="516"/>
      <c r="L103" s="517"/>
      <c r="M103" s="517"/>
      <c r="N103" s="517"/>
      <c r="O103" s="518"/>
      <c r="P103" s="488"/>
      <c r="Q103" s="1196"/>
      <c r="R103" s="500">
        <f t="shared" si="16"/>
        <v>0.11896</v>
      </c>
      <c r="S103" s="519"/>
      <c r="T103" s="520"/>
      <c r="U103" s="520"/>
      <c r="V103" s="520"/>
      <c r="W103" s="521"/>
      <c r="X103" s="488"/>
      <c r="Y103" s="6"/>
      <c r="Z103" s="6"/>
    </row>
    <row r="104" spans="1:26" ht="15.75" customHeight="1">
      <c r="A104" s="6"/>
      <c r="B104" s="6"/>
      <c r="C104" s="6"/>
      <c r="D104" s="6"/>
      <c r="E104" s="6"/>
      <c r="F104" s="6"/>
      <c r="G104" s="6"/>
      <c r="H104" s="6"/>
      <c r="I104" s="474"/>
      <c r="J104" s="488"/>
      <c r="K104" s="488"/>
      <c r="L104" s="488"/>
      <c r="M104" s="488"/>
      <c r="N104" s="488"/>
      <c r="O104" s="488"/>
      <c r="P104" s="488"/>
      <c r="Q104" s="474"/>
      <c r="R104" s="474"/>
      <c r="S104" s="474"/>
      <c r="T104" s="474"/>
      <c r="U104" s="474"/>
      <c r="V104" s="474"/>
      <c r="W104" s="474"/>
      <c r="X104" s="474"/>
      <c r="Y104" s="6"/>
      <c r="Z104" s="6"/>
    </row>
    <row r="105" spans="1:26" ht="15.75" customHeight="1">
      <c r="A105" s="6"/>
      <c r="B105" s="6"/>
      <c r="C105" s="6"/>
      <c r="D105" s="6"/>
      <c r="E105" s="6"/>
      <c r="F105" s="6"/>
      <c r="G105" s="6"/>
      <c r="H105" s="6"/>
      <c r="I105" s="474"/>
      <c r="J105" s="488"/>
      <c r="K105" s="488"/>
      <c r="L105" s="488"/>
      <c r="M105" s="488"/>
      <c r="N105" s="488"/>
      <c r="O105" s="488"/>
      <c r="P105" s="488"/>
      <c r="Q105" s="488"/>
      <c r="R105" s="488"/>
      <c r="S105" s="522"/>
      <c r="T105" s="498"/>
      <c r="U105" s="498"/>
      <c r="V105" s="498"/>
      <c r="W105" s="498"/>
      <c r="X105" s="474"/>
      <c r="Y105" s="6"/>
      <c r="Z105" s="6"/>
    </row>
    <row r="106" spans="1:26" ht="15.75" customHeight="1">
      <c r="A106" s="6"/>
      <c r="B106" s="6"/>
      <c r="C106" s="6"/>
      <c r="D106" s="6"/>
      <c r="E106" s="6"/>
      <c r="F106" s="6"/>
      <c r="G106" s="6"/>
      <c r="H106" s="6"/>
      <c r="I106" s="474"/>
      <c r="J106" s="488"/>
      <c r="K106" s="488"/>
      <c r="L106" s="488"/>
      <c r="M106" s="488"/>
      <c r="N106" s="488"/>
      <c r="O106" s="488"/>
      <c r="P106" s="488"/>
      <c r="Q106" s="488"/>
      <c r="R106" s="488"/>
      <c r="S106" s="488"/>
      <c r="T106" s="488"/>
      <c r="U106" s="488"/>
      <c r="V106" s="488"/>
      <c r="W106" s="488"/>
      <c r="X106" s="474"/>
      <c r="Y106" s="6"/>
      <c r="Z106" s="6"/>
    </row>
    <row r="107" spans="1:26" ht="15.75" customHeight="1">
      <c r="A107" s="6"/>
      <c r="B107" s="6"/>
      <c r="C107" s="6"/>
      <c r="D107" s="6"/>
      <c r="E107" s="6"/>
      <c r="F107" s="6"/>
      <c r="G107" s="6"/>
      <c r="H107" s="6"/>
      <c r="I107" s="474"/>
      <c r="J107" s="488"/>
      <c r="K107" s="488"/>
      <c r="L107" s="488"/>
      <c r="M107" s="488"/>
      <c r="N107" s="488"/>
      <c r="O107" s="488"/>
      <c r="P107" s="488"/>
      <c r="Q107" s="488"/>
      <c r="R107" s="488"/>
      <c r="S107" s="488"/>
      <c r="T107" s="488"/>
      <c r="U107" s="488"/>
      <c r="V107" s="488"/>
      <c r="W107" s="488"/>
      <c r="X107" s="474"/>
      <c r="Y107" s="6"/>
      <c r="Z107" s="6"/>
    </row>
    <row r="108" spans="1:26" ht="15.75" customHeight="1">
      <c r="A108" s="6"/>
      <c r="B108" s="6"/>
      <c r="C108" s="6"/>
      <c r="D108" s="6"/>
      <c r="E108" s="6"/>
      <c r="F108" s="6"/>
      <c r="G108" s="6"/>
      <c r="H108" s="6"/>
      <c r="I108" s="474"/>
      <c r="J108" s="474"/>
      <c r="K108" s="487" t="s">
        <v>622</v>
      </c>
      <c r="L108" s="472"/>
      <c r="M108" s="472"/>
      <c r="N108" s="472"/>
      <c r="O108" s="472"/>
      <c r="P108" s="474"/>
      <c r="Q108" s="488"/>
      <c r="R108" s="488"/>
      <c r="S108" s="489" t="s">
        <v>956</v>
      </c>
      <c r="T108" s="490"/>
      <c r="U108" s="490"/>
      <c r="V108" s="490"/>
      <c r="W108" s="490"/>
      <c r="X108" s="474"/>
      <c r="Y108" s="6"/>
      <c r="Z108" s="6"/>
    </row>
    <row r="109" spans="1:26" ht="15.75" customHeight="1">
      <c r="A109" s="6"/>
      <c r="B109" s="6"/>
      <c r="C109" s="6"/>
      <c r="D109" s="6"/>
      <c r="E109" s="6"/>
      <c r="F109" s="6"/>
      <c r="G109" s="6"/>
      <c r="H109" s="6"/>
      <c r="I109" s="474"/>
      <c r="J109" s="474"/>
      <c r="K109" s="473"/>
      <c r="L109" s="473"/>
      <c r="M109" s="473"/>
      <c r="N109" s="473"/>
      <c r="O109" s="473"/>
      <c r="P109" s="474"/>
      <c r="Q109" s="488"/>
      <c r="R109" s="488"/>
      <c r="S109" s="491"/>
      <c r="T109" s="491"/>
      <c r="U109" s="491"/>
      <c r="V109" s="491"/>
      <c r="W109" s="491"/>
      <c r="X109" s="474"/>
      <c r="Y109" s="6"/>
      <c r="Z109" s="6"/>
    </row>
    <row r="110" spans="1:26" ht="15.75" customHeight="1">
      <c r="A110" s="6"/>
      <c r="B110" s="6"/>
      <c r="C110" s="6"/>
      <c r="D110" s="6"/>
      <c r="E110" s="6"/>
      <c r="F110" s="6"/>
      <c r="G110" s="6"/>
      <c r="H110" s="6"/>
      <c r="I110" s="492"/>
      <c r="J110" s="492"/>
      <c r="K110" s="494" t="s">
        <v>959</v>
      </c>
      <c r="L110" s="495"/>
      <c r="M110" s="495"/>
      <c r="N110" s="495"/>
      <c r="O110" s="495"/>
      <c r="P110" s="492"/>
      <c r="Q110" s="496"/>
      <c r="R110" s="496"/>
      <c r="S110" s="497" t="s">
        <v>959</v>
      </c>
      <c r="T110" s="498"/>
      <c r="U110" s="498"/>
      <c r="V110" s="498"/>
      <c r="W110" s="498"/>
      <c r="X110" s="474"/>
      <c r="Y110" s="6"/>
      <c r="Z110" s="6"/>
    </row>
    <row r="111" spans="1:26" ht="15.75" customHeight="1">
      <c r="A111" s="6"/>
      <c r="B111" s="6"/>
      <c r="C111" s="6"/>
      <c r="D111" s="6"/>
      <c r="E111" s="6"/>
      <c r="F111" s="6"/>
      <c r="G111" s="6"/>
      <c r="H111" s="6"/>
      <c r="I111" s="488"/>
      <c r="J111" s="525"/>
      <c r="K111" s="542">
        <f>K98</f>
        <v>6</v>
      </c>
      <c r="L111" s="542">
        <f>L98</f>
        <v>6.5</v>
      </c>
      <c r="M111" s="542">
        <f>M98</f>
        <v>7</v>
      </c>
      <c r="N111" s="542">
        <f>N98</f>
        <v>7.5</v>
      </c>
      <c r="O111" s="542">
        <f>O98</f>
        <v>8</v>
      </c>
      <c r="P111" s="474"/>
      <c r="Q111" s="488"/>
      <c r="R111" s="525"/>
      <c r="S111" s="542">
        <f>K111</f>
        <v>6</v>
      </c>
      <c r="T111" s="542">
        <f t="shared" ref="T111:V111" si="17">L111</f>
        <v>6.5</v>
      </c>
      <c r="U111" s="542">
        <f t="shared" si="17"/>
        <v>7</v>
      </c>
      <c r="V111" s="542">
        <f t="shared" si="17"/>
        <v>7.5</v>
      </c>
      <c r="W111" s="542">
        <f>O111</f>
        <v>8</v>
      </c>
      <c r="X111" s="474"/>
      <c r="Y111" s="6"/>
      <c r="Z111" s="6"/>
    </row>
    <row r="112" spans="1:26" ht="15.75" customHeight="1">
      <c r="A112" s="6"/>
      <c r="B112" s="6"/>
      <c r="C112" s="6"/>
      <c r="D112" s="6"/>
      <c r="E112" s="6"/>
      <c r="F112" s="6"/>
      <c r="G112" s="6"/>
      <c r="H112" s="6"/>
      <c r="I112" s="1197" t="s">
        <v>38</v>
      </c>
      <c r="J112" s="500">
        <f>J99</f>
        <v>7.8960000000000016E-2</v>
      </c>
      <c r="K112" s="502">
        <f t="shared" ref="K112:O116" si="18">K99-$O$61</f>
        <v>0</v>
      </c>
      <c r="L112" s="503">
        <f t="shared" si="18"/>
        <v>0</v>
      </c>
      <c r="M112" s="503">
        <f t="shared" si="18"/>
        <v>0</v>
      </c>
      <c r="N112" s="503">
        <f t="shared" si="18"/>
        <v>0</v>
      </c>
      <c r="O112" s="504">
        <f t="shared" si="18"/>
        <v>0</v>
      </c>
      <c r="P112" s="474"/>
      <c r="Q112" s="1197" t="s">
        <v>38</v>
      </c>
      <c r="R112" s="500">
        <f>J112</f>
        <v>7.8960000000000016E-2</v>
      </c>
      <c r="S112" s="527"/>
      <c r="T112" s="528"/>
      <c r="U112" s="528"/>
      <c r="V112" s="528"/>
      <c r="W112" s="529"/>
      <c r="X112" s="474"/>
      <c r="Y112" s="6"/>
      <c r="Z112" s="6"/>
    </row>
    <row r="113" spans="1:26" ht="15.75" customHeight="1">
      <c r="A113" s="6"/>
      <c r="B113" s="6"/>
      <c r="C113" s="6"/>
      <c r="D113" s="6"/>
      <c r="E113" s="6"/>
      <c r="F113" s="6"/>
      <c r="G113" s="6"/>
      <c r="H113" s="6"/>
      <c r="I113" s="1197"/>
      <c r="J113" s="500">
        <f t="shared" ref="J113:J116" si="19">J100</f>
        <v>8.8960000000000011E-2</v>
      </c>
      <c r="K113" s="508">
        <f t="shared" si="18"/>
        <v>0</v>
      </c>
      <c r="L113" s="509">
        <f t="shared" si="18"/>
        <v>0</v>
      </c>
      <c r="M113" s="509">
        <f t="shared" si="18"/>
        <v>0</v>
      </c>
      <c r="N113" s="509">
        <f t="shared" si="18"/>
        <v>0</v>
      </c>
      <c r="O113" s="510">
        <f t="shared" si="18"/>
        <v>0</v>
      </c>
      <c r="P113" s="474"/>
      <c r="Q113" s="1197"/>
      <c r="R113" s="500">
        <f t="shared" ref="R113:R116" si="20">J113</f>
        <v>8.8960000000000011E-2</v>
      </c>
      <c r="S113" s="530"/>
      <c r="T113" s="531"/>
      <c r="U113" s="531"/>
      <c r="V113" s="531"/>
      <c r="W113" s="532"/>
      <c r="X113" s="474"/>
      <c r="Y113" s="6"/>
      <c r="Z113" s="6"/>
    </row>
    <row r="114" spans="1:26" ht="15.75" customHeight="1">
      <c r="A114" s="6"/>
      <c r="B114" s="6"/>
      <c r="C114" s="6"/>
      <c r="D114" s="6"/>
      <c r="E114" s="6"/>
      <c r="F114" s="6"/>
      <c r="G114" s="6"/>
      <c r="H114" s="6"/>
      <c r="I114" s="1197"/>
      <c r="J114" s="500">
        <f t="shared" si="19"/>
        <v>9.8960000000000006E-2</v>
      </c>
      <c r="K114" s="508">
        <f t="shared" si="18"/>
        <v>0</v>
      </c>
      <c r="L114" s="509">
        <f t="shared" si="18"/>
        <v>0</v>
      </c>
      <c r="M114" s="514">
        <f t="shared" si="18"/>
        <v>0</v>
      </c>
      <c r="N114" s="509">
        <f t="shared" si="18"/>
        <v>0</v>
      </c>
      <c r="O114" s="510">
        <f t="shared" si="18"/>
        <v>0</v>
      </c>
      <c r="P114" s="474"/>
      <c r="Q114" s="1197"/>
      <c r="R114" s="500">
        <f t="shared" si="20"/>
        <v>9.8960000000000006E-2</v>
      </c>
      <c r="S114" s="530"/>
      <c r="T114" s="531"/>
      <c r="U114" s="533"/>
      <c r="V114" s="531"/>
      <c r="W114" s="532"/>
      <c r="X114" s="474"/>
      <c r="Y114" s="6"/>
      <c r="Z114" s="6"/>
    </row>
    <row r="115" spans="1:26" ht="15.75" customHeight="1">
      <c r="A115" s="6"/>
      <c r="B115" s="6"/>
      <c r="C115" s="6"/>
      <c r="D115" s="6"/>
      <c r="E115" s="6"/>
      <c r="F115" s="6"/>
      <c r="G115" s="6"/>
      <c r="H115" s="6"/>
      <c r="I115" s="1197"/>
      <c r="J115" s="500">
        <f t="shared" si="19"/>
        <v>0.10896</v>
      </c>
      <c r="K115" s="508">
        <f t="shared" si="18"/>
        <v>0</v>
      </c>
      <c r="L115" s="509">
        <f t="shared" si="18"/>
        <v>0</v>
      </c>
      <c r="M115" s="509">
        <f t="shared" si="18"/>
        <v>0</v>
      </c>
      <c r="N115" s="509">
        <f t="shared" si="18"/>
        <v>0</v>
      </c>
      <c r="O115" s="510">
        <f t="shared" si="18"/>
        <v>0</v>
      </c>
      <c r="P115" s="474"/>
      <c r="Q115" s="1197"/>
      <c r="R115" s="500">
        <f t="shared" si="20"/>
        <v>0.10896</v>
      </c>
      <c r="S115" s="530"/>
      <c r="T115" s="531"/>
      <c r="U115" s="531"/>
      <c r="V115" s="531"/>
      <c r="W115" s="532"/>
      <c r="X115" s="474"/>
      <c r="Y115" s="6"/>
      <c r="Z115" s="6"/>
    </row>
    <row r="116" spans="1:26" ht="15.75" customHeight="1">
      <c r="A116" s="6"/>
      <c r="B116" s="6"/>
      <c r="C116" s="6"/>
      <c r="D116" s="6"/>
      <c r="E116" s="6"/>
      <c r="F116" s="6"/>
      <c r="G116" s="6"/>
      <c r="H116" s="6"/>
      <c r="I116" s="1197"/>
      <c r="J116" s="500">
        <f t="shared" si="19"/>
        <v>0.11896</v>
      </c>
      <c r="K116" s="516">
        <f t="shared" si="18"/>
        <v>0</v>
      </c>
      <c r="L116" s="517">
        <f t="shared" si="18"/>
        <v>0</v>
      </c>
      <c r="M116" s="517">
        <f t="shared" si="18"/>
        <v>0</v>
      </c>
      <c r="N116" s="517">
        <f t="shared" si="18"/>
        <v>0</v>
      </c>
      <c r="O116" s="518">
        <f t="shared" si="18"/>
        <v>0</v>
      </c>
      <c r="P116" s="474"/>
      <c r="Q116" s="1197"/>
      <c r="R116" s="500">
        <f t="shared" si="20"/>
        <v>0.11896</v>
      </c>
      <c r="S116" s="534"/>
      <c r="T116" s="535"/>
      <c r="U116" s="535"/>
      <c r="V116" s="535"/>
      <c r="W116" s="536"/>
      <c r="X116" s="474"/>
      <c r="Y116" s="6"/>
      <c r="Z116" s="6"/>
    </row>
    <row r="117" spans="1:26" ht="15.75" customHeight="1">
      <c r="A117" s="6"/>
      <c r="B117" s="6"/>
      <c r="C117" s="6"/>
      <c r="D117" s="6"/>
      <c r="E117" s="6"/>
      <c r="F117" s="6"/>
      <c r="G117" s="6"/>
      <c r="H117" s="6"/>
      <c r="I117" s="537"/>
      <c r="J117" s="500"/>
      <c r="K117" s="538"/>
      <c r="L117" s="538"/>
      <c r="M117" s="538"/>
      <c r="N117" s="538"/>
      <c r="O117" s="538"/>
      <c r="P117" s="488"/>
      <c r="Q117" s="537"/>
      <c r="R117" s="500"/>
      <c r="S117" s="539"/>
      <c r="T117" s="539"/>
      <c r="U117" s="539"/>
      <c r="V117" s="539"/>
      <c r="W117" s="539"/>
      <c r="X117" s="474"/>
      <c r="Y117" s="6"/>
      <c r="Z117" s="6"/>
    </row>
    <row r="118" spans="1:26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5.75" customHeight="1"/>
    <row r="280" spans="1:26" ht="15.75" customHeight="1"/>
    <row r="281" spans="1:26" ht="15.75" customHeight="1"/>
    <row r="282" spans="1:26" ht="15.75" customHeight="1"/>
    <row r="283" spans="1:26" ht="15.75" customHeight="1"/>
    <row r="284" spans="1:26" ht="15.75" customHeight="1"/>
    <row r="285" spans="1:26" ht="15.75" customHeight="1"/>
    <row r="286" spans="1:26" ht="15.75" customHeight="1"/>
    <row r="287" spans="1:26" ht="15.75" customHeight="1"/>
    <row r="288" spans="1:26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mergeCells count="17">
    <mergeCell ref="B67:B69"/>
    <mergeCell ref="B76:B78"/>
    <mergeCell ref="I30:I34"/>
    <mergeCell ref="I38:I42"/>
    <mergeCell ref="D65:F65"/>
    <mergeCell ref="D74:F74"/>
    <mergeCell ref="I69:I73"/>
    <mergeCell ref="I112:I116"/>
    <mergeCell ref="Q112:Q116"/>
    <mergeCell ref="Q69:Q73"/>
    <mergeCell ref="I82:I86"/>
    <mergeCell ref="Q82:Q86"/>
    <mergeCell ref="K36:O36"/>
    <mergeCell ref="K28:O28"/>
    <mergeCell ref="I26:O26"/>
    <mergeCell ref="I99:I103"/>
    <mergeCell ref="Q99:Q103"/>
  </mergeCells>
  <conditionalFormatting sqref="C66 C75">
    <cfRule type="cellIs" dxfId="8" priority="5" operator="notEqual">
      <formula>0.6545646468</formula>
    </cfRule>
  </conditionalFormatting>
  <conditionalFormatting sqref="I56 I57:K58">
    <cfRule type="containsText" dxfId="7" priority="3" operator="containsText" text="OK">
      <formula>NOT(ISERROR(SEARCH("OK",I56)))</formula>
    </cfRule>
    <cfRule type="containsText" dxfId="6" priority="4" operator="containsText" text="ERROR">
      <formula>NOT(ISERROR(SEARCH("ERROR",I56)))</formula>
    </cfRule>
  </conditionalFormatting>
  <conditionalFormatting sqref="K56">
    <cfRule type="containsText" dxfId="5" priority="1" operator="containsText" text="OK">
      <formula>NOT(ISERROR(SEARCH("OK",K56)))</formula>
    </cfRule>
    <cfRule type="containsText" dxfId="4" priority="2" operator="containsText" text="ERROR">
      <formula>NOT(ISERROR(SEARCH("ERROR",K56)))</formula>
    </cfRule>
  </conditionalFormatting>
  <pageMargins left="0.7" right="0.7" top="0.75" bottom="0.75" header="0" footer="0"/>
  <pageSetup scale="43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8"/>
  </sheetPr>
  <dimension ref="B3:F43"/>
  <sheetViews>
    <sheetView showGridLines="0" topLeftCell="A13" zoomScale="140" zoomScaleNormal="140" workbookViewId="0">
      <selection activeCell="D12" sqref="D12"/>
    </sheetView>
  </sheetViews>
  <sheetFormatPr defaultRowHeight="12.75"/>
  <cols>
    <col min="1" max="1" width="1.7109375" style="926" bestFit="1" customWidth="1"/>
    <col min="2" max="6" width="12.7109375" style="926" customWidth="1"/>
    <col min="7" max="16384" width="9.140625" style="926"/>
  </cols>
  <sheetData>
    <row r="3" spans="2:6">
      <c r="B3" s="974" t="s">
        <v>1435</v>
      </c>
      <c r="C3" s="973"/>
      <c r="D3" s="973"/>
      <c r="E3" s="973"/>
      <c r="F3" s="972"/>
    </row>
    <row r="4" spans="2:6">
      <c r="B4" s="928" t="s">
        <v>1434</v>
      </c>
      <c r="C4" s="930"/>
      <c r="D4" s="930"/>
      <c r="E4" s="971" t="s">
        <v>1433</v>
      </c>
      <c r="F4" s="970" t="s">
        <v>1432</v>
      </c>
    </row>
    <row r="5" spans="2:6">
      <c r="B5" s="928"/>
      <c r="C5" s="930"/>
      <c r="D5" s="930"/>
      <c r="E5" s="930"/>
      <c r="F5" s="969"/>
    </row>
    <row r="6" spans="2:6">
      <c r="B6" s="968" t="s">
        <v>1431</v>
      </c>
      <c r="C6" s="967"/>
      <c r="D6" s="967"/>
      <c r="E6" s="967"/>
      <c r="F6" s="967"/>
    </row>
    <row r="7" spans="2:6">
      <c r="B7" s="933" t="s">
        <v>622</v>
      </c>
      <c r="C7" s="932"/>
      <c r="D7" s="932"/>
      <c r="E7" s="932"/>
      <c r="F7" s="966">
        <v>200</v>
      </c>
    </row>
    <row r="8" spans="2:6">
      <c r="B8" s="928" t="s">
        <v>16</v>
      </c>
      <c r="C8" s="930"/>
      <c r="D8" s="930"/>
      <c r="E8" s="930"/>
      <c r="F8" s="947">
        <v>50</v>
      </c>
    </row>
    <row r="9" spans="2:6">
      <c r="B9" s="946" t="s">
        <v>1429</v>
      </c>
      <c r="C9" s="945"/>
      <c r="D9" s="945"/>
      <c r="E9" s="945"/>
      <c r="F9" s="944">
        <f>+SUM(F7:F8)</f>
        <v>250</v>
      </c>
    </row>
    <row r="10" spans="2:6">
      <c r="B10" s="965"/>
      <c r="C10" s="964"/>
      <c r="D10" s="964"/>
      <c r="E10" s="964"/>
      <c r="F10" s="963"/>
    </row>
    <row r="11" spans="2:6">
      <c r="B11" s="962" t="s">
        <v>1430</v>
      </c>
      <c r="C11" s="961"/>
      <c r="D11" s="961"/>
      <c r="E11" s="961"/>
      <c r="F11" s="960"/>
    </row>
    <row r="12" spans="2:6">
      <c r="B12" s="933" t="s">
        <v>1429</v>
      </c>
      <c r="C12" s="932"/>
      <c r="D12" s="932"/>
      <c r="E12" s="932"/>
      <c r="F12" s="959">
        <f>+F9</f>
        <v>250</v>
      </c>
    </row>
    <row r="13" spans="2:6">
      <c r="B13" s="928" t="s">
        <v>620</v>
      </c>
      <c r="C13" s="930"/>
      <c r="D13" s="930"/>
      <c r="E13" s="930"/>
      <c r="F13" s="948">
        <f>-F8</f>
        <v>-50</v>
      </c>
    </row>
    <row r="14" spans="2:6">
      <c r="B14" s="946" t="s">
        <v>622</v>
      </c>
      <c r="C14" s="945"/>
      <c r="D14" s="945"/>
      <c r="E14" s="945"/>
      <c r="F14" s="944">
        <f>+SUM(F12:F13)</f>
        <v>200</v>
      </c>
    </row>
    <row r="15" spans="2:6">
      <c r="B15" s="928" t="s">
        <v>1428</v>
      </c>
      <c r="C15" s="930"/>
      <c r="D15" s="930"/>
      <c r="E15" s="930"/>
      <c r="F15" s="958">
        <v>10</v>
      </c>
    </row>
    <row r="16" spans="2:6">
      <c r="B16" s="928" t="s">
        <v>1427</v>
      </c>
      <c r="C16" s="930"/>
      <c r="D16" s="930"/>
      <c r="E16" s="930"/>
      <c r="F16" s="948">
        <f>+F14/F15</f>
        <v>20</v>
      </c>
    </row>
    <row r="17" spans="2:6">
      <c r="B17" s="928"/>
      <c r="C17" s="930"/>
      <c r="D17" s="930"/>
      <c r="E17" s="930"/>
      <c r="F17" s="957"/>
    </row>
    <row r="18" spans="2:6">
      <c r="B18" s="956" t="s">
        <v>1426</v>
      </c>
      <c r="C18" s="955"/>
      <c r="D18" s="955"/>
      <c r="E18" s="955"/>
      <c r="F18" s="954"/>
    </row>
    <row r="19" spans="2:6">
      <c r="B19" s="946" t="s">
        <v>1425</v>
      </c>
      <c r="C19" s="945"/>
      <c r="D19" s="945"/>
      <c r="E19" s="945"/>
      <c r="F19" s="953">
        <v>100</v>
      </c>
    </row>
    <row r="20" spans="2:6">
      <c r="B20" s="928" t="s">
        <v>267</v>
      </c>
      <c r="C20" s="930"/>
      <c r="D20" s="930"/>
      <c r="E20" s="930"/>
      <c r="F20" s="952">
        <f>+F38*F$19</f>
        <v>40</v>
      </c>
    </row>
    <row r="21" spans="2:6">
      <c r="B21" s="951" t="s">
        <v>1424</v>
      </c>
      <c r="C21" s="950"/>
      <c r="D21" s="950"/>
      <c r="E21" s="950"/>
      <c r="F21" s="948">
        <f>-F39*F$19</f>
        <v>-10</v>
      </c>
    </row>
    <row r="22" spans="2:6">
      <c r="B22" s="946" t="s">
        <v>199</v>
      </c>
      <c r="C22" s="949"/>
      <c r="D22" s="949"/>
      <c r="E22" s="949"/>
      <c r="F22" s="944">
        <f>+SUM(F20:F21)</f>
        <v>30</v>
      </c>
    </row>
    <row r="23" spans="2:6">
      <c r="B23" s="928" t="s">
        <v>220</v>
      </c>
      <c r="C23" s="930"/>
      <c r="D23" s="930"/>
      <c r="E23" s="930"/>
      <c r="F23" s="948">
        <f>-F41*F22</f>
        <v>-9</v>
      </c>
    </row>
    <row r="24" spans="2:6">
      <c r="B24" s="946" t="s">
        <v>212</v>
      </c>
      <c r="C24" s="945"/>
      <c r="D24" s="945"/>
      <c r="E24" s="945"/>
      <c r="F24" s="944">
        <f>+SUM(F22:F23)</f>
        <v>21</v>
      </c>
    </row>
    <row r="25" spans="2:6">
      <c r="B25" s="928" t="s">
        <v>1423</v>
      </c>
      <c r="C25" s="930"/>
      <c r="D25" s="930"/>
      <c r="E25" s="930"/>
      <c r="F25" s="948">
        <f>-F21</f>
        <v>10</v>
      </c>
    </row>
    <row r="26" spans="2:6">
      <c r="B26" s="928" t="s">
        <v>1422</v>
      </c>
      <c r="C26" s="930"/>
      <c r="D26" s="930"/>
      <c r="E26" s="930"/>
      <c r="F26" s="948">
        <f>-F42*F$19</f>
        <v>-5</v>
      </c>
    </row>
    <row r="27" spans="2:6">
      <c r="B27" s="928" t="s">
        <v>1421</v>
      </c>
      <c r="C27" s="930"/>
      <c r="D27" s="930"/>
      <c r="E27" s="930"/>
      <c r="F27" s="948">
        <f>-F43*F$19</f>
        <v>-3</v>
      </c>
    </row>
    <row r="28" spans="2:6">
      <c r="B28" s="946" t="s">
        <v>203</v>
      </c>
      <c r="C28" s="945"/>
      <c r="D28" s="945"/>
      <c r="E28" s="945"/>
      <c r="F28" s="944">
        <f>+SUM(F24:F27)</f>
        <v>23</v>
      </c>
    </row>
    <row r="29" spans="2:6">
      <c r="B29" s="928" t="s">
        <v>218</v>
      </c>
      <c r="C29" s="930"/>
      <c r="D29" s="930"/>
      <c r="E29" s="930"/>
      <c r="F29" s="947">
        <v>-4</v>
      </c>
    </row>
    <row r="30" spans="2:6">
      <c r="B30" s="928" t="s">
        <v>1420</v>
      </c>
      <c r="C30" s="930"/>
      <c r="D30" s="930"/>
      <c r="E30" s="930"/>
      <c r="F30" s="948">
        <f>-F41*F29</f>
        <v>1.2</v>
      </c>
    </row>
    <row r="31" spans="2:6">
      <c r="B31" s="928" t="s">
        <v>1419</v>
      </c>
      <c r="C31" s="930"/>
      <c r="D31" s="930"/>
      <c r="E31" s="930"/>
      <c r="F31" s="947">
        <v>-10</v>
      </c>
    </row>
    <row r="32" spans="2:6">
      <c r="B32" s="946" t="s">
        <v>1418</v>
      </c>
      <c r="C32" s="945"/>
      <c r="D32" s="945"/>
      <c r="E32" s="945"/>
      <c r="F32" s="944">
        <f>+SUM(F28:F31)</f>
        <v>10.199999999999999</v>
      </c>
    </row>
    <row r="33" spans="2:6">
      <c r="B33" s="928"/>
      <c r="C33" s="930"/>
      <c r="D33" s="930"/>
      <c r="E33" s="930"/>
      <c r="F33" s="937"/>
    </row>
    <row r="34" spans="2:6">
      <c r="B34" s="943" t="s">
        <v>1417</v>
      </c>
      <c r="C34" s="942"/>
      <c r="D34" s="942"/>
      <c r="E34" s="942"/>
      <c r="F34" s="941">
        <f>+IF($F$4="TEV",F28/F9,(F28/(F15*F16-F13)))</f>
        <v>9.1999999999999998E-2</v>
      </c>
    </row>
    <row r="35" spans="2:6">
      <c r="B35" s="940" t="s">
        <v>1416</v>
      </c>
      <c r="C35" s="939"/>
      <c r="D35" s="939"/>
      <c r="E35" s="939"/>
      <c r="F35" s="938">
        <f>+IF($F$4="TEV",F32/F7,(F32/(F15*F16)))</f>
        <v>5.0999999999999997E-2</v>
      </c>
    </row>
    <row r="36" spans="2:6">
      <c r="B36" s="928"/>
      <c r="C36" s="930"/>
      <c r="D36" s="930"/>
      <c r="E36" s="930"/>
      <c r="F36" s="937"/>
    </row>
    <row r="37" spans="2:6">
      <c r="B37" s="936" t="s">
        <v>1415</v>
      </c>
      <c r="C37" s="935"/>
      <c r="D37" s="935"/>
      <c r="E37" s="935"/>
      <c r="F37" s="934"/>
    </row>
    <row r="38" spans="2:6">
      <c r="B38" s="933" t="s">
        <v>269</v>
      </c>
      <c r="C38" s="932"/>
      <c r="D38" s="932"/>
      <c r="E38" s="932"/>
      <c r="F38" s="931">
        <v>0.4</v>
      </c>
    </row>
    <row r="39" spans="2:6">
      <c r="B39" s="928" t="s">
        <v>1414</v>
      </c>
      <c r="F39" s="927">
        <v>0.1</v>
      </c>
    </row>
    <row r="40" spans="2:6">
      <c r="B40" s="928" t="s">
        <v>1055</v>
      </c>
      <c r="C40" s="930"/>
      <c r="D40" s="930"/>
      <c r="E40" s="930"/>
      <c r="F40" s="929">
        <f>+F22/F$19</f>
        <v>0.3</v>
      </c>
    </row>
    <row r="41" spans="2:6">
      <c r="B41" s="928" t="s">
        <v>660</v>
      </c>
      <c r="F41" s="927">
        <v>0.3</v>
      </c>
    </row>
    <row r="42" spans="2:6">
      <c r="B42" s="928" t="s">
        <v>1413</v>
      </c>
      <c r="F42" s="927">
        <v>0.05</v>
      </c>
    </row>
    <row r="43" spans="2:6">
      <c r="B43" s="928" t="s">
        <v>1412</v>
      </c>
      <c r="F43" s="927">
        <v>0.03</v>
      </c>
    </row>
  </sheetData>
  <dataValidations count="1">
    <dataValidation type="list" allowBlank="1" showInputMessage="1" showErrorMessage="1" sqref="F4" xr:uid="{00000000-0002-0000-0D00-000000000000}">
      <formula1>"TEV,Share Price"</formula1>
    </dataValidation>
  </dataValidation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85A00-FEC2-46D5-AD35-AEC6EC77D6A2}">
  <sheetPr>
    <tabColor rgb="FFB7B7B7"/>
  </sheetPr>
  <dimension ref="A1:AA1000"/>
  <sheetViews>
    <sheetView workbookViewId="0"/>
  </sheetViews>
  <sheetFormatPr defaultColWidth="12.42578125" defaultRowHeight="15" customHeight="1"/>
  <cols>
    <col min="1" max="1" width="17.42578125" style="1118" customWidth="1"/>
    <col min="2" max="2" width="9.85546875" style="1118" customWidth="1"/>
    <col min="3" max="3" width="8.140625" style="1118" customWidth="1"/>
    <col min="4" max="4" width="10.140625" style="1118" customWidth="1"/>
    <col min="5" max="5" width="10.7109375" style="1118" customWidth="1"/>
    <col min="6" max="6" width="9" style="1118" customWidth="1"/>
    <col min="7" max="7" width="9.85546875" style="1118" customWidth="1"/>
    <col min="8" max="8" width="19.28515625" style="1118" customWidth="1"/>
    <col min="9" max="27" width="9.140625" style="1118" customWidth="1"/>
    <col min="28" max="16384" width="12.42578125" style="1118"/>
  </cols>
  <sheetData>
    <row r="1" spans="1:27" ht="12" customHeight="1">
      <c r="A1" s="1129" t="s">
        <v>1660</v>
      </c>
      <c r="B1" s="1128" t="s">
        <v>1659</v>
      </c>
      <c r="C1" s="1131" t="s">
        <v>1658</v>
      </c>
      <c r="D1" s="1131" t="s">
        <v>1657</v>
      </c>
      <c r="E1" s="1131" t="s">
        <v>1656</v>
      </c>
      <c r="F1" s="1128" t="s">
        <v>1655</v>
      </c>
      <c r="G1" s="1128" t="s">
        <v>1654</v>
      </c>
      <c r="H1" s="1128" t="s">
        <v>1653</v>
      </c>
      <c r="I1" s="1128" t="s">
        <v>1652</v>
      </c>
      <c r="J1" s="1128" t="s">
        <v>1651</v>
      </c>
      <c r="K1" s="1128" t="s">
        <v>1650</v>
      </c>
      <c r="L1" s="1128" t="s">
        <v>1649</v>
      </c>
      <c r="M1" s="1128" t="s">
        <v>1648</v>
      </c>
      <c r="N1" s="1130" t="s">
        <v>1647</v>
      </c>
      <c r="O1" s="1128" t="s">
        <v>1646</v>
      </c>
      <c r="P1" s="1128" t="s">
        <v>781</v>
      </c>
      <c r="Q1" s="1128" t="s">
        <v>1645</v>
      </c>
      <c r="R1" s="1128" t="s">
        <v>1644</v>
      </c>
      <c r="S1" s="1128" t="s">
        <v>1643</v>
      </c>
      <c r="T1" s="1128" t="s">
        <v>1642</v>
      </c>
      <c r="U1" s="1128" t="s">
        <v>1641</v>
      </c>
      <c r="V1" s="1128" t="s">
        <v>1640</v>
      </c>
      <c r="W1" s="1128" t="s">
        <v>1639</v>
      </c>
      <c r="X1" s="1129" t="s">
        <v>97</v>
      </c>
      <c r="Y1" s="1129" t="s">
        <v>1638</v>
      </c>
      <c r="Z1" s="1129" t="s">
        <v>1637</v>
      </c>
      <c r="AA1" s="1128" t="s">
        <v>1636</v>
      </c>
    </row>
    <row r="2" spans="1:27" ht="12" customHeight="1">
      <c r="A2" s="1126" t="s">
        <v>634</v>
      </c>
      <c r="B2" s="1125">
        <v>348</v>
      </c>
      <c r="C2" s="1123">
        <v>4.9299999999999997E-2</v>
      </c>
      <c r="D2" s="1123">
        <v>8.4500000000000006E-2</v>
      </c>
      <c r="E2" s="1123">
        <v>0.21249999999999999</v>
      </c>
      <c r="F2" s="1123">
        <v>0.31</v>
      </c>
      <c r="G2" s="1124">
        <v>1.18</v>
      </c>
      <c r="H2" s="1124">
        <v>1.29</v>
      </c>
      <c r="I2" s="1123">
        <v>8.3099999999999993E-2</v>
      </c>
      <c r="J2" s="1123">
        <v>0.38279999999999997</v>
      </c>
      <c r="K2" s="1123">
        <v>4.0399999999999998E-2</v>
      </c>
      <c r="L2" s="1123">
        <v>0.24560000000000001</v>
      </c>
      <c r="M2" s="1123">
        <v>7.0000000000000007E-2</v>
      </c>
      <c r="N2" s="1124">
        <v>2.8</v>
      </c>
      <c r="O2" s="1124">
        <v>1.75</v>
      </c>
      <c r="P2" s="1124">
        <v>12.24</v>
      </c>
      <c r="Q2" s="1124">
        <v>19</v>
      </c>
      <c r="R2" s="1124">
        <v>2.73</v>
      </c>
      <c r="S2" s="1124">
        <v>74.81</v>
      </c>
      <c r="T2" s="1123">
        <v>-4.2099999999999999E-2</v>
      </c>
      <c r="U2" s="1123">
        <v>1.43E-2</v>
      </c>
      <c r="V2" s="1123">
        <v>-8.9999999999999993E-3</v>
      </c>
      <c r="W2" s="1123">
        <v>-0.31309999999999999</v>
      </c>
      <c r="X2" s="1123">
        <v>5.6300000000000003E-2</v>
      </c>
      <c r="Y2" s="1123">
        <v>0.73980000000000001</v>
      </c>
      <c r="Z2" s="1123">
        <v>0.73980000000000001</v>
      </c>
      <c r="AA2" s="1123">
        <v>8.8200000000000001E-2</v>
      </c>
    </row>
    <row r="3" spans="1:27" ht="12" customHeight="1">
      <c r="A3" s="1126" t="s">
        <v>1635</v>
      </c>
      <c r="B3" s="1125">
        <v>272</v>
      </c>
      <c r="C3" s="1123">
        <v>8.5999999999999993E-2</v>
      </c>
      <c r="D3" s="1123">
        <v>7.4999999999999997E-2</v>
      </c>
      <c r="E3" s="1123">
        <v>0.127</v>
      </c>
      <c r="F3" s="1123">
        <v>0.15690000000000001</v>
      </c>
      <c r="G3" s="1124">
        <v>1.1100000000000001</v>
      </c>
      <c r="H3" s="1124">
        <v>1.22</v>
      </c>
      <c r="I3" s="1123">
        <v>7.9399999999999998E-2</v>
      </c>
      <c r="J3" s="1123">
        <v>0.33189999999999997</v>
      </c>
      <c r="K3" s="1123">
        <v>4.0399999999999998E-2</v>
      </c>
      <c r="L3" s="1123">
        <v>0.20610000000000001</v>
      </c>
      <c r="M3" s="1123">
        <v>6.9199999999999998E-2</v>
      </c>
      <c r="N3" s="1124">
        <v>1.84</v>
      </c>
      <c r="O3" s="1124">
        <v>2.14</v>
      </c>
      <c r="P3" s="1124">
        <v>14.58</v>
      </c>
      <c r="Q3" s="1124">
        <v>23.35</v>
      </c>
      <c r="R3" s="1124">
        <v>4.32</v>
      </c>
      <c r="S3" s="1124">
        <v>70.17</v>
      </c>
      <c r="T3" s="1123">
        <v>0.41789999999999999</v>
      </c>
      <c r="U3" s="1123">
        <v>3.09E-2</v>
      </c>
      <c r="V3" s="1123">
        <v>1.26E-2</v>
      </c>
      <c r="W3" s="1123">
        <v>0.58750000000000002</v>
      </c>
      <c r="X3" s="1123">
        <v>0.14419999999999999</v>
      </c>
      <c r="Y3" s="1123">
        <v>0.44790000000000002</v>
      </c>
      <c r="Z3" s="1123">
        <v>0.44790000000000002</v>
      </c>
      <c r="AA3" s="1123">
        <v>7.5999999999999998E-2</v>
      </c>
    </row>
    <row r="4" spans="1:27" ht="12" customHeight="1">
      <c r="A4" s="1126" t="s">
        <v>1634</v>
      </c>
      <c r="B4" s="1125">
        <v>151</v>
      </c>
      <c r="C4" s="1123">
        <v>-8.8099999999999998E-2</v>
      </c>
      <c r="D4" s="1123">
        <v>-0.2145</v>
      </c>
      <c r="E4" s="1123">
        <v>-0.1084</v>
      </c>
      <c r="F4" s="1123">
        <v>0.18940000000000001</v>
      </c>
      <c r="G4" s="1124">
        <v>0.94</v>
      </c>
      <c r="H4" s="1124">
        <v>1.59</v>
      </c>
      <c r="I4" s="1123">
        <v>9.8900000000000002E-2</v>
      </c>
      <c r="J4" s="1123">
        <v>0.30930000000000002</v>
      </c>
      <c r="K4" s="1123">
        <v>4.0399999999999998E-2</v>
      </c>
      <c r="L4" s="1123">
        <v>0.55820000000000003</v>
      </c>
      <c r="M4" s="1123">
        <v>6.0299999999999999E-2</v>
      </c>
      <c r="N4" s="1124">
        <v>0.52</v>
      </c>
      <c r="O4" s="1124">
        <v>3.25</v>
      </c>
      <c r="P4" s="1124">
        <v>24.04</v>
      </c>
      <c r="Q4" s="1127" t="s">
        <v>1547</v>
      </c>
      <c r="R4" s="1124">
        <v>2.75</v>
      </c>
      <c r="S4" s="1124">
        <v>721.84</v>
      </c>
      <c r="T4" s="1123">
        <v>-8.2199999999999995E-2</v>
      </c>
      <c r="U4" s="1123">
        <v>0.1221</v>
      </c>
      <c r="V4" s="1123">
        <v>-2.1600000000000001E-2</v>
      </c>
      <c r="W4" s="1126" t="s">
        <v>1547</v>
      </c>
      <c r="X4" s="1123">
        <v>-0.36720000000000003</v>
      </c>
      <c r="Y4" s="1123">
        <v>3.5000000000000001E-3</v>
      </c>
      <c r="Z4" s="1123">
        <v>3.5000000000000001E-3</v>
      </c>
      <c r="AA4" s="1123">
        <v>-0.21790000000000001</v>
      </c>
    </row>
    <row r="5" spans="1:27" ht="12" customHeight="1">
      <c r="A5" s="1126" t="s">
        <v>1633</v>
      </c>
      <c r="B5" s="1125">
        <v>1170</v>
      </c>
      <c r="C5" s="1123">
        <v>1.8599999999999998E-2</v>
      </c>
      <c r="D5" s="1123">
        <v>0.1399</v>
      </c>
      <c r="E5" s="1123">
        <v>0.17910000000000001</v>
      </c>
      <c r="F5" s="1123">
        <v>0.24199999999999999</v>
      </c>
      <c r="G5" s="1124">
        <v>0.9</v>
      </c>
      <c r="H5" s="1124">
        <v>0.95</v>
      </c>
      <c r="I5" s="1123">
        <v>6.5299999999999997E-2</v>
      </c>
      <c r="J5" s="1123">
        <v>0.31359999999999999</v>
      </c>
      <c r="K5" s="1123">
        <v>4.0399999999999998E-2</v>
      </c>
      <c r="L5" s="1123">
        <v>0.14030000000000001</v>
      </c>
      <c r="M5" s="1123">
        <v>6.0299999999999999E-2</v>
      </c>
      <c r="N5" s="1124">
        <v>1.46</v>
      </c>
      <c r="O5" s="1124">
        <v>3.13</v>
      </c>
      <c r="P5" s="1124">
        <v>16.190000000000001</v>
      </c>
      <c r="Q5" s="1124">
        <v>21.71</v>
      </c>
      <c r="R5" s="1124">
        <v>4.13</v>
      </c>
      <c r="S5" s="1124">
        <v>39.24</v>
      </c>
      <c r="T5" s="1123">
        <v>0.22009999999999999</v>
      </c>
      <c r="U5" s="1123">
        <v>3.7100000000000001E-2</v>
      </c>
      <c r="V5" s="1123">
        <v>6.7599999999999993E-2</v>
      </c>
      <c r="W5" s="1123">
        <v>0.56889999999999996</v>
      </c>
      <c r="X5" s="1123">
        <v>0.1673</v>
      </c>
      <c r="Y5" s="1123">
        <v>0.35809999999999997</v>
      </c>
      <c r="Z5" s="1123">
        <v>0.35809999999999997</v>
      </c>
      <c r="AA5" s="1123">
        <v>0.14199999999999999</v>
      </c>
    </row>
    <row r="6" spans="1:27" ht="12" customHeight="1">
      <c r="A6" s="1126" t="s">
        <v>1632</v>
      </c>
      <c r="B6" s="1125">
        <v>152</v>
      </c>
      <c r="C6" s="1123">
        <v>8.0299999999999996E-2</v>
      </c>
      <c r="D6" s="1123">
        <v>6.6400000000000001E-2</v>
      </c>
      <c r="E6" s="1123">
        <v>6.3200000000000006E-2</v>
      </c>
      <c r="F6" s="1123">
        <v>0.23150000000000001</v>
      </c>
      <c r="G6" s="1124">
        <v>1.1100000000000001</v>
      </c>
      <c r="H6" s="1124">
        <v>1.35</v>
      </c>
      <c r="I6" s="1123">
        <v>8.6300000000000002E-2</v>
      </c>
      <c r="J6" s="1123">
        <v>0.31490000000000001</v>
      </c>
      <c r="K6" s="1123">
        <v>4.0399999999999998E-2</v>
      </c>
      <c r="L6" s="1123">
        <v>0.32369999999999999</v>
      </c>
      <c r="M6" s="1123">
        <v>6.8099999999999994E-2</v>
      </c>
      <c r="N6" s="1124">
        <v>1.03</v>
      </c>
      <c r="O6" s="1124">
        <v>1.66</v>
      </c>
      <c r="P6" s="1124">
        <v>14.18</v>
      </c>
      <c r="Q6" s="1124">
        <v>23.3</v>
      </c>
      <c r="R6" s="1124">
        <v>2.27</v>
      </c>
      <c r="S6" s="1124">
        <v>96.32</v>
      </c>
      <c r="T6" s="1123">
        <v>4.5999999999999999E-2</v>
      </c>
      <c r="U6" s="1123">
        <v>6.8900000000000003E-2</v>
      </c>
      <c r="V6" s="1123">
        <v>3.04E-2</v>
      </c>
      <c r="W6" s="1123">
        <v>0.63729999999999998</v>
      </c>
      <c r="X6" s="1123">
        <v>0.1285</v>
      </c>
      <c r="Y6" s="1123">
        <v>0.1845</v>
      </c>
      <c r="Z6" s="1123">
        <v>0.1845</v>
      </c>
      <c r="AA6" s="1123">
        <v>6.8500000000000005E-2</v>
      </c>
    </row>
    <row r="7" spans="1:27" ht="12" customHeight="1">
      <c r="A7" s="1126" t="s">
        <v>1631</v>
      </c>
      <c r="B7" s="1125">
        <v>728</v>
      </c>
      <c r="C7" s="1123">
        <v>4.3799999999999999E-2</v>
      </c>
      <c r="D7" s="1123">
        <v>5.6899999999999999E-2</v>
      </c>
      <c r="E7" s="1123">
        <v>7.9500000000000001E-2</v>
      </c>
      <c r="F7" s="1123">
        <v>0.22950000000000001</v>
      </c>
      <c r="G7" s="1124">
        <v>1.44</v>
      </c>
      <c r="H7" s="1124">
        <v>1.53</v>
      </c>
      <c r="I7" s="1123">
        <v>9.5399999999999999E-2</v>
      </c>
      <c r="J7" s="1123">
        <v>0.29799999999999999</v>
      </c>
      <c r="K7" s="1123">
        <v>4.0399999999999998E-2</v>
      </c>
      <c r="L7" s="1123">
        <v>0.218</v>
      </c>
      <c r="M7" s="1123">
        <v>8.1100000000000005E-2</v>
      </c>
      <c r="N7" s="1124">
        <v>1.64</v>
      </c>
      <c r="O7" s="1124">
        <v>0.97</v>
      </c>
      <c r="P7" s="1124">
        <v>8.6300000000000008</v>
      </c>
      <c r="Q7" s="1124">
        <v>16.04</v>
      </c>
      <c r="R7" s="1124">
        <v>1.76</v>
      </c>
      <c r="S7" s="1124">
        <v>54.54</v>
      </c>
      <c r="T7" s="1123">
        <v>0.11749999999999999</v>
      </c>
      <c r="U7" s="1123">
        <v>4.5400000000000003E-2</v>
      </c>
      <c r="V7" s="1123">
        <v>2.63E-2</v>
      </c>
      <c r="W7" s="1123">
        <v>0.83230000000000004</v>
      </c>
      <c r="X7" s="1123">
        <v>9.1200000000000003E-2</v>
      </c>
      <c r="Y7" s="1123">
        <v>0.30969999999999998</v>
      </c>
      <c r="Z7" s="1123">
        <v>0.30969999999999998</v>
      </c>
      <c r="AA7" s="1123">
        <v>5.8000000000000003E-2</v>
      </c>
    </row>
    <row r="8" spans="1:27" ht="12" customHeight="1">
      <c r="A8" s="1126" t="s">
        <v>1630</v>
      </c>
      <c r="B8" s="1125">
        <v>610</v>
      </c>
      <c r="C8" s="1123">
        <v>8.72E-2</v>
      </c>
      <c r="D8" s="1123">
        <v>1.5E-3</v>
      </c>
      <c r="E8" s="1123">
        <v>2.0000000000000001E-4</v>
      </c>
      <c r="F8" s="1123">
        <v>0.19309999999999999</v>
      </c>
      <c r="G8" s="1124">
        <v>0.59</v>
      </c>
      <c r="H8" s="1124">
        <v>1.03</v>
      </c>
      <c r="I8" s="1123">
        <v>6.9400000000000003E-2</v>
      </c>
      <c r="J8" s="1123">
        <v>0.20419999999999999</v>
      </c>
      <c r="K8" s="1123">
        <v>3.3799999999999997E-2</v>
      </c>
      <c r="L8" s="1123">
        <v>0.73089999999999999</v>
      </c>
      <c r="M8" s="1123">
        <v>3.6900000000000002E-2</v>
      </c>
      <c r="N8" s="1124">
        <v>0.15</v>
      </c>
      <c r="O8" s="1124">
        <v>6.35</v>
      </c>
      <c r="P8" s="1127" t="s">
        <v>1547</v>
      </c>
      <c r="Q8" s="1127" t="s">
        <v>1547</v>
      </c>
      <c r="R8" s="1124">
        <v>0.85</v>
      </c>
      <c r="S8" s="1124">
        <v>28.88</v>
      </c>
      <c r="T8" s="1126" t="s">
        <v>1547</v>
      </c>
      <c r="U8" s="1123">
        <v>3.2500000000000001E-2</v>
      </c>
      <c r="V8" s="1123">
        <v>3.1600000000000003E-2</v>
      </c>
      <c r="W8" s="1123">
        <v>20.911899999999999</v>
      </c>
      <c r="X8" s="1123">
        <v>0.1124</v>
      </c>
      <c r="Y8" s="1123">
        <v>0.27350000000000002</v>
      </c>
      <c r="Z8" s="1123">
        <v>0.27350000000000002</v>
      </c>
      <c r="AA8" s="1123">
        <v>1.6999999999999999E-3</v>
      </c>
    </row>
    <row r="9" spans="1:27" ht="12" customHeight="1">
      <c r="A9" s="1126" t="s">
        <v>1629</v>
      </c>
      <c r="B9" s="1125">
        <v>816</v>
      </c>
      <c r="C9" s="1123">
        <v>9.0499999999999997E-2</v>
      </c>
      <c r="D9" s="1123">
        <v>1E-4</v>
      </c>
      <c r="E9" s="1123">
        <v>-2.0000000000000001E-4</v>
      </c>
      <c r="F9" s="1123">
        <v>0.20369999999999999</v>
      </c>
      <c r="G9" s="1124">
        <v>0.67</v>
      </c>
      <c r="H9" s="1124">
        <v>0.74</v>
      </c>
      <c r="I9" s="1123">
        <v>5.3900000000000003E-2</v>
      </c>
      <c r="J9" s="1123">
        <v>0.19220000000000001</v>
      </c>
      <c r="K9" s="1123">
        <v>3.3799999999999997E-2</v>
      </c>
      <c r="L9" s="1123">
        <v>0.63959999999999995</v>
      </c>
      <c r="M9" s="1123">
        <v>3.5400000000000001E-2</v>
      </c>
      <c r="N9" s="1124">
        <v>0.23</v>
      </c>
      <c r="O9" s="1124">
        <v>4.46</v>
      </c>
      <c r="P9" s="1127" t="s">
        <v>1547</v>
      </c>
      <c r="Q9" s="1127" t="s">
        <v>1547</v>
      </c>
      <c r="R9" s="1124">
        <v>0.94</v>
      </c>
      <c r="S9" s="1124">
        <v>24.9</v>
      </c>
      <c r="T9" s="1126" t="s">
        <v>1547</v>
      </c>
      <c r="U9" s="1123">
        <v>4.7399999999999998E-2</v>
      </c>
      <c r="V9" s="1123">
        <v>7.9799999999999996E-2</v>
      </c>
      <c r="W9" s="1126" t="s">
        <v>1547</v>
      </c>
      <c r="X9" s="1123">
        <v>9.7799999999999998E-2</v>
      </c>
      <c r="Y9" s="1123">
        <v>0.26640000000000003</v>
      </c>
      <c r="Z9" s="1123">
        <v>0.26640000000000003</v>
      </c>
      <c r="AA9" s="1123">
        <v>-1.1000000000000001E-3</v>
      </c>
    </row>
    <row r="10" spans="1:27" ht="12" customHeight="1">
      <c r="A10" s="1126" t="s">
        <v>1628</v>
      </c>
      <c r="B10" s="1125">
        <v>219</v>
      </c>
      <c r="C10" s="1123">
        <v>5.5800000000000002E-2</v>
      </c>
      <c r="D10" s="1123">
        <v>0.21790000000000001</v>
      </c>
      <c r="E10" s="1123">
        <v>0.13020000000000001</v>
      </c>
      <c r="F10" s="1123">
        <v>0.26069999999999999</v>
      </c>
      <c r="G10" s="1124">
        <v>0.86</v>
      </c>
      <c r="H10" s="1124">
        <v>0.92</v>
      </c>
      <c r="I10" s="1123">
        <v>6.3500000000000001E-2</v>
      </c>
      <c r="J10" s="1123">
        <v>0.252</v>
      </c>
      <c r="K10" s="1123">
        <v>4.0399999999999998E-2</v>
      </c>
      <c r="L10" s="1123">
        <v>0.12920000000000001</v>
      </c>
      <c r="M10" s="1123">
        <v>5.9200000000000003E-2</v>
      </c>
      <c r="N10" s="1124">
        <v>0.72</v>
      </c>
      <c r="O10" s="1124">
        <v>5.3</v>
      </c>
      <c r="P10" s="1124">
        <v>19.77</v>
      </c>
      <c r="Q10" s="1124">
        <v>24.2</v>
      </c>
      <c r="R10" s="1124">
        <v>4.45</v>
      </c>
      <c r="S10" s="1124">
        <v>44.85</v>
      </c>
      <c r="T10" s="1123">
        <v>8.8099999999999998E-2</v>
      </c>
      <c r="U10" s="1123">
        <v>4.2000000000000003E-2</v>
      </c>
      <c r="V10" s="1123">
        <v>3.8E-3</v>
      </c>
      <c r="W10" s="1123">
        <v>5.9999999999999995E-4</v>
      </c>
      <c r="X10" s="1123">
        <v>0.1457</v>
      </c>
      <c r="Y10" s="1123">
        <v>0.43890000000000001</v>
      </c>
      <c r="Z10" s="1123">
        <v>0.43890000000000001</v>
      </c>
      <c r="AA10" s="1123">
        <v>0.21829999999999999</v>
      </c>
    </row>
    <row r="11" spans="1:27" ht="12" customHeight="1">
      <c r="A11" s="1126" t="s">
        <v>1627</v>
      </c>
      <c r="B11" s="1125">
        <v>100</v>
      </c>
      <c r="C11" s="1123">
        <v>7.5300000000000006E-2</v>
      </c>
      <c r="D11" s="1123">
        <v>0.1719</v>
      </c>
      <c r="E11" s="1123">
        <v>0.222</v>
      </c>
      <c r="F11" s="1123">
        <v>0.24429999999999999</v>
      </c>
      <c r="G11" s="1124">
        <v>0.82</v>
      </c>
      <c r="H11" s="1124">
        <v>0.88</v>
      </c>
      <c r="I11" s="1123">
        <v>6.1600000000000002E-2</v>
      </c>
      <c r="J11" s="1123">
        <v>0.30680000000000002</v>
      </c>
      <c r="K11" s="1123">
        <v>4.0399999999999998E-2</v>
      </c>
      <c r="L11" s="1123">
        <v>0.14280000000000001</v>
      </c>
      <c r="M11" s="1123">
        <v>5.7099999999999998E-2</v>
      </c>
      <c r="N11" s="1124">
        <v>1.45</v>
      </c>
      <c r="O11" s="1124">
        <v>4.1900000000000004</v>
      </c>
      <c r="P11" s="1124">
        <v>19.399999999999999</v>
      </c>
      <c r="Q11" s="1124">
        <v>24.26</v>
      </c>
      <c r="R11" s="1124">
        <v>6.66</v>
      </c>
      <c r="S11" s="1124">
        <v>70.239999999999995</v>
      </c>
      <c r="T11" s="1123">
        <v>-5.1799999999999999E-2</v>
      </c>
      <c r="U11" s="1123">
        <v>4.48E-2</v>
      </c>
      <c r="V11" s="1123">
        <v>4.1399999999999999E-2</v>
      </c>
      <c r="W11" s="1123">
        <v>0.28649999999999998</v>
      </c>
      <c r="X11" s="1123">
        <v>0.24729999999999999</v>
      </c>
      <c r="Y11" s="1123">
        <v>0.75419999999999998</v>
      </c>
      <c r="Z11" s="1123">
        <v>0.75419999999999998</v>
      </c>
      <c r="AA11" s="1123">
        <v>0.1724</v>
      </c>
    </row>
    <row r="12" spans="1:27" ht="12" customHeight="1">
      <c r="A12" s="1126" t="s">
        <v>1626</v>
      </c>
      <c r="B12" s="1125">
        <v>139</v>
      </c>
      <c r="C12" s="1123">
        <v>1.8100000000000002E-2</v>
      </c>
      <c r="D12" s="1123">
        <v>0.15740000000000001</v>
      </c>
      <c r="E12" s="1123">
        <v>0.1484</v>
      </c>
      <c r="F12" s="1123">
        <v>0.2276</v>
      </c>
      <c r="G12" s="1124">
        <v>0.81</v>
      </c>
      <c r="H12" s="1124">
        <v>1.0900000000000001</v>
      </c>
      <c r="I12" s="1123">
        <v>7.2599999999999998E-2</v>
      </c>
      <c r="J12" s="1123">
        <v>0.32840000000000003</v>
      </c>
      <c r="K12" s="1123">
        <v>4.0399999999999998E-2</v>
      </c>
      <c r="L12" s="1123">
        <v>0.40360000000000001</v>
      </c>
      <c r="M12" s="1123">
        <v>5.5399999999999998E-2</v>
      </c>
      <c r="N12" s="1124">
        <v>1.1399999999999999</v>
      </c>
      <c r="O12" s="1124">
        <v>1.59</v>
      </c>
      <c r="P12" s="1124">
        <v>7.34</v>
      </c>
      <c r="Q12" s="1124">
        <v>9.9700000000000006</v>
      </c>
      <c r="R12" s="1124">
        <v>1.1399999999999999</v>
      </c>
      <c r="S12" s="1124">
        <v>41.6</v>
      </c>
      <c r="T12" s="1123">
        <v>9.69E-2</v>
      </c>
      <c r="U12" s="1123">
        <v>3.3500000000000002E-2</v>
      </c>
      <c r="V12" s="1123">
        <v>1.54E-2</v>
      </c>
      <c r="W12" s="1123">
        <v>0.7288</v>
      </c>
      <c r="X12" s="1123">
        <v>0.13350000000000001</v>
      </c>
      <c r="Y12" s="1123">
        <v>0.2505</v>
      </c>
      <c r="Z12" s="1123">
        <v>0.2505</v>
      </c>
      <c r="AA12" s="1123">
        <v>0.15659999999999999</v>
      </c>
    </row>
    <row r="13" spans="1:27" ht="12" customHeight="1">
      <c r="A13" s="1126" t="s">
        <v>1625</v>
      </c>
      <c r="B13" s="1125">
        <v>599</v>
      </c>
      <c r="C13" s="1123">
        <v>0.15490000000000001</v>
      </c>
      <c r="D13" s="1123">
        <v>1.8499999999999999E-2</v>
      </c>
      <c r="E13" s="1123">
        <v>3.7000000000000002E-3</v>
      </c>
      <c r="F13" s="1123">
        <v>0.21959999999999999</v>
      </c>
      <c r="G13" s="1124">
        <v>0.45</v>
      </c>
      <c r="H13" s="1124">
        <v>0.92</v>
      </c>
      <c r="I13" s="1123">
        <v>6.3299999999999995E-2</v>
      </c>
      <c r="J13" s="1123">
        <v>0.30270000000000002</v>
      </c>
      <c r="K13" s="1123">
        <v>4.0399999999999998E-2</v>
      </c>
      <c r="L13" s="1123">
        <v>0.66349999999999998</v>
      </c>
      <c r="M13" s="1123">
        <v>4.1099999999999998E-2</v>
      </c>
      <c r="N13" s="1124">
        <v>0.22</v>
      </c>
      <c r="O13" s="1124">
        <v>6.11</v>
      </c>
      <c r="P13" s="1124">
        <v>145.4</v>
      </c>
      <c r="Q13" s="1127" t="s">
        <v>1547</v>
      </c>
      <c r="R13" s="1124">
        <v>1.48</v>
      </c>
      <c r="S13" s="1124">
        <v>35.4</v>
      </c>
      <c r="T13" s="1126" t="s">
        <v>1547</v>
      </c>
      <c r="U13" s="1123">
        <v>3.0200000000000001E-2</v>
      </c>
      <c r="V13" s="1123">
        <v>-2.3999999999999998E-3</v>
      </c>
      <c r="W13" s="1123">
        <v>-10.3681</v>
      </c>
      <c r="X13" s="1123">
        <v>0.14710000000000001</v>
      </c>
      <c r="Y13" s="1123">
        <v>0.36980000000000002</v>
      </c>
      <c r="Z13" s="1123">
        <v>0.36980000000000002</v>
      </c>
      <c r="AA13" s="1123">
        <v>1.9400000000000001E-2</v>
      </c>
    </row>
    <row r="14" spans="1:27" ht="12" customHeight="1">
      <c r="A14" s="1126" t="s">
        <v>1624</v>
      </c>
      <c r="B14" s="1125">
        <v>449</v>
      </c>
      <c r="C14" s="1123">
        <v>6.3E-2</v>
      </c>
      <c r="D14" s="1123">
        <v>0.1132</v>
      </c>
      <c r="E14" s="1123">
        <v>0.18210000000000001</v>
      </c>
      <c r="F14" s="1123">
        <v>0.23519999999999999</v>
      </c>
      <c r="G14" s="1124">
        <v>1.05</v>
      </c>
      <c r="H14" s="1124">
        <v>1.1200000000000001</v>
      </c>
      <c r="I14" s="1123">
        <v>7.3999999999999996E-2</v>
      </c>
      <c r="J14" s="1123">
        <v>0.28029999999999999</v>
      </c>
      <c r="K14" s="1123">
        <v>4.0399999999999998E-2</v>
      </c>
      <c r="L14" s="1123">
        <v>0.1515</v>
      </c>
      <c r="M14" s="1123">
        <v>6.7299999999999999E-2</v>
      </c>
      <c r="N14" s="1124">
        <v>1.92</v>
      </c>
      <c r="O14" s="1124">
        <v>2</v>
      </c>
      <c r="P14" s="1124">
        <v>12.88</v>
      </c>
      <c r="Q14" s="1124">
        <v>17.43</v>
      </c>
      <c r="R14" s="1124">
        <v>3.34</v>
      </c>
      <c r="S14" s="1124">
        <v>66.28</v>
      </c>
      <c r="T14" s="1123">
        <v>0.16309999999999999</v>
      </c>
      <c r="U14" s="1123">
        <v>3.7999999999999999E-2</v>
      </c>
      <c r="V14" s="1123">
        <v>3.3000000000000002E-2</v>
      </c>
      <c r="W14" s="1123">
        <v>0.49690000000000001</v>
      </c>
      <c r="X14" s="1123">
        <v>0.1699</v>
      </c>
      <c r="Y14" s="1123">
        <v>0.27339999999999998</v>
      </c>
      <c r="Z14" s="1123">
        <v>0.27339999999999998</v>
      </c>
      <c r="AA14" s="1123">
        <v>0.1147</v>
      </c>
    </row>
    <row r="15" spans="1:27" ht="12" customHeight="1">
      <c r="A15" s="1126" t="s">
        <v>1623</v>
      </c>
      <c r="B15" s="1125">
        <v>948</v>
      </c>
      <c r="C15" s="1123">
        <v>0.06</v>
      </c>
      <c r="D15" s="1123">
        <v>8.4199999999999997E-2</v>
      </c>
      <c r="E15" s="1123">
        <v>0.1951</v>
      </c>
      <c r="F15" s="1123">
        <v>0.25519999999999998</v>
      </c>
      <c r="G15" s="1124">
        <v>1.04</v>
      </c>
      <c r="H15" s="1124">
        <v>1.1100000000000001</v>
      </c>
      <c r="I15" s="1123">
        <v>7.3300000000000004E-2</v>
      </c>
      <c r="J15" s="1123">
        <v>0.32340000000000002</v>
      </c>
      <c r="K15" s="1123">
        <v>4.0399999999999998E-2</v>
      </c>
      <c r="L15" s="1123">
        <v>0.155</v>
      </c>
      <c r="M15" s="1123">
        <v>6.6500000000000004E-2</v>
      </c>
      <c r="N15" s="1124">
        <v>2.72</v>
      </c>
      <c r="O15" s="1124">
        <v>2.35</v>
      </c>
      <c r="P15" s="1124">
        <v>17.079999999999998</v>
      </c>
      <c r="Q15" s="1124">
        <v>26.2</v>
      </c>
      <c r="R15" s="1124">
        <v>4.47</v>
      </c>
      <c r="S15" s="1124">
        <v>83.45</v>
      </c>
      <c r="T15" s="1123">
        <v>9.9000000000000005E-2</v>
      </c>
      <c r="U15" s="1123">
        <v>2.2499999999999999E-2</v>
      </c>
      <c r="V15" s="1123">
        <v>1.8700000000000001E-2</v>
      </c>
      <c r="W15" s="1123">
        <v>0.4138</v>
      </c>
      <c r="X15" s="1123">
        <v>0.154</v>
      </c>
      <c r="Y15" s="1123">
        <v>0.3972</v>
      </c>
      <c r="Z15" s="1123">
        <v>0.3972</v>
      </c>
      <c r="AA15" s="1123">
        <v>8.5999999999999993E-2</v>
      </c>
    </row>
    <row r="16" spans="1:27" ht="12" customHeight="1">
      <c r="A16" s="1126" t="s">
        <v>1622</v>
      </c>
      <c r="B16" s="1125">
        <v>54</v>
      </c>
      <c r="C16" s="1123">
        <v>3.6299999999999999E-2</v>
      </c>
      <c r="D16" s="1123">
        <v>0.19020000000000001</v>
      </c>
      <c r="E16" s="1123">
        <v>0.13009999999999999</v>
      </c>
      <c r="F16" s="1123">
        <v>0.25009999999999999</v>
      </c>
      <c r="G16" s="1124">
        <v>0.72</v>
      </c>
      <c r="H16" s="1124">
        <v>0.99</v>
      </c>
      <c r="I16" s="1123">
        <v>6.7299999999999999E-2</v>
      </c>
      <c r="J16" s="1123">
        <v>0.25390000000000001</v>
      </c>
      <c r="K16" s="1123">
        <v>4.0399999999999998E-2</v>
      </c>
      <c r="L16" s="1123">
        <v>0.36870000000000003</v>
      </c>
      <c r="M16" s="1123">
        <v>5.3499999999999999E-2</v>
      </c>
      <c r="N16" s="1124">
        <v>0.8</v>
      </c>
      <c r="O16" s="1124">
        <v>3.25</v>
      </c>
      <c r="P16" s="1124">
        <v>9.7899999999999991</v>
      </c>
      <c r="Q16" s="1124">
        <v>17.079999999999998</v>
      </c>
      <c r="R16" s="1124">
        <v>2.67</v>
      </c>
      <c r="S16" s="1124">
        <v>30.63</v>
      </c>
      <c r="T16" s="1123">
        <v>7.1999999999999998E-3</v>
      </c>
      <c r="U16" s="1123">
        <v>0.1079</v>
      </c>
      <c r="V16" s="1123">
        <v>-1.18E-2</v>
      </c>
      <c r="W16" s="1123">
        <v>-5.6099999999999997E-2</v>
      </c>
      <c r="X16" s="1123">
        <v>0.1522</v>
      </c>
      <c r="Y16" s="1123">
        <v>0.252</v>
      </c>
      <c r="Z16" s="1123">
        <v>0.252</v>
      </c>
      <c r="AA16" s="1123">
        <v>0.19020000000000001</v>
      </c>
    </row>
    <row r="17" spans="1:27" ht="12" customHeight="1">
      <c r="A17" s="1126" t="s">
        <v>1621</v>
      </c>
      <c r="B17" s="1125">
        <v>854</v>
      </c>
      <c r="C17" s="1123">
        <v>0.1018</v>
      </c>
      <c r="D17" s="1123">
        <v>0.1255</v>
      </c>
      <c r="E17" s="1123">
        <v>0.13689999999999999</v>
      </c>
      <c r="F17" s="1123">
        <v>0.191</v>
      </c>
      <c r="G17" s="1124">
        <v>1.02</v>
      </c>
      <c r="H17" s="1124">
        <v>1.1399999999999999</v>
      </c>
      <c r="I17" s="1123">
        <v>7.4899999999999994E-2</v>
      </c>
      <c r="J17" s="1123">
        <v>0.29520000000000002</v>
      </c>
      <c r="K17" s="1123">
        <v>4.0399999999999998E-2</v>
      </c>
      <c r="L17" s="1123">
        <v>0.2235</v>
      </c>
      <c r="M17" s="1123">
        <v>6.4799999999999996E-2</v>
      </c>
      <c r="N17" s="1124">
        <v>1.28</v>
      </c>
      <c r="O17" s="1124">
        <v>1.6</v>
      </c>
      <c r="P17" s="1124">
        <v>8.8000000000000007</v>
      </c>
      <c r="Q17" s="1124">
        <v>12.33</v>
      </c>
      <c r="R17" s="1124">
        <v>1.92</v>
      </c>
      <c r="S17" s="1124">
        <v>71.650000000000006</v>
      </c>
      <c r="T17" s="1123">
        <v>0.127</v>
      </c>
      <c r="U17" s="1123">
        <v>8.4000000000000005E-2</v>
      </c>
      <c r="V17" s="1123">
        <v>5.9900000000000002E-2</v>
      </c>
      <c r="W17" s="1123">
        <v>0.86070000000000002</v>
      </c>
      <c r="X17" s="1123">
        <v>0.17899999999999999</v>
      </c>
      <c r="Y17" s="1123">
        <v>0.29409999999999997</v>
      </c>
      <c r="Z17" s="1123">
        <v>0.29409999999999997</v>
      </c>
      <c r="AA17" s="1123">
        <v>0.12740000000000001</v>
      </c>
    </row>
    <row r="18" spans="1:27" ht="12" customHeight="1">
      <c r="A18" s="1126" t="s">
        <v>1620</v>
      </c>
      <c r="B18" s="1125">
        <v>71</v>
      </c>
      <c r="C18" s="1123">
        <v>6.0400000000000002E-2</v>
      </c>
      <c r="D18" s="1123">
        <v>0.11509999999999999</v>
      </c>
      <c r="E18" s="1123">
        <v>0.11</v>
      </c>
      <c r="F18" s="1123">
        <v>0.21149999999999999</v>
      </c>
      <c r="G18" s="1124">
        <v>1.1499999999999999</v>
      </c>
      <c r="H18" s="1124">
        <v>1.4</v>
      </c>
      <c r="I18" s="1123">
        <v>8.8900000000000007E-2</v>
      </c>
      <c r="J18" s="1123">
        <v>0.248</v>
      </c>
      <c r="K18" s="1123">
        <v>3.3799999999999997E-2</v>
      </c>
      <c r="L18" s="1123">
        <v>0.30620000000000003</v>
      </c>
      <c r="M18" s="1123">
        <v>6.93E-2</v>
      </c>
      <c r="N18" s="1124">
        <v>1.19</v>
      </c>
      <c r="O18" s="1124">
        <v>1.2</v>
      </c>
      <c r="P18" s="1124">
        <v>6.93</v>
      </c>
      <c r="Q18" s="1124">
        <v>10.37</v>
      </c>
      <c r="R18" s="1124">
        <v>1.44</v>
      </c>
      <c r="S18" s="1124">
        <v>19.82</v>
      </c>
      <c r="T18" s="1123">
        <v>0.16700000000000001</v>
      </c>
      <c r="U18" s="1123">
        <v>5.3499999999999999E-2</v>
      </c>
      <c r="V18" s="1123">
        <v>2.3199999999999998E-2</v>
      </c>
      <c r="W18" s="1123">
        <v>0.4486</v>
      </c>
      <c r="X18" s="1123">
        <v>0.13400000000000001</v>
      </c>
      <c r="Y18" s="1123">
        <v>0.36880000000000002</v>
      </c>
      <c r="Z18" s="1123">
        <v>0.36880000000000002</v>
      </c>
      <c r="AA18" s="1123">
        <v>0.115</v>
      </c>
    </row>
    <row r="19" spans="1:27" ht="12" customHeight="1">
      <c r="A19" s="1126" t="s">
        <v>1619</v>
      </c>
      <c r="B19" s="1125">
        <v>898</v>
      </c>
      <c r="C19" s="1123">
        <v>9.5100000000000004E-2</v>
      </c>
      <c r="D19" s="1123">
        <v>0.13600000000000001</v>
      </c>
      <c r="E19" s="1123">
        <v>0.14710000000000001</v>
      </c>
      <c r="F19" s="1123">
        <v>0.20150000000000001</v>
      </c>
      <c r="G19" s="1124">
        <v>1.04</v>
      </c>
      <c r="H19" s="1124">
        <v>1.1100000000000001</v>
      </c>
      <c r="I19" s="1123">
        <v>7.3300000000000004E-2</v>
      </c>
      <c r="J19" s="1123">
        <v>0.30759999999999998</v>
      </c>
      <c r="K19" s="1123">
        <v>4.0399999999999998E-2</v>
      </c>
      <c r="L19" s="1123">
        <v>0.13719999999999999</v>
      </c>
      <c r="M19" s="1123">
        <v>6.7400000000000002E-2</v>
      </c>
      <c r="N19" s="1124">
        <v>1.25</v>
      </c>
      <c r="O19" s="1124">
        <v>2.9</v>
      </c>
      <c r="P19" s="1124">
        <v>14.56</v>
      </c>
      <c r="Q19" s="1124">
        <v>20.98</v>
      </c>
      <c r="R19" s="1124">
        <v>3.36</v>
      </c>
      <c r="S19" s="1124">
        <v>45.97</v>
      </c>
      <c r="T19" s="1123">
        <v>0.17730000000000001</v>
      </c>
      <c r="U19" s="1123">
        <v>7.22E-2</v>
      </c>
      <c r="V19" s="1123">
        <v>4.6600000000000003E-2</v>
      </c>
      <c r="W19" s="1123">
        <v>0.56320000000000003</v>
      </c>
      <c r="X19" s="1123">
        <v>0.15459999999999999</v>
      </c>
      <c r="Y19" s="1123">
        <v>0.3347</v>
      </c>
      <c r="Z19" s="1123">
        <v>0.3347</v>
      </c>
      <c r="AA19" s="1123">
        <v>0.13850000000000001</v>
      </c>
    </row>
    <row r="20" spans="1:27" ht="12" customHeight="1">
      <c r="A20" s="1126" t="s">
        <v>1618</v>
      </c>
      <c r="B20" s="1125">
        <v>206</v>
      </c>
      <c r="C20" s="1123">
        <v>0.10249999999999999</v>
      </c>
      <c r="D20" s="1123">
        <v>0.17169999999999999</v>
      </c>
      <c r="E20" s="1123">
        <v>0.18049999999999999</v>
      </c>
      <c r="F20" s="1123">
        <v>0.22500000000000001</v>
      </c>
      <c r="G20" s="1124">
        <v>1.0900000000000001</v>
      </c>
      <c r="H20" s="1124">
        <v>1.1299999999999999</v>
      </c>
      <c r="I20" s="1123">
        <v>7.4399999999999994E-2</v>
      </c>
      <c r="J20" s="1123">
        <v>0.44900000000000001</v>
      </c>
      <c r="K20" s="1123">
        <v>4.4600000000000001E-2</v>
      </c>
      <c r="L20" s="1123">
        <v>0.29160000000000003</v>
      </c>
      <c r="M20" s="1123">
        <v>6.2300000000000001E-2</v>
      </c>
      <c r="N20" s="1124">
        <v>1.1200000000000001</v>
      </c>
      <c r="O20" s="1124">
        <v>1.24</v>
      </c>
      <c r="P20" s="1124">
        <v>4.71</v>
      </c>
      <c r="Q20" s="1124">
        <v>6.79</v>
      </c>
      <c r="R20" s="1124">
        <v>1.18</v>
      </c>
      <c r="S20" s="1124">
        <v>51.04</v>
      </c>
      <c r="T20" s="1123">
        <v>-1.8599999999999998E-2</v>
      </c>
      <c r="U20" s="1123">
        <v>7.1099999999999997E-2</v>
      </c>
      <c r="V20" s="1123">
        <v>3.7900000000000003E-2</v>
      </c>
      <c r="W20" s="1123">
        <v>0.26450000000000001</v>
      </c>
      <c r="X20" s="1123">
        <v>0.1346</v>
      </c>
      <c r="Y20" s="1123">
        <v>0.63439999999999996</v>
      </c>
      <c r="Z20" s="1123">
        <v>0.63439999999999996</v>
      </c>
      <c r="AA20" s="1123">
        <v>0.1731</v>
      </c>
    </row>
    <row r="21" spans="1:27" ht="12" customHeight="1">
      <c r="A21" s="1126" t="s">
        <v>1617</v>
      </c>
      <c r="B21" s="1125">
        <v>1040</v>
      </c>
      <c r="C21" s="1123">
        <v>8.8400000000000006E-2</v>
      </c>
      <c r="D21" s="1123">
        <v>7.0999999999999994E-2</v>
      </c>
      <c r="E21" s="1123">
        <v>0.2122</v>
      </c>
      <c r="F21" s="1123">
        <v>0.23769999999999999</v>
      </c>
      <c r="G21" s="1124">
        <v>1.0900000000000001</v>
      </c>
      <c r="H21" s="1124">
        <v>1.1200000000000001</v>
      </c>
      <c r="I21" s="1123">
        <v>7.3999999999999996E-2</v>
      </c>
      <c r="J21" s="1123">
        <v>0.31780000000000003</v>
      </c>
      <c r="K21" s="1123">
        <v>4.0399999999999998E-2</v>
      </c>
      <c r="L21" s="1123">
        <v>0.11070000000000001</v>
      </c>
      <c r="M21" s="1123">
        <v>6.9099999999999995E-2</v>
      </c>
      <c r="N21" s="1124">
        <v>3.44</v>
      </c>
      <c r="O21" s="1124">
        <v>1.67</v>
      </c>
      <c r="P21" s="1124">
        <v>15.88</v>
      </c>
      <c r="Q21" s="1124">
        <v>22.37</v>
      </c>
      <c r="R21" s="1124">
        <v>4.72</v>
      </c>
      <c r="S21" s="1124">
        <v>77.489999999999995</v>
      </c>
      <c r="T21" s="1123">
        <v>0.14399999999999999</v>
      </c>
      <c r="U21" s="1123">
        <v>1.47E-2</v>
      </c>
      <c r="V21" s="1123">
        <v>1.24E-2</v>
      </c>
      <c r="W21" s="1123">
        <v>0.34250000000000003</v>
      </c>
      <c r="X21" s="1123">
        <v>0.16200000000000001</v>
      </c>
      <c r="Y21" s="1123">
        <v>0.45350000000000001</v>
      </c>
      <c r="Z21" s="1123">
        <v>0.45350000000000001</v>
      </c>
      <c r="AA21" s="1123">
        <v>7.3899999999999993E-2</v>
      </c>
    </row>
    <row r="22" spans="1:27" ht="12" customHeight="1">
      <c r="A22" s="1126" t="s">
        <v>1616</v>
      </c>
      <c r="B22" s="1125">
        <v>336</v>
      </c>
      <c r="C22" s="1123">
        <v>4.2000000000000003E-2</v>
      </c>
      <c r="D22" s="1123">
        <v>0.13420000000000001</v>
      </c>
      <c r="E22" s="1123">
        <v>0.2273</v>
      </c>
      <c r="F22" s="1123">
        <v>0.1704</v>
      </c>
      <c r="G22" s="1124">
        <v>1.33</v>
      </c>
      <c r="H22" s="1124">
        <v>1.35</v>
      </c>
      <c r="I22" s="1123">
        <v>8.6300000000000002E-2</v>
      </c>
      <c r="J22" s="1123">
        <v>0.3387</v>
      </c>
      <c r="K22" s="1123">
        <v>4.0399999999999998E-2</v>
      </c>
      <c r="L22" s="1123">
        <v>8.48E-2</v>
      </c>
      <c r="M22" s="1123">
        <v>8.1600000000000006E-2</v>
      </c>
      <c r="N22" s="1124">
        <v>1.88</v>
      </c>
      <c r="O22" s="1124">
        <v>2.79</v>
      </c>
      <c r="P22" s="1124">
        <v>15.56</v>
      </c>
      <c r="Q22" s="1124">
        <v>20.6</v>
      </c>
      <c r="R22" s="1124">
        <v>6.77</v>
      </c>
      <c r="S22" s="1124">
        <v>41.63</v>
      </c>
      <c r="T22" s="1123">
        <v>2.2200000000000001E-2</v>
      </c>
      <c r="U22" s="1123">
        <v>4.6899999999999997E-2</v>
      </c>
      <c r="V22" s="1123">
        <v>3.2800000000000003E-2</v>
      </c>
      <c r="W22" s="1123">
        <v>0.37030000000000002</v>
      </c>
      <c r="X22" s="1123">
        <v>0.3407</v>
      </c>
      <c r="Y22" s="1123">
        <v>0.25740000000000002</v>
      </c>
      <c r="Z22" s="1123">
        <v>0.25740000000000002</v>
      </c>
      <c r="AA22" s="1123">
        <v>0.13719999999999999</v>
      </c>
    </row>
    <row r="23" spans="1:27" ht="12" customHeight="1">
      <c r="A23" s="1126" t="s">
        <v>1615</v>
      </c>
      <c r="B23" s="1125">
        <v>784</v>
      </c>
      <c r="C23" s="1123">
        <v>7.4200000000000002E-2</v>
      </c>
      <c r="D23" s="1123">
        <v>9.9699999999999997E-2</v>
      </c>
      <c r="E23" s="1123">
        <v>0.1031</v>
      </c>
      <c r="F23" s="1123">
        <v>0.21410000000000001</v>
      </c>
      <c r="G23" s="1124">
        <v>1.02</v>
      </c>
      <c r="H23" s="1124">
        <v>1.1599999999999999</v>
      </c>
      <c r="I23" s="1123">
        <v>7.5999999999999998E-2</v>
      </c>
      <c r="J23" s="1123">
        <v>0.2843</v>
      </c>
      <c r="K23" s="1123">
        <v>4.0399999999999998E-2</v>
      </c>
      <c r="L23" s="1123">
        <v>0.26550000000000001</v>
      </c>
      <c r="M23" s="1123">
        <v>6.3700000000000007E-2</v>
      </c>
      <c r="N23" s="1124">
        <v>1.19</v>
      </c>
      <c r="O23" s="1124">
        <v>1.54</v>
      </c>
      <c r="P23" s="1124">
        <v>9.6999999999999993</v>
      </c>
      <c r="Q23" s="1124">
        <v>14.41</v>
      </c>
      <c r="R23" s="1124">
        <v>1.65</v>
      </c>
      <c r="S23" s="1124">
        <v>83.18</v>
      </c>
      <c r="T23" s="1123">
        <v>0.1106</v>
      </c>
      <c r="U23" s="1123">
        <v>5.3600000000000002E-2</v>
      </c>
      <c r="V23" s="1123">
        <v>3.5799999999999998E-2</v>
      </c>
      <c r="W23" s="1123">
        <v>0.63500000000000001</v>
      </c>
      <c r="X23" s="1123">
        <v>0.11260000000000001</v>
      </c>
      <c r="Y23" s="1123">
        <v>0.48720000000000002</v>
      </c>
      <c r="Z23" s="1123">
        <v>0.48720000000000002</v>
      </c>
      <c r="AA23" s="1123">
        <v>0.10199999999999999</v>
      </c>
    </row>
    <row r="24" spans="1:27" ht="12" customHeight="1">
      <c r="A24" s="1126" t="s">
        <v>1614</v>
      </c>
      <c r="B24" s="1125">
        <v>318</v>
      </c>
      <c r="C24" s="1123">
        <v>7.9299999999999995E-2</v>
      </c>
      <c r="D24" s="1123">
        <v>0.1709</v>
      </c>
      <c r="E24" s="1123">
        <v>0.1245</v>
      </c>
      <c r="F24" s="1123">
        <v>0.18459999999999999</v>
      </c>
      <c r="G24" s="1124">
        <v>0.82</v>
      </c>
      <c r="H24" s="1124">
        <v>1.05</v>
      </c>
      <c r="I24" s="1123">
        <v>7.0499999999999993E-2</v>
      </c>
      <c r="J24" s="1123">
        <v>0.2387</v>
      </c>
      <c r="K24" s="1123">
        <v>3.3799999999999997E-2</v>
      </c>
      <c r="L24" s="1123">
        <v>0.36230000000000001</v>
      </c>
      <c r="M24" s="1123">
        <v>5.3999999999999999E-2</v>
      </c>
      <c r="N24" s="1124">
        <v>0.85</v>
      </c>
      <c r="O24" s="1124">
        <v>1.83</v>
      </c>
      <c r="P24" s="1124">
        <v>8.3800000000000008</v>
      </c>
      <c r="Q24" s="1124">
        <v>10.34</v>
      </c>
      <c r="R24" s="1124">
        <v>1.2</v>
      </c>
      <c r="S24" s="1124">
        <v>35.81</v>
      </c>
      <c r="T24" s="1123">
        <v>-0.20069999999999999</v>
      </c>
      <c r="U24" s="1123">
        <v>4.5600000000000002E-2</v>
      </c>
      <c r="V24" s="1123">
        <v>3.5700000000000003E-2</v>
      </c>
      <c r="W24" s="1123">
        <v>0.29349999999999998</v>
      </c>
      <c r="X24" s="1123">
        <v>0.15310000000000001</v>
      </c>
      <c r="Y24" s="1123">
        <v>0.14000000000000001</v>
      </c>
      <c r="Z24" s="1123">
        <v>0.14000000000000001</v>
      </c>
      <c r="AA24" s="1123">
        <v>0.1714</v>
      </c>
    </row>
    <row r="25" spans="1:27" ht="12" customHeight="1">
      <c r="A25" s="1126" t="s">
        <v>1613</v>
      </c>
      <c r="B25" s="1125">
        <v>1223</v>
      </c>
      <c r="C25" s="1123">
        <v>0.27260000000000001</v>
      </c>
      <c r="D25" s="1123">
        <v>0.1087</v>
      </c>
      <c r="E25" s="1123">
        <v>7.0499999999999993E-2</v>
      </c>
      <c r="F25" s="1123">
        <v>0.12709999999999999</v>
      </c>
      <c r="G25" s="1124">
        <v>1.1000000000000001</v>
      </c>
      <c r="H25" s="1124">
        <v>1.1000000000000001</v>
      </c>
      <c r="I25" s="1123">
        <v>7.3200000000000001E-2</v>
      </c>
      <c r="J25" s="1123">
        <v>0.45419999999999999</v>
      </c>
      <c r="K25" s="1123">
        <v>4.4600000000000001E-2</v>
      </c>
      <c r="L25" s="1123">
        <v>0.1048</v>
      </c>
      <c r="M25" s="1123">
        <v>6.9000000000000006E-2</v>
      </c>
      <c r="N25" s="1124">
        <v>0.49</v>
      </c>
      <c r="O25" s="1124">
        <v>7.87</v>
      </c>
      <c r="P25" s="1124">
        <v>14.13</v>
      </c>
      <c r="Q25" s="1124">
        <v>52.14</v>
      </c>
      <c r="R25" s="1124">
        <v>5.88</v>
      </c>
      <c r="S25" s="1124">
        <v>188.72</v>
      </c>
      <c r="T25" s="1123">
        <v>0.1787</v>
      </c>
      <c r="U25" s="1123">
        <v>5.6300000000000003E-2</v>
      </c>
      <c r="V25" s="1123">
        <v>0.13789999999999999</v>
      </c>
      <c r="W25" s="1123">
        <v>2.4382000000000001</v>
      </c>
      <c r="X25" s="1123">
        <v>-1.2699999999999999E-2</v>
      </c>
      <c r="Y25" s="1123">
        <v>1.6999999999999999E-3</v>
      </c>
      <c r="Z25" s="1123">
        <v>1.6999999999999999E-3</v>
      </c>
      <c r="AA25" s="1123">
        <v>0.14549999999999999</v>
      </c>
    </row>
    <row r="26" spans="1:27" ht="12" customHeight="1">
      <c r="A26" s="1126" t="s">
        <v>1612</v>
      </c>
      <c r="B26" s="1125">
        <v>1371</v>
      </c>
      <c r="C26" s="1123">
        <v>0.17780000000000001</v>
      </c>
      <c r="D26" s="1123">
        <v>0.21440000000000001</v>
      </c>
      <c r="E26" s="1123">
        <v>0.15529999999999999</v>
      </c>
      <c r="F26" s="1123">
        <v>0.16089999999999999</v>
      </c>
      <c r="G26" s="1124">
        <v>1.02</v>
      </c>
      <c r="H26" s="1124">
        <v>1.08</v>
      </c>
      <c r="I26" s="1123">
        <v>7.1800000000000003E-2</v>
      </c>
      <c r="J26" s="1123">
        <v>0.39789999999999998</v>
      </c>
      <c r="K26" s="1123">
        <v>4.0399999999999998E-2</v>
      </c>
      <c r="L26" s="1123">
        <v>0.1288</v>
      </c>
      <c r="M26" s="1123">
        <v>6.6400000000000001E-2</v>
      </c>
      <c r="N26" s="1124">
        <v>0.72</v>
      </c>
      <c r="O26" s="1124">
        <v>4.3099999999999996</v>
      </c>
      <c r="P26" s="1124">
        <v>14.02</v>
      </c>
      <c r="Q26" s="1124">
        <v>19.399999999999999</v>
      </c>
      <c r="R26" s="1124">
        <v>3.91</v>
      </c>
      <c r="S26" s="1124">
        <v>54.44</v>
      </c>
      <c r="T26" s="1123">
        <v>0.15049999999999999</v>
      </c>
      <c r="U26" s="1123">
        <v>4.87E-2</v>
      </c>
      <c r="V26" s="1123">
        <v>5.74E-2</v>
      </c>
      <c r="W26" s="1123">
        <v>0.39179999999999998</v>
      </c>
      <c r="X26" s="1123">
        <v>0.126</v>
      </c>
      <c r="Y26" s="1123">
        <v>0.74309999999999998</v>
      </c>
      <c r="Z26" s="1123">
        <v>0.74309999999999998</v>
      </c>
      <c r="AA26" s="1123">
        <v>0.23449999999999999</v>
      </c>
    </row>
    <row r="27" spans="1:27" ht="12" customHeight="1">
      <c r="A27" s="1126" t="s">
        <v>1611</v>
      </c>
      <c r="B27" s="1125">
        <v>244</v>
      </c>
      <c r="C27" s="1123">
        <v>7.7799999999999994E-2</v>
      </c>
      <c r="D27" s="1123">
        <v>9.6100000000000005E-2</v>
      </c>
      <c r="E27" s="1123">
        <v>8.4400000000000003E-2</v>
      </c>
      <c r="F27" s="1123">
        <v>0.1782</v>
      </c>
      <c r="G27" s="1124">
        <v>1</v>
      </c>
      <c r="H27" s="1124">
        <v>1.06</v>
      </c>
      <c r="I27" s="1123">
        <v>7.0999999999999994E-2</v>
      </c>
      <c r="J27" s="1123">
        <v>0.32379999999999998</v>
      </c>
      <c r="K27" s="1123">
        <v>4.0399999999999998E-2</v>
      </c>
      <c r="L27" s="1123">
        <v>0.23530000000000001</v>
      </c>
      <c r="M27" s="1123">
        <v>6.13E-2</v>
      </c>
      <c r="N27" s="1124">
        <v>0.95</v>
      </c>
      <c r="O27" s="1124">
        <v>2.74</v>
      </c>
      <c r="P27" s="1124">
        <v>12.41</v>
      </c>
      <c r="Q27" s="1124">
        <v>24.57</v>
      </c>
      <c r="R27" s="1124">
        <v>2.14</v>
      </c>
      <c r="S27" s="1124">
        <v>172.07</v>
      </c>
      <c r="T27" s="1123">
        <v>-9.7000000000000003E-3</v>
      </c>
      <c r="U27" s="1123">
        <v>8.2799999999999999E-2</v>
      </c>
      <c r="V27" s="1123">
        <v>0.1532</v>
      </c>
      <c r="W27" s="1123">
        <v>2.0813000000000001</v>
      </c>
      <c r="X27" s="1123">
        <v>3.5099999999999999E-2</v>
      </c>
      <c r="Y27" s="1123">
        <v>0.80900000000000005</v>
      </c>
      <c r="Z27" s="1123">
        <v>0.80900000000000005</v>
      </c>
      <c r="AA27" s="1123">
        <v>0.10150000000000001</v>
      </c>
    </row>
    <row r="28" spans="1:27" ht="12" customHeight="1">
      <c r="A28" s="1126" t="s">
        <v>1610</v>
      </c>
      <c r="B28" s="1125">
        <v>999</v>
      </c>
      <c r="C28" s="1123">
        <v>8.5699999999999998E-2</v>
      </c>
      <c r="D28" s="1123">
        <v>7.0999999999999994E-2</v>
      </c>
      <c r="E28" s="1123">
        <v>0.1123</v>
      </c>
      <c r="F28" s="1123">
        <v>0.19570000000000001</v>
      </c>
      <c r="G28" s="1124">
        <v>1.08</v>
      </c>
      <c r="H28" s="1124">
        <v>1.1000000000000001</v>
      </c>
      <c r="I28" s="1123">
        <v>7.2800000000000004E-2</v>
      </c>
      <c r="J28" s="1123">
        <v>0.3372</v>
      </c>
      <c r="K28" s="1123">
        <v>4.0399999999999998E-2</v>
      </c>
      <c r="L28" s="1123">
        <v>0.10920000000000001</v>
      </c>
      <c r="M28" s="1123">
        <v>6.8099999999999994E-2</v>
      </c>
      <c r="N28" s="1124">
        <v>1.7</v>
      </c>
      <c r="O28" s="1124">
        <v>2.62</v>
      </c>
      <c r="P28" s="1124">
        <v>21.82</v>
      </c>
      <c r="Q28" s="1124">
        <v>34.21</v>
      </c>
      <c r="R28" s="1124">
        <v>3.77</v>
      </c>
      <c r="S28" s="1124">
        <v>66.41</v>
      </c>
      <c r="T28" s="1123">
        <v>0.21640000000000001</v>
      </c>
      <c r="U28" s="1123">
        <v>5.5199999999999999E-2</v>
      </c>
      <c r="V28" s="1123">
        <v>6.3200000000000006E-2</v>
      </c>
      <c r="W28" s="1123">
        <v>1.4178999999999999</v>
      </c>
      <c r="X28" s="1123">
        <v>9.5899999999999999E-2</v>
      </c>
      <c r="Y28" s="1123">
        <v>0.5081</v>
      </c>
      <c r="Z28" s="1123">
        <v>0.5081</v>
      </c>
      <c r="AA28" s="1123">
        <v>7.4800000000000005E-2</v>
      </c>
    </row>
    <row r="29" spans="1:27" ht="12" customHeight="1">
      <c r="A29" s="1126" t="s">
        <v>1609</v>
      </c>
      <c r="B29" s="1125">
        <v>138</v>
      </c>
      <c r="C29" s="1123">
        <v>2.5399999999999999E-2</v>
      </c>
      <c r="D29" s="1123">
        <v>6.3700000000000007E-2</v>
      </c>
      <c r="E29" s="1123">
        <v>0.1167</v>
      </c>
      <c r="F29" s="1123">
        <v>0.18360000000000001</v>
      </c>
      <c r="G29" s="1124">
        <v>1.19</v>
      </c>
      <c r="H29" s="1124">
        <v>1.29</v>
      </c>
      <c r="I29" s="1123">
        <v>8.3000000000000004E-2</v>
      </c>
      <c r="J29" s="1123">
        <v>0.31540000000000001</v>
      </c>
      <c r="K29" s="1123">
        <v>4.0399999999999998E-2</v>
      </c>
      <c r="L29" s="1123">
        <v>0.2324</v>
      </c>
      <c r="M29" s="1123">
        <v>7.0599999999999996E-2</v>
      </c>
      <c r="N29" s="1124">
        <v>1.68</v>
      </c>
      <c r="O29" s="1124">
        <v>1.06</v>
      </c>
      <c r="P29" s="1124">
        <v>9.9</v>
      </c>
      <c r="Q29" s="1124">
        <v>16.03</v>
      </c>
      <c r="R29" s="1124">
        <v>1.89</v>
      </c>
      <c r="S29" s="1124">
        <v>167.97</v>
      </c>
      <c r="T29" s="1123">
        <v>3.9600000000000003E-2</v>
      </c>
      <c r="U29" s="1123">
        <v>4.7300000000000002E-2</v>
      </c>
      <c r="V29" s="1123">
        <v>6.5500000000000003E-2</v>
      </c>
      <c r="W29" s="1123">
        <v>1.4956</v>
      </c>
      <c r="X29" s="1123">
        <v>0.14649999999999999</v>
      </c>
      <c r="Y29" s="1123">
        <v>0.22189999999999999</v>
      </c>
      <c r="Z29" s="1123">
        <v>0.22189999999999999</v>
      </c>
      <c r="AA29" s="1123">
        <v>7.6999999999999999E-2</v>
      </c>
    </row>
    <row r="30" spans="1:27" ht="12" customHeight="1">
      <c r="A30" s="1126" t="s">
        <v>1608</v>
      </c>
      <c r="B30" s="1125">
        <v>1425</v>
      </c>
      <c r="C30" s="1123">
        <v>7.3099999999999998E-2</v>
      </c>
      <c r="D30" s="1123">
        <v>8.3400000000000002E-2</v>
      </c>
      <c r="E30" s="1123">
        <v>0.1434</v>
      </c>
      <c r="F30" s="1123">
        <v>0.16839999999999999</v>
      </c>
      <c r="G30" s="1124">
        <v>1.31</v>
      </c>
      <c r="H30" s="1124">
        <v>1.3</v>
      </c>
      <c r="I30" s="1123">
        <v>8.3500000000000005E-2</v>
      </c>
      <c r="J30" s="1123">
        <v>0.31030000000000002</v>
      </c>
      <c r="K30" s="1123">
        <v>4.0399999999999998E-2</v>
      </c>
      <c r="L30" s="1123">
        <v>0.11550000000000001</v>
      </c>
      <c r="M30" s="1123">
        <v>7.7299999999999994E-2</v>
      </c>
      <c r="N30" s="1124">
        <v>1.58</v>
      </c>
      <c r="O30" s="1124">
        <v>1.94</v>
      </c>
      <c r="P30" s="1124">
        <v>14.62</v>
      </c>
      <c r="Q30" s="1124">
        <v>22.5</v>
      </c>
      <c r="R30" s="1124">
        <v>3.03</v>
      </c>
      <c r="S30" s="1124">
        <v>70.150000000000006</v>
      </c>
      <c r="T30" s="1123">
        <v>0.1855</v>
      </c>
      <c r="U30" s="1123">
        <v>5.9499999999999997E-2</v>
      </c>
      <c r="V30" s="1123">
        <v>6.3399999999999998E-2</v>
      </c>
      <c r="W30" s="1123">
        <v>1.2898000000000001</v>
      </c>
      <c r="X30" s="1123">
        <v>0.13300000000000001</v>
      </c>
      <c r="Y30" s="1123">
        <v>0.31859999999999999</v>
      </c>
      <c r="Z30" s="1123">
        <v>0.31859999999999999</v>
      </c>
      <c r="AA30" s="1123">
        <v>0.1012</v>
      </c>
    </row>
    <row r="31" spans="1:27" ht="12" customHeight="1">
      <c r="A31" s="1126" t="s">
        <v>1607</v>
      </c>
      <c r="B31" s="1125">
        <v>1267</v>
      </c>
      <c r="C31" s="1123">
        <v>3.49E-2</v>
      </c>
      <c r="D31" s="1123">
        <v>4.8099999999999997E-2</v>
      </c>
      <c r="E31" s="1123">
        <v>9.0499999999999997E-2</v>
      </c>
      <c r="F31" s="1123">
        <v>0.24279999999999999</v>
      </c>
      <c r="G31" s="1124">
        <v>0.84</v>
      </c>
      <c r="H31" s="1124">
        <v>1.1200000000000001</v>
      </c>
      <c r="I31" s="1123">
        <v>7.4200000000000002E-2</v>
      </c>
      <c r="J31" s="1123">
        <v>0.29430000000000001</v>
      </c>
      <c r="K31" s="1123">
        <v>4.0399999999999998E-2</v>
      </c>
      <c r="L31" s="1123">
        <v>0.4662</v>
      </c>
      <c r="M31" s="1123">
        <v>5.3499999999999999E-2</v>
      </c>
      <c r="N31" s="1124">
        <v>2.11</v>
      </c>
      <c r="O31" s="1124">
        <v>0.63</v>
      </c>
      <c r="P31" s="1124">
        <v>8.9600000000000009</v>
      </c>
      <c r="Q31" s="1124">
        <v>12.25</v>
      </c>
      <c r="R31" s="1124">
        <v>1.05</v>
      </c>
      <c r="S31" s="1124">
        <v>76.37</v>
      </c>
      <c r="T31" s="1123">
        <v>0.15509999999999999</v>
      </c>
      <c r="U31" s="1123">
        <v>3.6200000000000003E-2</v>
      </c>
      <c r="V31" s="1123">
        <v>2.6100000000000002E-2</v>
      </c>
      <c r="W31" s="1123">
        <v>1.1247</v>
      </c>
      <c r="X31" s="1123">
        <v>0.1045</v>
      </c>
      <c r="Y31" s="1123">
        <v>0.57169999999999999</v>
      </c>
      <c r="Z31" s="1123">
        <v>0.57169999999999999</v>
      </c>
      <c r="AA31" s="1123">
        <v>5.0599999999999999E-2</v>
      </c>
    </row>
    <row r="32" spans="1:27" ht="12" customHeight="1">
      <c r="A32" s="1126" t="s">
        <v>1606</v>
      </c>
      <c r="B32" s="1125">
        <v>734</v>
      </c>
      <c r="C32" s="1123">
        <v>7.0599999999999996E-2</v>
      </c>
      <c r="D32" s="1123">
        <v>9.3200000000000005E-2</v>
      </c>
      <c r="E32" s="1123">
        <v>0.11210000000000001</v>
      </c>
      <c r="F32" s="1123">
        <v>0.21199999999999999</v>
      </c>
      <c r="G32" s="1124">
        <v>1.1100000000000001</v>
      </c>
      <c r="H32" s="1124">
        <v>1.1399999999999999</v>
      </c>
      <c r="I32" s="1123">
        <v>7.5200000000000003E-2</v>
      </c>
      <c r="J32" s="1123">
        <v>0.38640000000000002</v>
      </c>
      <c r="K32" s="1123">
        <v>4.0399999999999998E-2</v>
      </c>
      <c r="L32" s="1123">
        <v>0.13300000000000001</v>
      </c>
      <c r="M32" s="1123">
        <v>6.9099999999999995E-2</v>
      </c>
      <c r="N32" s="1124">
        <v>1.18</v>
      </c>
      <c r="O32" s="1124">
        <v>4.92</v>
      </c>
      <c r="P32" s="1124">
        <v>24.13</v>
      </c>
      <c r="Q32" s="1124">
        <v>45.38</v>
      </c>
      <c r="R32" s="1124">
        <v>4.03</v>
      </c>
      <c r="S32" s="1124">
        <v>133.63</v>
      </c>
      <c r="T32" s="1123">
        <v>1.26E-2</v>
      </c>
      <c r="U32" s="1123">
        <v>3.6700000000000003E-2</v>
      </c>
      <c r="V32" s="1123">
        <v>2.7099999999999999E-2</v>
      </c>
      <c r="W32" s="1123">
        <v>0.40920000000000001</v>
      </c>
      <c r="X32" s="1123">
        <v>4.7600000000000003E-2</v>
      </c>
      <c r="Y32" s="1123">
        <v>0.54559999999999997</v>
      </c>
      <c r="Z32" s="1123">
        <v>0.54559999999999997</v>
      </c>
      <c r="AA32" s="1123">
        <v>0.1021</v>
      </c>
    </row>
    <row r="33" spans="1:27" ht="12" customHeight="1">
      <c r="A33" s="1126" t="s">
        <v>1605</v>
      </c>
      <c r="B33" s="1125">
        <v>353</v>
      </c>
      <c r="C33" s="1123">
        <v>8.4500000000000006E-2</v>
      </c>
      <c r="D33" s="1123">
        <v>0.11070000000000001</v>
      </c>
      <c r="E33" s="1123">
        <v>0.12559999999999999</v>
      </c>
      <c r="F33" s="1123">
        <v>0.2011</v>
      </c>
      <c r="G33" s="1124">
        <v>0.9</v>
      </c>
      <c r="H33" s="1124">
        <v>1.04</v>
      </c>
      <c r="I33" s="1123">
        <v>7.0000000000000007E-2</v>
      </c>
      <c r="J33" s="1123">
        <v>0.33739999999999998</v>
      </c>
      <c r="K33" s="1123">
        <v>4.0399999999999998E-2</v>
      </c>
      <c r="L33" s="1123">
        <v>0.23369999999999999</v>
      </c>
      <c r="M33" s="1123">
        <v>6.0600000000000001E-2</v>
      </c>
      <c r="N33" s="1124">
        <v>1.29</v>
      </c>
      <c r="O33" s="1124">
        <v>3.02</v>
      </c>
      <c r="P33" s="1124">
        <v>15.38</v>
      </c>
      <c r="Q33" s="1124">
        <v>25.76</v>
      </c>
      <c r="R33" s="1124">
        <v>3.41</v>
      </c>
      <c r="S33" s="1124">
        <v>67.989999999999995</v>
      </c>
      <c r="T33" s="1123">
        <v>0.11990000000000001</v>
      </c>
      <c r="U33" s="1123">
        <v>8.2600000000000007E-2</v>
      </c>
      <c r="V33" s="1123">
        <v>0.1075</v>
      </c>
      <c r="W33" s="1123">
        <v>1.6700999999999999</v>
      </c>
      <c r="X33" s="1123">
        <v>9.4799999999999995E-2</v>
      </c>
      <c r="Y33" s="1123">
        <v>0.60840000000000005</v>
      </c>
      <c r="Z33" s="1123">
        <v>0.60840000000000005</v>
      </c>
      <c r="AA33" s="1123">
        <v>0.11219999999999999</v>
      </c>
    </row>
    <row r="34" spans="1:27" ht="12" customHeight="1">
      <c r="A34" s="1126" t="s">
        <v>1604</v>
      </c>
      <c r="B34" s="1125">
        <v>417</v>
      </c>
      <c r="C34" s="1123">
        <v>0.1053</v>
      </c>
      <c r="D34" s="1123">
        <v>7.2599999999999998E-2</v>
      </c>
      <c r="E34" s="1123">
        <v>9.9900000000000003E-2</v>
      </c>
      <c r="F34" s="1123">
        <v>0.20699999999999999</v>
      </c>
      <c r="G34" s="1124">
        <v>0.77</v>
      </c>
      <c r="H34" s="1124">
        <v>0.95</v>
      </c>
      <c r="I34" s="1123">
        <v>6.5000000000000002E-2</v>
      </c>
      <c r="J34" s="1123">
        <v>0.30330000000000001</v>
      </c>
      <c r="K34" s="1123">
        <v>4.0399999999999998E-2</v>
      </c>
      <c r="L34" s="1123">
        <v>0.30059999999999998</v>
      </c>
      <c r="M34" s="1123">
        <v>5.45E-2</v>
      </c>
      <c r="N34" s="1124">
        <v>1.53</v>
      </c>
      <c r="O34" s="1124">
        <v>1.28</v>
      </c>
      <c r="P34" s="1124">
        <v>12.2</v>
      </c>
      <c r="Q34" s="1124">
        <v>16.87</v>
      </c>
      <c r="R34" s="1124">
        <v>2.2599999999999998</v>
      </c>
      <c r="S34" s="1124">
        <v>69.97</v>
      </c>
      <c r="T34" s="1123">
        <v>0.1452</v>
      </c>
      <c r="U34" s="1123">
        <v>4.9099999999999998E-2</v>
      </c>
      <c r="V34" s="1123">
        <v>3.2599999999999997E-2</v>
      </c>
      <c r="W34" s="1123">
        <v>1.2141</v>
      </c>
      <c r="X34" s="1123">
        <v>0.14080000000000001</v>
      </c>
      <c r="Y34" s="1123">
        <v>0.33410000000000001</v>
      </c>
      <c r="Z34" s="1123">
        <v>0.33410000000000001</v>
      </c>
      <c r="AA34" s="1123">
        <v>7.4700000000000003E-2</v>
      </c>
    </row>
    <row r="35" spans="1:27" ht="12" customHeight="1">
      <c r="A35" s="1126" t="s">
        <v>1603</v>
      </c>
      <c r="B35" s="1125">
        <v>1102</v>
      </c>
      <c r="C35" s="1123">
        <v>9.0499999999999997E-2</v>
      </c>
      <c r="D35" s="1123">
        <v>0.1012</v>
      </c>
      <c r="E35" s="1123">
        <v>6.4999999999999997E-3</v>
      </c>
      <c r="F35" s="1123">
        <v>0.17829999999999999</v>
      </c>
      <c r="G35" s="1124">
        <v>0.2</v>
      </c>
      <c r="H35" s="1124">
        <v>0.89</v>
      </c>
      <c r="I35" s="1123">
        <v>6.1800000000000001E-2</v>
      </c>
      <c r="J35" s="1123">
        <v>0.30020000000000002</v>
      </c>
      <c r="K35" s="1123">
        <v>4.0399999999999998E-2</v>
      </c>
      <c r="L35" s="1123">
        <v>0.84189999999999998</v>
      </c>
      <c r="M35" s="1123">
        <v>3.49E-2</v>
      </c>
      <c r="N35" s="1124">
        <v>0.08</v>
      </c>
      <c r="O35" s="1124">
        <v>15.53</v>
      </c>
      <c r="P35" s="1124">
        <v>74.44</v>
      </c>
      <c r="Q35" s="1124">
        <v>90.52</v>
      </c>
      <c r="R35" s="1124">
        <v>1.51</v>
      </c>
      <c r="S35" s="1124">
        <v>41.83</v>
      </c>
      <c r="T35" s="1126" t="s">
        <v>1547</v>
      </c>
      <c r="U35" s="1123">
        <v>5.2200000000000003E-2</v>
      </c>
      <c r="V35" s="1123">
        <v>6.6400000000000001E-2</v>
      </c>
      <c r="W35" s="1123">
        <v>0.86419999999999997</v>
      </c>
      <c r="X35" s="1123">
        <v>0.25269999999999998</v>
      </c>
      <c r="Y35" s="1123">
        <v>0.1837</v>
      </c>
      <c r="Z35" s="1123">
        <v>0.1837</v>
      </c>
      <c r="AA35" s="1123">
        <v>0.1019</v>
      </c>
    </row>
    <row r="36" spans="1:27" ht="12" customHeight="1">
      <c r="A36" s="1126" t="s">
        <v>1602</v>
      </c>
      <c r="B36" s="1125">
        <v>1377</v>
      </c>
      <c r="C36" s="1123">
        <v>9.1899999999999996E-2</v>
      </c>
      <c r="D36" s="1123">
        <v>9.2499999999999999E-2</v>
      </c>
      <c r="E36" s="1123">
        <v>0.13850000000000001</v>
      </c>
      <c r="F36" s="1123">
        <v>0.21729999999999999</v>
      </c>
      <c r="G36" s="1124">
        <v>0.77</v>
      </c>
      <c r="H36" s="1124">
        <v>0.86</v>
      </c>
      <c r="I36" s="1123">
        <v>6.0299999999999999E-2</v>
      </c>
      <c r="J36" s="1123">
        <v>0.26790000000000003</v>
      </c>
      <c r="K36" s="1123">
        <v>4.0399999999999998E-2</v>
      </c>
      <c r="L36" s="1123">
        <v>0.1976</v>
      </c>
      <c r="M36" s="1123">
        <v>5.4300000000000001E-2</v>
      </c>
      <c r="N36" s="1124">
        <v>1.76</v>
      </c>
      <c r="O36" s="1124">
        <v>1.79</v>
      </c>
      <c r="P36" s="1124">
        <v>13.68</v>
      </c>
      <c r="Q36" s="1124">
        <v>18.95</v>
      </c>
      <c r="R36" s="1124">
        <v>2.78</v>
      </c>
      <c r="S36" s="1124">
        <v>60.04</v>
      </c>
      <c r="T36" s="1123">
        <v>0.10009999999999999</v>
      </c>
      <c r="U36" s="1123">
        <v>4.99E-2</v>
      </c>
      <c r="V36" s="1123">
        <v>3.9399999999999998E-2</v>
      </c>
      <c r="W36" s="1123">
        <v>0.71160000000000001</v>
      </c>
      <c r="X36" s="1123">
        <v>0.1358</v>
      </c>
      <c r="Y36" s="1123">
        <v>0.52010000000000001</v>
      </c>
      <c r="Z36" s="1123">
        <v>0.52010000000000001</v>
      </c>
      <c r="AA36" s="1123">
        <v>9.2600000000000002E-2</v>
      </c>
    </row>
    <row r="37" spans="1:27" ht="12" customHeight="1">
      <c r="A37" s="1126" t="s">
        <v>1601</v>
      </c>
      <c r="B37" s="1125">
        <v>160</v>
      </c>
      <c r="C37" s="1123">
        <v>5.1299999999999998E-2</v>
      </c>
      <c r="D37" s="1123">
        <v>2.24E-2</v>
      </c>
      <c r="E37" s="1123">
        <v>9.5200000000000007E-2</v>
      </c>
      <c r="F37" s="1123">
        <v>0.27010000000000001</v>
      </c>
      <c r="G37" s="1124">
        <v>0.6</v>
      </c>
      <c r="H37" s="1124">
        <v>0.86</v>
      </c>
      <c r="I37" s="1123">
        <v>6.0499999999999998E-2</v>
      </c>
      <c r="J37" s="1123">
        <v>0.30059999999999998</v>
      </c>
      <c r="K37" s="1123">
        <v>4.0399999999999998E-2</v>
      </c>
      <c r="L37" s="1123">
        <v>0.4299</v>
      </c>
      <c r="M37" s="1123">
        <v>4.7300000000000002E-2</v>
      </c>
      <c r="N37" s="1124">
        <v>5.05</v>
      </c>
      <c r="O37" s="1124">
        <v>0.45</v>
      </c>
      <c r="P37" s="1124">
        <v>11.99</v>
      </c>
      <c r="Q37" s="1124">
        <v>20.29</v>
      </c>
      <c r="R37" s="1124">
        <v>2.15</v>
      </c>
      <c r="S37" s="1124">
        <v>24.83</v>
      </c>
      <c r="T37" s="1123">
        <v>4.7300000000000002E-2</v>
      </c>
      <c r="U37" s="1123">
        <v>1.12E-2</v>
      </c>
      <c r="V37" s="1123">
        <v>1.24E-2</v>
      </c>
      <c r="W37" s="1123">
        <v>1.0921000000000001</v>
      </c>
      <c r="X37" s="1123">
        <v>6.4899999999999999E-2</v>
      </c>
      <c r="Y37" s="1123">
        <v>0.90790000000000004</v>
      </c>
      <c r="Z37" s="1123">
        <v>0.90790000000000004</v>
      </c>
      <c r="AA37" s="1123">
        <v>2.1999999999999999E-2</v>
      </c>
    </row>
    <row r="38" spans="1:27" ht="12" customHeight="1">
      <c r="A38" s="1126" t="s">
        <v>1600</v>
      </c>
      <c r="B38" s="1125">
        <v>359</v>
      </c>
      <c r="C38" s="1123">
        <v>9.0700000000000003E-2</v>
      </c>
      <c r="D38" s="1123">
        <v>8.9899999999999994E-2</v>
      </c>
      <c r="E38" s="1123">
        <v>0.21759999999999999</v>
      </c>
      <c r="F38" s="1123">
        <v>0.17810000000000001</v>
      </c>
      <c r="G38" s="1124">
        <v>1.1499999999999999</v>
      </c>
      <c r="H38" s="1124">
        <v>1.1399999999999999</v>
      </c>
      <c r="I38" s="1123">
        <v>7.4999999999999997E-2</v>
      </c>
      <c r="J38" s="1123">
        <v>0.2908</v>
      </c>
      <c r="K38" s="1123">
        <v>4.0399999999999998E-2</v>
      </c>
      <c r="L38" s="1123">
        <v>0.15640000000000001</v>
      </c>
      <c r="M38" s="1123">
        <v>6.8000000000000005E-2</v>
      </c>
      <c r="N38" s="1124">
        <v>2.73</v>
      </c>
      <c r="O38" s="1124">
        <v>1.39</v>
      </c>
      <c r="P38" s="1124">
        <v>11.63</v>
      </c>
      <c r="Q38" s="1124">
        <v>15.13</v>
      </c>
      <c r="R38" s="1124">
        <v>3.28</v>
      </c>
      <c r="S38" s="1124">
        <v>27.38</v>
      </c>
      <c r="T38" s="1123">
        <v>4.1200000000000001E-2</v>
      </c>
      <c r="U38" s="1123">
        <v>3.3099999999999997E-2</v>
      </c>
      <c r="V38" s="1123">
        <v>2.4899999999999999E-2</v>
      </c>
      <c r="W38" s="1123">
        <v>0.50490000000000002</v>
      </c>
      <c r="X38" s="1123">
        <v>0.20630000000000001</v>
      </c>
      <c r="Y38" s="1123">
        <v>0.46210000000000001</v>
      </c>
      <c r="Z38" s="1123">
        <v>0.46210000000000001</v>
      </c>
      <c r="AA38" s="1123">
        <v>9.4E-2</v>
      </c>
    </row>
    <row r="39" spans="1:27" ht="12" customHeight="1">
      <c r="A39" s="1126" t="s">
        <v>1599</v>
      </c>
      <c r="B39" s="1125">
        <v>239</v>
      </c>
      <c r="C39" s="1123">
        <v>0.1641</v>
      </c>
      <c r="D39" s="1123">
        <v>0.33489999999999998</v>
      </c>
      <c r="E39" s="1123">
        <v>8.0299999999999996E-2</v>
      </c>
      <c r="F39" s="1123">
        <v>0.16739999999999999</v>
      </c>
      <c r="G39" s="1124">
        <v>0.76</v>
      </c>
      <c r="H39" s="1124">
        <v>1.01</v>
      </c>
      <c r="I39" s="1123">
        <v>6.8099999999999994E-2</v>
      </c>
      <c r="J39" s="1123">
        <v>0.3266</v>
      </c>
      <c r="K39" s="1123">
        <v>4.0399999999999998E-2</v>
      </c>
      <c r="L39" s="1123">
        <v>0.3412</v>
      </c>
      <c r="M39" s="1123">
        <v>5.5E-2</v>
      </c>
      <c r="N39" s="1124">
        <v>0.27</v>
      </c>
      <c r="O39" s="1124">
        <v>8.81</v>
      </c>
      <c r="P39" s="1124">
        <v>15.85</v>
      </c>
      <c r="Q39" s="1124">
        <v>25.65</v>
      </c>
      <c r="R39" s="1124">
        <v>2.35</v>
      </c>
      <c r="S39" s="1124">
        <v>91.99</v>
      </c>
      <c r="T39" s="1123">
        <v>6.9599999999999995E-2</v>
      </c>
      <c r="U39" s="1123">
        <v>0.3669</v>
      </c>
      <c r="V39" s="1123">
        <v>0.25430000000000003</v>
      </c>
      <c r="W39" s="1123">
        <v>1.0931</v>
      </c>
      <c r="X39" s="1123">
        <v>0.1026</v>
      </c>
      <c r="Y39" s="1123">
        <v>0.85599999999999998</v>
      </c>
      <c r="Z39" s="1123">
        <v>0.85599999999999998</v>
      </c>
      <c r="AA39" s="1123">
        <v>0.33429999999999999</v>
      </c>
    </row>
    <row r="40" spans="1:27" ht="12" customHeight="1">
      <c r="A40" s="1126" t="s">
        <v>1598</v>
      </c>
      <c r="B40" s="1125">
        <v>852</v>
      </c>
      <c r="C40" s="1123">
        <v>0.1603</v>
      </c>
      <c r="D40" s="1123">
        <v>0.1903</v>
      </c>
      <c r="E40" s="1123">
        <v>0.19209999999999999</v>
      </c>
      <c r="F40" s="1123">
        <v>0.1643</v>
      </c>
      <c r="G40" s="1124">
        <v>1.01</v>
      </c>
      <c r="H40" s="1124">
        <v>1.03</v>
      </c>
      <c r="I40" s="1123">
        <v>6.93E-2</v>
      </c>
      <c r="J40" s="1123">
        <v>0.38059999999999999</v>
      </c>
      <c r="K40" s="1123">
        <v>4.0399999999999998E-2</v>
      </c>
      <c r="L40" s="1123">
        <v>8.1900000000000001E-2</v>
      </c>
      <c r="M40" s="1123">
        <v>6.6100000000000006E-2</v>
      </c>
      <c r="N40" s="1124">
        <v>1.05</v>
      </c>
      <c r="O40" s="1124">
        <v>5.89</v>
      </c>
      <c r="P40" s="1124">
        <v>20.97</v>
      </c>
      <c r="Q40" s="1124">
        <v>29.46</v>
      </c>
      <c r="R40" s="1124">
        <v>5.31</v>
      </c>
      <c r="S40" s="1124">
        <v>83.31</v>
      </c>
      <c r="T40" s="1123">
        <v>0.22639999999999999</v>
      </c>
      <c r="U40" s="1123">
        <v>5.67E-2</v>
      </c>
      <c r="V40" s="1123">
        <v>9.7699999999999995E-2</v>
      </c>
      <c r="W40" s="1123">
        <v>0.67700000000000005</v>
      </c>
      <c r="X40" s="1123">
        <v>0.16350000000000001</v>
      </c>
      <c r="Y40" s="1123">
        <v>0.30020000000000002</v>
      </c>
      <c r="Z40" s="1123">
        <v>0.30020000000000002</v>
      </c>
      <c r="AA40" s="1123">
        <v>0.19819999999999999</v>
      </c>
    </row>
    <row r="41" spans="1:27" ht="12" customHeight="1">
      <c r="A41" s="1126" t="s">
        <v>1597</v>
      </c>
      <c r="B41" s="1125">
        <v>445</v>
      </c>
      <c r="C41" s="1123">
        <v>0.16209999999999999</v>
      </c>
      <c r="D41" s="1123">
        <v>4.4400000000000002E-2</v>
      </c>
      <c r="E41" s="1123">
        <v>0.2492</v>
      </c>
      <c r="F41" s="1123">
        <v>0.23039999999999999</v>
      </c>
      <c r="G41" s="1124">
        <v>0.85</v>
      </c>
      <c r="H41" s="1124">
        <v>0.96</v>
      </c>
      <c r="I41" s="1123">
        <v>6.5600000000000006E-2</v>
      </c>
      <c r="J41" s="1123">
        <v>0.34689999999999999</v>
      </c>
      <c r="K41" s="1123">
        <v>4.0399999999999998E-2</v>
      </c>
      <c r="L41" s="1123">
        <v>0.2157</v>
      </c>
      <c r="M41" s="1123">
        <v>5.79E-2</v>
      </c>
      <c r="N41" s="1124">
        <v>6.64</v>
      </c>
      <c r="O41" s="1124">
        <v>0.78</v>
      </c>
      <c r="P41" s="1124">
        <v>12.68</v>
      </c>
      <c r="Q41" s="1124">
        <v>17.29</v>
      </c>
      <c r="R41" s="1124">
        <v>3</v>
      </c>
      <c r="S41" s="1124">
        <v>36.26</v>
      </c>
      <c r="T41" s="1123">
        <v>-2.24E-2</v>
      </c>
      <c r="U41" s="1123">
        <v>9.5999999999999992E-3</v>
      </c>
      <c r="V41" s="1123">
        <v>1.54E-2</v>
      </c>
      <c r="W41" s="1123">
        <v>0.55200000000000005</v>
      </c>
      <c r="X41" s="1123">
        <v>0.13339999999999999</v>
      </c>
      <c r="Y41" s="1123">
        <v>0.30620000000000003</v>
      </c>
      <c r="Z41" s="1123">
        <v>0.30620000000000003</v>
      </c>
      <c r="AA41" s="1123">
        <v>4.3799999999999999E-2</v>
      </c>
    </row>
    <row r="42" spans="1:27" ht="12" customHeight="1">
      <c r="A42" s="1126" t="s">
        <v>1596</v>
      </c>
      <c r="B42" s="1125">
        <v>455</v>
      </c>
      <c r="C42" s="1123">
        <v>0.16070000000000001</v>
      </c>
      <c r="D42" s="1123">
        <v>0.17380000000000001</v>
      </c>
      <c r="E42" s="1123">
        <v>0.20979999999999999</v>
      </c>
      <c r="F42" s="1123">
        <v>0.1767</v>
      </c>
      <c r="G42" s="1124">
        <v>1.03</v>
      </c>
      <c r="H42" s="1124">
        <v>1.06</v>
      </c>
      <c r="I42" s="1123">
        <v>7.0599999999999996E-2</v>
      </c>
      <c r="J42" s="1123">
        <v>0.39539999999999997</v>
      </c>
      <c r="K42" s="1123">
        <v>4.0399999999999998E-2</v>
      </c>
      <c r="L42" s="1123">
        <v>7.4099999999999999E-2</v>
      </c>
      <c r="M42" s="1123">
        <v>6.7599999999999993E-2</v>
      </c>
      <c r="N42" s="1124">
        <v>1.21</v>
      </c>
      <c r="O42" s="1124">
        <v>8.4</v>
      </c>
      <c r="P42" s="1124">
        <v>29.04</v>
      </c>
      <c r="Q42" s="1124">
        <v>44.27</v>
      </c>
      <c r="R42" s="1124">
        <v>6.31</v>
      </c>
      <c r="S42" s="1124">
        <v>83.59</v>
      </c>
      <c r="T42" s="1123">
        <v>0.2064</v>
      </c>
      <c r="U42" s="1123">
        <v>6.6100000000000006E-2</v>
      </c>
      <c r="V42" s="1123">
        <v>0.18779999999999999</v>
      </c>
      <c r="W42" s="1123">
        <v>1.5092000000000001</v>
      </c>
      <c r="X42" s="1123">
        <v>0.18</v>
      </c>
      <c r="Y42" s="1123">
        <v>9.0700000000000003E-2</v>
      </c>
      <c r="Z42" s="1123">
        <v>9.0700000000000003E-2</v>
      </c>
      <c r="AA42" s="1123">
        <v>0.18609999999999999</v>
      </c>
    </row>
    <row r="43" spans="1:27" ht="12" customHeight="1">
      <c r="A43" s="1126" t="s">
        <v>1595</v>
      </c>
      <c r="B43" s="1125">
        <v>168</v>
      </c>
      <c r="C43" s="1123">
        <v>0.1153</v>
      </c>
      <c r="D43" s="1123">
        <v>0.13700000000000001</v>
      </c>
      <c r="E43" s="1123">
        <v>0.14910000000000001</v>
      </c>
      <c r="F43" s="1123">
        <v>0.2303</v>
      </c>
      <c r="G43" s="1124">
        <v>1.37</v>
      </c>
      <c r="H43" s="1124">
        <v>1.48</v>
      </c>
      <c r="I43" s="1123">
        <v>9.2700000000000005E-2</v>
      </c>
      <c r="J43" s="1123">
        <v>0.29330000000000001</v>
      </c>
      <c r="K43" s="1123">
        <v>4.0399999999999998E-2</v>
      </c>
      <c r="L43" s="1123">
        <v>0.24709999999999999</v>
      </c>
      <c r="M43" s="1123">
        <v>7.7200000000000005E-2</v>
      </c>
      <c r="N43" s="1124">
        <v>1.46</v>
      </c>
      <c r="O43" s="1124">
        <v>1.23</v>
      </c>
      <c r="P43" s="1124">
        <v>8.0299999999999994</v>
      </c>
      <c r="Q43" s="1124">
        <v>9.4600000000000009</v>
      </c>
      <c r="R43" s="1124">
        <v>1.75</v>
      </c>
      <c r="S43" s="1124">
        <v>17.03</v>
      </c>
      <c r="T43" s="1123">
        <v>0.57089999999999996</v>
      </c>
      <c r="U43" s="1123">
        <v>8.8000000000000005E-3</v>
      </c>
      <c r="V43" s="1123">
        <v>5.4999999999999997E-3</v>
      </c>
      <c r="W43" s="1123">
        <v>0.34339999999999998</v>
      </c>
      <c r="X43" s="1123">
        <v>0.19819999999999999</v>
      </c>
      <c r="Y43" s="1123">
        <v>0.1956</v>
      </c>
      <c r="Z43" s="1123">
        <v>0.1956</v>
      </c>
      <c r="AA43" s="1123">
        <v>0.1285</v>
      </c>
    </row>
    <row r="44" spans="1:27" ht="12" customHeight="1">
      <c r="A44" s="1126" t="s">
        <v>1594</v>
      </c>
      <c r="B44" s="1125">
        <v>223</v>
      </c>
      <c r="C44" s="1123">
        <v>8.72E-2</v>
      </c>
      <c r="D44" s="1123">
        <v>0.1134</v>
      </c>
      <c r="E44" s="1123">
        <v>0.12180000000000001</v>
      </c>
      <c r="F44" s="1123">
        <v>0.20549999999999999</v>
      </c>
      <c r="G44" s="1124">
        <v>0.74</v>
      </c>
      <c r="H44" s="1124">
        <v>0.96</v>
      </c>
      <c r="I44" s="1123">
        <v>6.5699999999999995E-2</v>
      </c>
      <c r="J44" s="1123">
        <v>0.2903</v>
      </c>
      <c r="K44" s="1123">
        <v>4.0399999999999998E-2</v>
      </c>
      <c r="L44" s="1123">
        <v>0.32769999999999999</v>
      </c>
      <c r="M44" s="1123">
        <v>5.3999999999999999E-2</v>
      </c>
      <c r="N44" s="1124">
        <v>1.31</v>
      </c>
      <c r="O44" s="1124">
        <v>2.44</v>
      </c>
      <c r="P44" s="1124">
        <v>13.52</v>
      </c>
      <c r="Q44" s="1124">
        <v>21.5</v>
      </c>
      <c r="R44" s="1124">
        <v>3.89</v>
      </c>
      <c r="S44" s="1124">
        <v>96.23</v>
      </c>
      <c r="T44" s="1123">
        <v>9.3299999999999994E-2</v>
      </c>
      <c r="U44" s="1123">
        <v>6.4799999999999996E-2</v>
      </c>
      <c r="V44" s="1123">
        <v>3.7499999999999999E-2</v>
      </c>
      <c r="W44" s="1123">
        <v>0.57969999999999999</v>
      </c>
      <c r="X44" s="1123">
        <v>0.21110000000000001</v>
      </c>
      <c r="Y44" s="1123">
        <v>0.24129999999999999</v>
      </c>
      <c r="Z44" s="1123">
        <v>0.24129999999999999</v>
      </c>
      <c r="AA44" s="1123">
        <v>0.11070000000000001</v>
      </c>
    </row>
    <row r="45" spans="1:27" ht="12" customHeight="1">
      <c r="A45" s="1126" t="s">
        <v>1593</v>
      </c>
      <c r="B45" s="1125">
        <v>654</v>
      </c>
      <c r="C45" s="1123">
        <v>-9.0200000000000002E-2</v>
      </c>
      <c r="D45" s="1123">
        <v>-7.9799999999999996E-2</v>
      </c>
      <c r="E45" s="1123">
        <v>-3.5000000000000003E-2</v>
      </c>
      <c r="F45" s="1123">
        <v>0.27210000000000001</v>
      </c>
      <c r="G45" s="1124">
        <v>0.95</v>
      </c>
      <c r="H45" s="1124">
        <v>1.19</v>
      </c>
      <c r="I45" s="1123">
        <v>7.7899999999999997E-2</v>
      </c>
      <c r="J45" s="1123">
        <v>0.32250000000000001</v>
      </c>
      <c r="K45" s="1123">
        <v>4.0399999999999998E-2</v>
      </c>
      <c r="L45" s="1123">
        <v>0.32890000000000003</v>
      </c>
      <c r="M45" s="1123">
        <v>6.2100000000000002E-2</v>
      </c>
      <c r="N45" s="1124">
        <v>0.39</v>
      </c>
      <c r="O45" s="1124">
        <v>6.58</v>
      </c>
      <c r="P45" s="1124">
        <v>24.71</v>
      </c>
      <c r="Q45" s="1127" t="s">
        <v>1547</v>
      </c>
      <c r="R45" s="1124">
        <v>3.36</v>
      </c>
      <c r="S45" s="1124">
        <v>160.44</v>
      </c>
      <c r="T45" s="1123">
        <v>5.0000000000000001E-3</v>
      </c>
      <c r="U45" s="1123">
        <v>0.1045</v>
      </c>
      <c r="V45" s="1123">
        <v>8.2000000000000007E-3</v>
      </c>
      <c r="W45" s="1126" t="s">
        <v>1547</v>
      </c>
      <c r="X45" s="1123">
        <v>-0.16370000000000001</v>
      </c>
      <c r="Y45" s="1123">
        <v>5.8999999999999999E-3</v>
      </c>
      <c r="Z45" s="1123">
        <v>5.8999999999999999E-3</v>
      </c>
      <c r="AA45" s="1123">
        <v>-9.6000000000000002E-2</v>
      </c>
    </row>
    <row r="46" spans="1:27" ht="12" customHeight="1">
      <c r="A46" s="1126" t="s">
        <v>1592</v>
      </c>
      <c r="B46" s="1125">
        <v>575</v>
      </c>
      <c r="C46" s="1123">
        <v>4.7500000000000001E-2</v>
      </c>
      <c r="D46" s="1123">
        <v>0.15720000000000001</v>
      </c>
      <c r="E46" s="1123">
        <v>0.25090000000000001</v>
      </c>
      <c r="F46" s="1123">
        <v>0.22459999999999999</v>
      </c>
      <c r="G46" s="1124">
        <v>1</v>
      </c>
      <c r="H46" s="1124">
        <v>1.04</v>
      </c>
      <c r="I46" s="1123">
        <v>6.9800000000000001E-2</v>
      </c>
      <c r="J46" s="1123">
        <v>0.35720000000000002</v>
      </c>
      <c r="K46" s="1123">
        <v>4.0399999999999998E-2</v>
      </c>
      <c r="L46" s="1123">
        <v>9.9500000000000005E-2</v>
      </c>
      <c r="M46" s="1123">
        <v>6.59E-2</v>
      </c>
      <c r="N46" s="1124">
        <v>1.8</v>
      </c>
      <c r="O46" s="1124">
        <v>3.82</v>
      </c>
      <c r="P46" s="1124">
        <v>18.809999999999999</v>
      </c>
      <c r="Q46" s="1124">
        <v>23.98</v>
      </c>
      <c r="R46" s="1124">
        <v>6.38</v>
      </c>
      <c r="S46" s="1124">
        <v>49.08</v>
      </c>
      <c r="T46" s="1123">
        <v>5.79E-2</v>
      </c>
      <c r="U46" s="1123">
        <v>3.5700000000000003E-2</v>
      </c>
      <c r="V46" s="1123">
        <v>2.1700000000000001E-2</v>
      </c>
      <c r="W46" s="1123">
        <v>0.18820000000000001</v>
      </c>
      <c r="X46" s="1123">
        <v>0.19059999999999999</v>
      </c>
      <c r="Y46" s="1123">
        <v>0.74609999999999999</v>
      </c>
      <c r="Z46" s="1123">
        <v>0.74609999999999999</v>
      </c>
      <c r="AA46" s="1123">
        <v>0.15809999999999999</v>
      </c>
    </row>
    <row r="47" spans="1:27" ht="12" customHeight="1">
      <c r="A47" s="1126" t="s">
        <v>1591</v>
      </c>
      <c r="B47" s="1125">
        <v>266</v>
      </c>
      <c r="C47" s="1123">
        <v>0.1134</v>
      </c>
      <c r="D47" s="1123">
        <v>0.20230000000000001</v>
      </c>
      <c r="E47" s="1123">
        <v>0.26040000000000002</v>
      </c>
      <c r="F47" s="1123">
        <v>0.19739999999999999</v>
      </c>
      <c r="G47" s="1124">
        <v>1.23</v>
      </c>
      <c r="H47" s="1124">
        <v>1.27</v>
      </c>
      <c r="I47" s="1123">
        <v>8.1799999999999998E-2</v>
      </c>
      <c r="J47" s="1123">
        <v>0.39750000000000002</v>
      </c>
      <c r="K47" s="1123">
        <v>4.0399999999999998E-2</v>
      </c>
      <c r="L47" s="1123">
        <v>9.7100000000000006E-2</v>
      </c>
      <c r="M47" s="1123">
        <v>7.6700000000000004E-2</v>
      </c>
      <c r="N47" s="1124">
        <v>1.47</v>
      </c>
      <c r="O47" s="1124">
        <v>7.92</v>
      </c>
      <c r="P47" s="1124">
        <v>26.3</v>
      </c>
      <c r="Q47" s="1124">
        <v>36.67</v>
      </c>
      <c r="R47" s="1124">
        <v>7.24</v>
      </c>
      <c r="S47" s="1124">
        <v>84.27</v>
      </c>
      <c r="T47" s="1123">
        <v>2.93E-2</v>
      </c>
      <c r="U47" s="1123">
        <v>2.81E-2</v>
      </c>
      <c r="V47" s="1123">
        <v>4.0899999999999999E-2</v>
      </c>
      <c r="W47" s="1123">
        <v>0.3886</v>
      </c>
      <c r="X47" s="1123">
        <v>0.15920000000000001</v>
      </c>
      <c r="Y47" s="1123">
        <v>0.29260000000000003</v>
      </c>
      <c r="Z47" s="1123">
        <v>0.29260000000000003</v>
      </c>
      <c r="AA47" s="1123">
        <v>0.20610000000000001</v>
      </c>
    </row>
    <row r="48" spans="1:27" ht="12" customHeight="1">
      <c r="A48" s="1126" t="s">
        <v>1590</v>
      </c>
      <c r="B48" s="1125">
        <v>215</v>
      </c>
      <c r="C48" s="1123">
        <v>6.4100000000000004E-2</v>
      </c>
      <c r="D48" s="1123">
        <v>0.1032</v>
      </c>
      <c r="E48" s="1123">
        <v>0.14199999999999999</v>
      </c>
      <c r="F48" s="1123">
        <v>0.22639999999999999</v>
      </c>
      <c r="G48" s="1124">
        <v>0.72</v>
      </c>
      <c r="H48" s="1124">
        <v>0.78</v>
      </c>
      <c r="I48" s="1123">
        <v>5.6300000000000003E-2</v>
      </c>
      <c r="J48" s="1123">
        <v>0.2303</v>
      </c>
      <c r="K48" s="1123">
        <v>3.3799999999999997E-2</v>
      </c>
      <c r="L48" s="1123">
        <v>0.28120000000000001</v>
      </c>
      <c r="M48" s="1123">
        <v>4.7500000000000001E-2</v>
      </c>
      <c r="N48" s="1124">
        <v>1.61</v>
      </c>
      <c r="O48" s="1124">
        <v>0.98</v>
      </c>
      <c r="P48" s="1124">
        <v>7.99</v>
      </c>
      <c r="Q48" s="1124">
        <v>9.34</v>
      </c>
      <c r="R48" s="1124">
        <v>1.3</v>
      </c>
      <c r="S48" s="1124">
        <v>23.97</v>
      </c>
      <c r="T48" s="1123">
        <v>-5.0000000000000001E-4</v>
      </c>
      <c r="U48" s="1123">
        <v>5.8999999999999999E-3</v>
      </c>
      <c r="V48" s="1123">
        <v>1.1999999999999999E-3</v>
      </c>
      <c r="W48" s="1123">
        <v>-1.7399999999999999E-2</v>
      </c>
      <c r="X48" s="1123">
        <v>0.12189999999999999</v>
      </c>
      <c r="Y48" s="1123">
        <v>0.4078</v>
      </c>
      <c r="Z48" s="1123">
        <v>0.4078</v>
      </c>
      <c r="AA48" s="1123">
        <v>0.1033</v>
      </c>
    </row>
    <row r="49" spans="1:27" ht="12" customHeight="1">
      <c r="A49" s="1126" t="s">
        <v>1589</v>
      </c>
      <c r="B49" s="1125">
        <v>142</v>
      </c>
      <c r="C49" s="1123">
        <v>0.1004</v>
      </c>
      <c r="D49" s="1123">
        <v>0.1042</v>
      </c>
      <c r="E49" s="1123">
        <v>0.1094</v>
      </c>
      <c r="F49" s="1123">
        <v>0.16489999999999999</v>
      </c>
      <c r="G49" s="1124">
        <v>1</v>
      </c>
      <c r="H49" s="1124">
        <v>1.08</v>
      </c>
      <c r="I49" s="1123">
        <v>7.17E-2</v>
      </c>
      <c r="J49" s="1123">
        <v>0.22919999999999999</v>
      </c>
      <c r="K49" s="1123">
        <v>3.3799999999999997E-2</v>
      </c>
      <c r="L49" s="1123">
        <v>0.51900000000000002</v>
      </c>
      <c r="M49" s="1123">
        <v>4.7500000000000001E-2</v>
      </c>
      <c r="N49" s="1124">
        <v>1.26</v>
      </c>
      <c r="O49" s="1124">
        <v>0.83</v>
      </c>
      <c r="P49" s="1124">
        <v>7.25</v>
      </c>
      <c r="Q49" s="1124">
        <v>7.64</v>
      </c>
      <c r="R49" s="1124">
        <v>0.87</v>
      </c>
      <c r="S49" s="1124">
        <v>44.15</v>
      </c>
      <c r="T49" s="1123">
        <v>-0.97199999999999998</v>
      </c>
      <c r="U49" s="1123">
        <v>5.1000000000000004E-3</v>
      </c>
      <c r="V49" s="1123">
        <v>6.0000000000000001E-3</v>
      </c>
      <c r="W49" s="1123">
        <v>8.5400000000000004E-2</v>
      </c>
      <c r="X49" s="1123">
        <v>0.10050000000000001</v>
      </c>
      <c r="Y49" s="1123">
        <v>0.29020000000000001</v>
      </c>
      <c r="Z49" s="1123">
        <v>0.29020000000000001</v>
      </c>
      <c r="AA49" s="1123">
        <v>0.1042</v>
      </c>
    </row>
    <row r="50" spans="1:27" ht="12" customHeight="1">
      <c r="A50" s="1126" t="s">
        <v>1588</v>
      </c>
      <c r="B50" s="1125">
        <v>231</v>
      </c>
      <c r="C50" s="1123">
        <v>5.4199999999999998E-2</v>
      </c>
      <c r="D50" s="1123">
        <v>0.1154</v>
      </c>
      <c r="E50" s="1123">
        <v>0.13300000000000001</v>
      </c>
      <c r="F50" s="1123">
        <v>0.19139999999999999</v>
      </c>
      <c r="G50" s="1124">
        <v>0.82</v>
      </c>
      <c r="H50" s="1124">
        <v>0.88</v>
      </c>
      <c r="I50" s="1123">
        <v>6.1600000000000002E-2</v>
      </c>
      <c r="J50" s="1123">
        <v>0.25950000000000001</v>
      </c>
      <c r="K50" s="1123">
        <v>4.0399999999999998E-2</v>
      </c>
      <c r="L50" s="1123">
        <v>0.219</v>
      </c>
      <c r="M50" s="1123">
        <v>5.4600000000000003E-2</v>
      </c>
      <c r="N50" s="1124">
        <v>1.36</v>
      </c>
      <c r="O50" s="1124">
        <v>1.04</v>
      </c>
      <c r="P50" s="1124">
        <v>7.65</v>
      </c>
      <c r="Q50" s="1124">
        <v>8.8699999999999992</v>
      </c>
      <c r="R50" s="1124">
        <v>1.23</v>
      </c>
      <c r="S50" s="1124">
        <v>25.42</v>
      </c>
      <c r="T50" s="1123">
        <v>-0.45340000000000003</v>
      </c>
      <c r="U50" s="1123">
        <v>7.1999999999999998E-3</v>
      </c>
      <c r="V50" s="1123">
        <v>1.29E-2</v>
      </c>
      <c r="W50" s="1123">
        <v>0.25169999999999998</v>
      </c>
      <c r="X50" s="1123">
        <v>0.12909999999999999</v>
      </c>
      <c r="Y50" s="1123">
        <v>0.30530000000000002</v>
      </c>
      <c r="Z50" s="1123">
        <v>0.30530000000000002</v>
      </c>
      <c r="AA50" s="1123">
        <v>0.11550000000000001</v>
      </c>
    </row>
    <row r="51" spans="1:27" ht="12" customHeight="1">
      <c r="A51" s="1126" t="s">
        <v>1587</v>
      </c>
      <c r="B51" s="1125">
        <v>1706</v>
      </c>
      <c r="C51" s="1123">
        <v>0.28120000000000001</v>
      </c>
      <c r="D51" s="1123">
        <v>0.20219999999999999</v>
      </c>
      <c r="E51" s="1123">
        <v>0.1009</v>
      </c>
      <c r="F51" s="1123">
        <v>0.1411</v>
      </c>
      <c r="G51" s="1124">
        <v>0.72</v>
      </c>
      <c r="H51" s="1124">
        <v>0.86</v>
      </c>
      <c r="I51" s="1123">
        <v>6.0400000000000002E-2</v>
      </c>
      <c r="J51" s="1123">
        <v>0.31469999999999998</v>
      </c>
      <c r="K51" s="1123">
        <v>4.0399999999999998E-2</v>
      </c>
      <c r="L51" s="1123">
        <v>0.31159999999999999</v>
      </c>
      <c r="M51" s="1123">
        <v>5.0900000000000001E-2</v>
      </c>
      <c r="N51" s="1124">
        <v>0.52</v>
      </c>
      <c r="O51" s="1124">
        <v>4.57</v>
      </c>
      <c r="P51" s="1124">
        <v>14.78</v>
      </c>
      <c r="Q51" s="1124">
        <v>16.41</v>
      </c>
      <c r="R51" s="1124">
        <v>2.0299999999999998</v>
      </c>
      <c r="S51" s="1124">
        <v>55.34</v>
      </c>
      <c r="T51" s="1126" t="s">
        <v>1547</v>
      </c>
      <c r="U51" s="1123">
        <v>1.2800000000000001E-2</v>
      </c>
      <c r="V51" s="1123">
        <v>4.1700000000000001E-2</v>
      </c>
      <c r="W51" s="1123">
        <v>0.2379</v>
      </c>
      <c r="X51" s="1123">
        <v>0.19670000000000001</v>
      </c>
      <c r="Y51" s="1123">
        <v>0.3044</v>
      </c>
      <c r="Z51" s="1123">
        <v>0.3044</v>
      </c>
      <c r="AA51" s="1123">
        <v>0.20200000000000001</v>
      </c>
    </row>
    <row r="52" spans="1:27" ht="12" customHeight="1">
      <c r="A52" s="1126" t="s">
        <v>1586</v>
      </c>
      <c r="B52" s="1125">
        <v>1421</v>
      </c>
      <c r="C52" s="1123">
        <v>6.8900000000000003E-2</v>
      </c>
      <c r="D52" s="1123">
        <v>9.9500000000000005E-2</v>
      </c>
      <c r="E52" s="1123">
        <v>0.13139999999999999</v>
      </c>
      <c r="F52" s="1123">
        <v>0.21809999999999999</v>
      </c>
      <c r="G52" s="1124">
        <v>1.1299999999999999</v>
      </c>
      <c r="H52" s="1124">
        <v>1.1399999999999999</v>
      </c>
      <c r="I52" s="1123">
        <v>7.5300000000000006E-2</v>
      </c>
      <c r="J52" s="1123">
        <v>0.27710000000000001</v>
      </c>
      <c r="K52" s="1123">
        <v>4.0399999999999998E-2</v>
      </c>
      <c r="L52" s="1123">
        <v>0.1176</v>
      </c>
      <c r="M52" s="1123">
        <v>6.9900000000000004E-2</v>
      </c>
      <c r="N52" s="1124">
        <v>1.52</v>
      </c>
      <c r="O52" s="1124">
        <v>2.38</v>
      </c>
      <c r="P52" s="1124">
        <v>16.3</v>
      </c>
      <c r="Q52" s="1124">
        <v>22.95</v>
      </c>
      <c r="R52" s="1124">
        <v>3.34</v>
      </c>
      <c r="S52" s="1124">
        <v>53.62</v>
      </c>
      <c r="T52" s="1123">
        <v>0.25119999999999998</v>
      </c>
      <c r="U52" s="1123">
        <v>3.8600000000000002E-2</v>
      </c>
      <c r="V52" s="1123">
        <v>3.0700000000000002E-2</v>
      </c>
      <c r="W52" s="1123">
        <v>0.5655</v>
      </c>
      <c r="X52" s="1123">
        <v>0.12509999999999999</v>
      </c>
      <c r="Y52" s="1123">
        <v>0.39589999999999997</v>
      </c>
      <c r="Z52" s="1123">
        <v>0.39589999999999997</v>
      </c>
      <c r="AA52" s="1123">
        <v>0.1019</v>
      </c>
    </row>
    <row r="53" spans="1:27" ht="12" customHeight="1">
      <c r="A53" s="1126" t="s">
        <v>1585</v>
      </c>
      <c r="B53" s="1125">
        <v>1706</v>
      </c>
      <c r="C53" s="1123">
        <v>0.1862</v>
      </c>
      <c r="D53" s="1123">
        <v>0.1598</v>
      </c>
      <c r="E53" s="1123">
        <v>0.21609999999999999</v>
      </c>
      <c r="F53" s="1123">
        <v>0.29830000000000001</v>
      </c>
      <c r="G53" s="1124">
        <v>1.01</v>
      </c>
      <c r="H53" s="1124">
        <v>1.1000000000000001</v>
      </c>
      <c r="I53" s="1123">
        <v>7.2800000000000004E-2</v>
      </c>
      <c r="J53" s="1123">
        <v>0.53069999999999995</v>
      </c>
      <c r="K53" s="1123">
        <v>4.4600000000000001E-2</v>
      </c>
      <c r="L53" s="1123">
        <v>0.20619999999999999</v>
      </c>
      <c r="M53" s="1123">
        <v>6.4600000000000005E-2</v>
      </c>
      <c r="N53" s="1124">
        <v>1.4</v>
      </c>
      <c r="O53" s="1124">
        <v>1.49</v>
      </c>
      <c r="P53" s="1124">
        <v>6.38</v>
      </c>
      <c r="Q53" s="1124">
        <v>8.76</v>
      </c>
      <c r="R53" s="1124">
        <v>2.0699999999999998</v>
      </c>
      <c r="S53" s="1124">
        <v>309.06</v>
      </c>
      <c r="T53" s="1123">
        <v>0.1074</v>
      </c>
      <c r="U53" s="1123">
        <v>6.4199999999999993E-2</v>
      </c>
      <c r="V53" s="1123">
        <v>3.0200000000000001E-2</v>
      </c>
      <c r="W53" s="1123">
        <v>0.47570000000000001</v>
      </c>
      <c r="X53" s="1123">
        <v>0.189</v>
      </c>
      <c r="Y53" s="1123">
        <v>0.39500000000000002</v>
      </c>
      <c r="Z53" s="1123">
        <v>0.39500000000000002</v>
      </c>
      <c r="AA53" s="1123">
        <v>0.16089999999999999</v>
      </c>
    </row>
    <row r="54" spans="1:27" ht="12" customHeight="1">
      <c r="A54" s="1126" t="s">
        <v>1584</v>
      </c>
      <c r="B54" s="1125">
        <v>145</v>
      </c>
      <c r="C54" s="1123">
        <v>2.1399999999999999E-2</v>
      </c>
      <c r="D54" s="1123">
        <v>7.1800000000000003E-2</v>
      </c>
      <c r="E54" s="1123">
        <v>0.1232</v>
      </c>
      <c r="F54" s="1123">
        <v>0.25490000000000002</v>
      </c>
      <c r="G54" s="1124">
        <v>1.05</v>
      </c>
      <c r="H54" s="1124">
        <v>1.1000000000000001</v>
      </c>
      <c r="I54" s="1123">
        <v>7.2999999999999995E-2</v>
      </c>
      <c r="J54" s="1123">
        <v>0.29770000000000002</v>
      </c>
      <c r="K54" s="1123">
        <v>4.0399999999999998E-2</v>
      </c>
      <c r="L54" s="1123">
        <v>0.21079999999999999</v>
      </c>
      <c r="M54" s="1123">
        <v>6.3899999999999998E-2</v>
      </c>
      <c r="N54" s="1124">
        <v>1.94</v>
      </c>
      <c r="O54" s="1124">
        <v>1.17</v>
      </c>
      <c r="P54" s="1124">
        <v>10.07</v>
      </c>
      <c r="Q54" s="1124">
        <v>15.36</v>
      </c>
      <c r="R54" s="1124">
        <v>2.0299999999999998</v>
      </c>
      <c r="S54" s="1124">
        <v>64.41</v>
      </c>
      <c r="T54" s="1123">
        <v>0.12139999999999999</v>
      </c>
      <c r="U54" s="1123">
        <v>2.7699999999999999E-2</v>
      </c>
      <c r="V54" s="1123">
        <v>4.9200000000000001E-2</v>
      </c>
      <c r="W54" s="1123">
        <v>0.90159999999999996</v>
      </c>
      <c r="X54" s="1123">
        <v>8.2900000000000001E-2</v>
      </c>
      <c r="Y54" s="1123">
        <v>0.443</v>
      </c>
      <c r="Z54" s="1123">
        <v>0.443</v>
      </c>
      <c r="AA54" s="1123">
        <v>7.3300000000000004E-2</v>
      </c>
    </row>
    <row r="55" spans="1:27" ht="12" customHeight="1">
      <c r="A55" s="1126" t="s">
        <v>1583</v>
      </c>
      <c r="B55" s="1125">
        <v>46</v>
      </c>
      <c r="C55" s="1123">
        <v>7.3200000000000001E-2</v>
      </c>
      <c r="D55" s="1123">
        <v>0.11899999999999999</v>
      </c>
      <c r="E55" s="1123">
        <v>0.1047</v>
      </c>
      <c r="F55" s="1123">
        <v>0.38640000000000002</v>
      </c>
      <c r="G55" s="1124">
        <v>1.1499999999999999</v>
      </c>
      <c r="H55" s="1124">
        <v>1.28</v>
      </c>
      <c r="I55" s="1123">
        <v>8.2400000000000001E-2</v>
      </c>
      <c r="J55" s="1123">
        <v>0.24690000000000001</v>
      </c>
      <c r="K55" s="1123">
        <v>3.3799999999999997E-2</v>
      </c>
      <c r="L55" s="1123">
        <v>0.2114</v>
      </c>
      <c r="M55" s="1123">
        <v>7.0199999999999999E-2</v>
      </c>
      <c r="N55" s="1124">
        <v>1.1399999999999999</v>
      </c>
      <c r="O55" s="1124">
        <v>1.47</v>
      </c>
      <c r="P55" s="1124">
        <v>7.03</v>
      </c>
      <c r="Q55" s="1124">
        <v>12.31</v>
      </c>
      <c r="R55" s="1124">
        <v>1.7</v>
      </c>
      <c r="S55" s="1124">
        <v>19.95</v>
      </c>
      <c r="T55" s="1123">
        <v>2.3300000000000001E-2</v>
      </c>
      <c r="U55" s="1123">
        <v>8.2400000000000001E-2</v>
      </c>
      <c r="V55" s="1123">
        <v>-9.7999999999999997E-3</v>
      </c>
      <c r="W55" s="1123">
        <v>-5.1700000000000003E-2</v>
      </c>
      <c r="X55" s="1123">
        <v>0.1164</v>
      </c>
      <c r="Y55" s="1123">
        <v>0.69689999999999996</v>
      </c>
      <c r="Z55" s="1123">
        <v>0.69689999999999996</v>
      </c>
      <c r="AA55" s="1123">
        <v>0.1196</v>
      </c>
    </row>
    <row r="56" spans="1:27" ht="12" customHeight="1">
      <c r="A56" s="1126" t="s">
        <v>1582</v>
      </c>
      <c r="B56" s="1125">
        <v>642</v>
      </c>
      <c r="C56" s="1123">
        <v>0.21190000000000001</v>
      </c>
      <c r="D56" s="1123">
        <v>0.125</v>
      </c>
      <c r="E56" s="1123">
        <v>6.3600000000000004E-2</v>
      </c>
      <c r="F56" s="1123">
        <v>0.27839999999999998</v>
      </c>
      <c r="G56" s="1124">
        <v>1.21</v>
      </c>
      <c r="H56" s="1124">
        <v>1.46</v>
      </c>
      <c r="I56" s="1123">
        <v>9.1899999999999996E-2</v>
      </c>
      <c r="J56" s="1123">
        <v>0.50729999999999997</v>
      </c>
      <c r="K56" s="1123">
        <v>4.4600000000000001E-2</v>
      </c>
      <c r="L56" s="1123">
        <v>0.27929999999999999</v>
      </c>
      <c r="M56" s="1123">
        <v>7.5399999999999995E-2</v>
      </c>
      <c r="N56" s="1124">
        <v>0.53</v>
      </c>
      <c r="O56" s="1124">
        <v>2.85</v>
      </c>
      <c r="P56" s="1124">
        <v>6.23</v>
      </c>
      <c r="Q56" s="1124">
        <v>21.41</v>
      </c>
      <c r="R56" s="1124">
        <v>1.56</v>
      </c>
      <c r="S56" s="1124">
        <v>38.6</v>
      </c>
      <c r="T56" s="1123">
        <v>-3.5700000000000003E-2</v>
      </c>
      <c r="U56" s="1123">
        <v>0.224</v>
      </c>
      <c r="V56" s="1123">
        <v>4.4000000000000003E-3</v>
      </c>
      <c r="W56" s="1123">
        <v>0.30349999999999999</v>
      </c>
      <c r="X56" s="1123">
        <v>6.1100000000000002E-2</v>
      </c>
      <c r="Y56" s="1123">
        <v>0.70089999999999997</v>
      </c>
      <c r="Z56" s="1123">
        <v>0.70089999999999997</v>
      </c>
      <c r="AA56" s="1123">
        <v>0.1265</v>
      </c>
    </row>
    <row r="57" spans="1:27" ht="12" customHeight="1">
      <c r="A57" s="1126" t="s">
        <v>1581</v>
      </c>
      <c r="B57" s="1125">
        <v>165</v>
      </c>
      <c r="C57" s="1123">
        <v>0.1515</v>
      </c>
      <c r="D57" s="1123">
        <v>0.124</v>
      </c>
      <c r="E57" s="1123">
        <v>6.2399999999999997E-2</v>
      </c>
      <c r="F57" s="1123">
        <v>0.18640000000000001</v>
      </c>
      <c r="G57" s="1124">
        <v>0.75</v>
      </c>
      <c r="H57" s="1124">
        <v>1.1599999999999999</v>
      </c>
      <c r="I57" s="1123">
        <v>7.6399999999999996E-2</v>
      </c>
      <c r="J57" s="1123">
        <v>0.2833</v>
      </c>
      <c r="K57" s="1123">
        <v>4.0399999999999998E-2</v>
      </c>
      <c r="L57" s="1123">
        <v>0.45190000000000002</v>
      </c>
      <c r="M57" s="1123">
        <v>5.5399999999999998E-2</v>
      </c>
      <c r="N57" s="1124">
        <v>0.56999999999999995</v>
      </c>
      <c r="O57" s="1124">
        <v>2.68</v>
      </c>
      <c r="P57" s="1124">
        <v>12.95</v>
      </c>
      <c r="Q57" s="1124">
        <v>21.42</v>
      </c>
      <c r="R57" s="1124">
        <v>1.57</v>
      </c>
      <c r="S57" s="1124">
        <v>65.47</v>
      </c>
      <c r="T57" s="1123">
        <v>4.2999999999999997E-2</v>
      </c>
      <c r="U57" s="1123">
        <v>0.107</v>
      </c>
      <c r="V57" s="1123">
        <v>3.6200000000000003E-2</v>
      </c>
      <c r="W57" s="1123">
        <v>0.371</v>
      </c>
      <c r="X57" s="1123">
        <v>6.9099999999999995E-2</v>
      </c>
      <c r="Y57" s="1123">
        <v>1.4068000000000001</v>
      </c>
      <c r="Z57" s="1123">
        <v>1.4068000000000001</v>
      </c>
      <c r="AA57" s="1123">
        <v>0.1244</v>
      </c>
    </row>
    <row r="58" spans="1:27" ht="12" customHeight="1">
      <c r="A58" s="1126" t="s">
        <v>1580</v>
      </c>
      <c r="B58" s="1125">
        <v>457</v>
      </c>
      <c r="C58" s="1123">
        <v>5.6599999999999998E-2</v>
      </c>
      <c r="D58" s="1123">
        <v>4.3799999999999999E-2</v>
      </c>
      <c r="E58" s="1123">
        <v>7.3499999999999996E-2</v>
      </c>
      <c r="F58" s="1123">
        <v>0.23050000000000001</v>
      </c>
      <c r="G58" s="1124">
        <v>1.06</v>
      </c>
      <c r="H58" s="1124">
        <v>1.36</v>
      </c>
      <c r="I58" s="1123">
        <v>8.6599999999999996E-2</v>
      </c>
      <c r="J58" s="1123">
        <v>0.36580000000000001</v>
      </c>
      <c r="K58" s="1123">
        <v>4.0399999999999998E-2</v>
      </c>
      <c r="L58" s="1123">
        <v>0.34860000000000002</v>
      </c>
      <c r="M58" s="1123">
        <v>6.6799999999999998E-2</v>
      </c>
      <c r="N58" s="1124">
        <v>1.85</v>
      </c>
      <c r="O58" s="1124">
        <v>0.81</v>
      </c>
      <c r="P58" s="1124">
        <v>9.64</v>
      </c>
      <c r="Q58" s="1124">
        <v>17.579999999999998</v>
      </c>
      <c r="R58" s="1124">
        <v>1.41</v>
      </c>
      <c r="S58" s="1124">
        <v>49.8</v>
      </c>
      <c r="T58" s="1123">
        <v>6.54E-2</v>
      </c>
      <c r="U58" s="1123">
        <v>3.8300000000000001E-2</v>
      </c>
      <c r="V58" s="1123">
        <v>1.18E-2</v>
      </c>
      <c r="W58" s="1123">
        <v>0.70440000000000003</v>
      </c>
      <c r="X58" s="1123">
        <v>8.8099999999999998E-2</v>
      </c>
      <c r="Y58" s="1123">
        <v>0.3982</v>
      </c>
      <c r="Z58" s="1123">
        <v>0.3982</v>
      </c>
      <c r="AA58" s="1123">
        <v>4.4499999999999998E-2</v>
      </c>
    </row>
    <row r="59" spans="1:27" ht="12" customHeight="1">
      <c r="A59" s="1126" t="s">
        <v>1579</v>
      </c>
      <c r="B59" s="1125">
        <v>414</v>
      </c>
      <c r="C59" s="1123">
        <v>5.4399999999999997E-2</v>
      </c>
      <c r="D59" s="1123">
        <v>9.1499999999999998E-2</v>
      </c>
      <c r="E59" s="1123">
        <v>0.1215</v>
      </c>
      <c r="F59" s="1123">
        <v>0.22170000000000001</v>
      </c>
      <c r="G59" s="1124">
        <v>0.8</v>
      </c>
      <c r="H59" s="1124">
        <v>0.96</v>
      </c>
      <c r="I59" s="1123">
        <v>6.5699999999999995E-2</v>
      </c>
      <c r="J59" s="1123">
        <v>0.28110000000000002</v>
      </c>
      <c r="K59" s="1123">
        <v>4.0399999999999998E-2</v>
      </c>
      <c r="L59" s="1123">
        <v>0.2661</v>
      </c>
      <c r="M59" s="1123">
        <v>5.6099999999999997E-2</v>
      </c>
      <c r="N59" s="1124">
        <v>1.59</v>
      </c>
      <c r="O59" s="1124">
        <v>1.65</v>
      </c>
      <c r="P59" s="1124">
        <v>11.01</v>
      </c>
      <c r="Q59" s="1124">
        <v>17.75</v>
      </c>
      <c r="R59" s="1124">
        <v>2.62</v>
      </c>
      <c r="S59" s="1124">
        <v>34.64</v>
      </c>
      <c r="T59" s="1123">
        <v>0.13930000000000001</v>
      </c>
      <c r="U59" s="1123">
        <v>6.4199999999999993E-2</v>
      </c>
      <c r="V59" s="1123">
        <v>4.1500000000000002E-2</v>
      </c>
      <c r="W59" s="1123">
        <v>0.74039999999999995</v>
      </c>
      <c r="X59" s="1123">
        <v>0.14430000000000001</v>
      </c>
      <c r="Y59" s="1123">
        <v>0.3639</v>
      </c>
      <c r="Z59" s="1123">
        <v>0.3639</v>
      </c>
      <c r="AA59" s="1123">
        <v>9.2899999999999996E-2</v>
      </c>
    </row>
    <row r="60" spans="1:27" ht="12" customHeight="1">
      <c r="A60" s="1126" t="s">
        <v>1578</v>
      </c>
      <c r="B60" s="1125">
        <v>272</v>
      </c>
      <c r="C60" s="1123">
        <v>5.4699999999999999E-2</v>
      </c>
      <c r="D60" s="1123">
        <v>0.1416</v>
      </c>
      <c r="E60" s="1123">
        <v>0.1246</v>
      </c>
      <c r="F60" s="1123">
        <v>0.2142</v>
      </c>
      <c r="G60" s="1124">
        <v>0.89</v>
      </c>
      <c r="H60" s="1124">
        <v>1.1200000000000001</v>
      </c>
      <c r="I60" s="1123">
        <v>7.3999999999999996E-2</v>
      </c>
      <c r="J60" s="1123">
        <v>0.28539999999999999</v>
      </c>
      <c r="K60" s="1123">
        <v>4.0399999999999998E-2</v>
      </c>
      <c r="L60" s="1123">
        <v>0.3367</v>
      </c>
      <c r="M60" s="1123">
        <v>5.9200000000000003E-2</v>
      </c>
      <c r="N60" s="1124">
        <v>1.01</v>
      </c>
      <c r="O60" s="1124">
        <v>1.41</v>
      </c>
      <c r="P60" s="1124">
        <v>6.99</v>
      </c>
      <c r="Q60" s="1124">
        <v>9.81</v>
      </c>
      <c r="R60" s="1124">
        <v>1.36</v>
      </c>
      <c r="S60" s="1124">
        <v>24.79</v>
      </c>
      <c r="T60" s="1123">
        <v>0.18540000000000001</v>
      </c>
      <c r="U60" s="1123">
        <v>7.4800000000000005E-2</v>
      </c>
      <c r="V60" s="1123">
        <v>3.61E-2</v>
      </c>
      <c r="W60" s="1123">
        <v>0.36020000000000002</v>
      </c>
      <c r="X60" s="1123">
        <v>0.16839999999999999</v>
      </c>
      <c r="Y60" s="1123">
        <v>0.23769999999999999</v>
      </c>
      <c r="Z60" s="1123">
        <v>0.23769999999999999</v>
      </c>
      <c r="AA60" s="1123">
        <v>0.14280000000000001</v>
      </c>
    </row>
    <row r="61" spans="1:27" ht="12" customHeight="1">
      <c r="A61" s="1126" t="s">
        <v>1577</v>
      </c>
      <c r="B61" s="1125">
        <v>541</v>
      </c>
      <c r="C61" s="1123">
        <v>7.4099999999999999E-2</v>
      </c>
      <c r="D61" s="1123">
        <v>0.11269999999999999</v>
      </c>
      <c r="E61" s="1123">
        <v>5.7599999999999998E-2</v>
      </c>
      <c r="F61" s="1123">
        <v>0.21060000000000001</v>
      </c>
      <c r="G61" s="1124">
        <v>0.54</v>
      </c>
      <c r="H61" s="1124">
        <v>0.85</v>
      </c>
      <c r="I61" s="1123">
        <v>5.9799999999999999E-2</v>
      </c>
      <c r="J61" s="1123">
        <v>0.21940000000000001</v>
      </c>
      <c r="K61" s="1123">
        <v>3.3799999999999997E-2</v>
      </c>
      <c r="L61" s="1123">
        <v>0.4713</v>
      </c>
      <c r="M61" s="1123">
        <v>4.3400000000000001E-2</v>
      </c>
      <c r="N61" s="1124">
        <v>0.61</v>
      </c>
      <c r="O61" s="1124">
        <v>2.2599999999999998</v>
      </c>
      <c r="P61" s="1124">
        <v>10.39</v>
      </c>
      <c r="Q61" s="1124">
        <v>19.75</v>
      </c>
      <c r="R61" s="1124">
        <v>1.36</v>
      </c>
      <c r="S61" s="1124">
        <v>50.31</v>
      </c>
      <c r="T61" s="1123">
        <v>4.1999999999999997E-3</v>
      </c>
      <c r="U61" s="1123">
        <v>0.16470000000000001</v>
      </c>
      <c r="V61" s="1123">
        <v>8.6599999999999996E-2</v>
      </c>
      <c r="W61" s="1123">
        <v>1.0669999999999999</v>
      </c>
      <c r="X61" s="1123">
        <v>7.8600000000000003E-2</v>
      </c>
      <c r="Y61" s="1123">
        <v>0.82130000000000003</v>
      </c>
      <c r="Z61" s="1123">
        <v>0.82130000000000003</v>
      </c>
      <c r="AA61" s="1123">
        <v>0.11269999999999999</v>
      </c>
    </row>
    <row r="62" spans="1:27" ht="12" customHeight="1">
      <c r="A62" s="1126" t="s">
        <v>1576</v>
      </c>
      <c r="B62" s="1125">
        <v>947</v>
      </c>
      <c r="C62" s="1123">
        <v>0.252</v>
      </c>
      <c r="D62" s="1123">
        <v>0.24979999999999999</v>
      </c>
      <c r="E62" s="1123">
        <v>0.22839999999999999</v>
      </c>
      <c r="F62" s="1123">
        <v>0.26679999999999998</v>
      </c>
      <c r="G62" s="1124">
        <v>0.99</v>
      </c>
      <c r="H62" s="1124">
        <v>1</v>
      </c>
      <c r="I62" s="1123">
        <v>6.7599999999999993E-2</v>
      </c>
      <c r="J62" s="1123">
        <v>0.51149999999999995</v>
      </c>
      <c r="K62" s="1123">
        <v>4.4600000000000001E-2</v>
      </c>
      <c r="L62" s="1123">
        <v>0.128</v>
      </c>
      <c r="M62" s="1123">
        <v>6.3200000000000006E-2</v>
      </c>
      <c r="N62" s="1124">
        <v>0.95</v>
      </c>
      <c r="O62" s="1124">
        <v>2.5</v>
      </c>
      <c r="P62" s="1124">
        <v>6.25</v>
      </c>
      <c r="Q62" s="1124">
        <v>9.1300000000000008</v>
      </c>
      <c r="R62" s="1124">
        <v>1.98</v>
      </c>
      <c r="S62" s="1124">
        <v>73.349999999999994</v>
      </c>
      <c r="T62" s="1123">
        <v>0.1164</v>
      </c>
      <c r="U62" s="1123">
        <v>0.1552</v>
      </c>
      <c r="V62" s="1123">
        <v>0.1009</v>
      </c>
      <c r="W62" s="1123">
        <v>0.66069999999999995</v>
      </c>
      <c r="X62" s="1123">
        <v>0.1704</v>
      </c>
      <c r="Y62" s="1123">
        <v>0.36609999999999998</v>
      </c>
      <c r="Z62" s="1123">
        <v>0.36609999999999998</v>
      </c>
      <c r="AA62" s="1123">
        <v>0.25019999999999998</v>
      </c>
    </row>
    <row r="63" spans="1:27" ht="12" customHeight="1">
      <c r="A63" s="1126" t="s">
        <v>1575</v>
      </c>
      <c r="B63" s="1125">
        <v>337</v>
      </c>
      <c r="C63" s="1123">
        <v>-2.0000000000000001E-4</v>
      </c>
      <c r="D63" s="1123">
        <v>6.5799999999999997E-2</v>
      </c>
      <c r="E63" s="1123">
        <v>8.3500000000000005E-2</v>
      </c>
      <c r="F63" s="1123">
        <v>0.2064</v>
      </c>
      <c r="G63" s="1124">
        <v>0.94</v>
      </c>
      <c r="H63" s="1124">
        <v>0.93</v>
      </c>
      <c r="I63" s="1123">
        <v>6.4199999999999993E-2</v>
      </c>
      <c r="J63" s="1123">
        <v>0.27410000000000001</v>
      </c>
      <c r="K63" s="1123">
        <v>4.0399999999999998E-2</v>
      </c>
      <c r="L63" s="1123">
        <v>0.2064</v>
      </c>
      <c r="M63" s="1123">
        <v>5.7099999999999998E-2</v>
      </c>
      <c r="N63" s="1124">
        <v>1.45</v>
      </c>
      <c r="O63" s="1124">
        <v>1.34</v>
      </c>
      <c r="P63" s="1124">
        <v>11.38</v>
      </c>
      <c r="Q63" s="1124">
        <v>19.54</v>
      </c>
      <c r="R63" s="1124">
        <v>1.43</v>
      </c>
      <c r="S63" s="1124">
        <v>40.22</v>
      </c>
      <c r="T63" s="1123">
        <v>0.107</v>
      </c>
      <c r="U63" s="1123">
        <v>3.0700000000000002E-2</v>
      </c>
      <c r="V63" s="1123">
        <v>2.9499999999999998E-2</v>
      </c>
      <c r="W63" s="1123">
        <v>0.38900000000000001</v>
      </c>
      <c r="X63" s="1123">
        <v>0.16259999999999999</v>
      </c>
      <c r="Y63" s="1123">
        <v>0.18779999999999999</v>
      </c>
      <c r="Z63" s="1123">
        <v>0.18779999999999999</v>
      </c>
      <c r="AA63" s="1123">
        <v>6.6500000000000004E-2</v>
      </c>
    </row>
    <row r="64" spans="1:27" ht="12" customHeight="1">
      <c r="A64" s="1126" t="s">
        <v>1574</v>
      </c>
      <c r="B64" s="1125">
        <v>812</v>
      </c>
      <c r="C64" s="1123">
        <v>8.09E-2</v>
      </c>
      <c r="D64" s="1123">
        <v>0.3125</v>
      </c>
      <c r="E64" s="1123">
        <v>3.4299999999999997E-2</v>
      </c>
      <c r="F64" s="1123">
        <v>5.8000000000000003E-2</v>
      </c>
      <c r="G64" s="1124">
        <v>0.77</v>
      </c>
      <c r="H64" s="1124">
        <v>1.07</v>
      </c>
      <c r="I64" s="1123">
        <v>7.1099999999999997E-2</v>
      </c>
      <c r="J64" s="1123">
        <v>0.2392</v>
      </c>
      <c r="K64" s="1123">
        <v>3.3799999999999997E-2</v>
      </c>
      <c r="L64" s="1123">
        <v>0.36359999999999998</v>
      </c>
      <c r="M64" s="1123">
        <v>5.4399999999999997E-2</v>
      </c>
      <c r="N64" s="1124">
        <v>0.12</v>
      </c>
      <c r="O64" s="1124">
        <v>13.48</v>
      </c>
      <c r="P64" s="1124">
        <v>26.15</v>
      </c>
      <c r="Q64" s="1124">
        <v>40.96</v>
      </c>
      <c r="R64" s="1124">
        <v>1.94</v>
      </c>
      <c r="S64" s="1124">
        <v>126.29</v>
      </c>
      <c r="T64" s="1123">
        <v>0.74619999999999997</v>
      </c>
      <c r="U64" s="1123">
        <v>8.6999999999999994E-2</v>
      </c>
      <c r="V64" s="1123">
        <v>0.1014</v>
      </c>
      <c r="W64" s="1123">
        <v>0.37209999999999999</v>
      </c>
      <c r="X64" s="1123">
        <v>6.8199999999999997E-2</v>
      </c>
      <c r="Y64" s="1123">
        <v>0.94920000000000004</v>
      </c>
      <c r="Z64" s="1123">
        <v>0.94920000000000004</v>
      </c>
      <c r="AA64" s="1123">
        <v>0.28920000000000001</v>
      </c>
    </row>
    <row r="65" spans="1:27" ht="12" customHeight="1">
      <c r="A65" s="1126" t="s">
        <v>1573</v>
      </c>
      <c r="B65" s="1125">
        <v>893</v>
      </c>
      <c r="C65" s="1123">
        <v>8.48E-2</v>
      </c>
      <c r="D65" s="1123">
        <v>0.14019999999999999</v>
      </c>
      <c r="E65" s="1123">
        <v>7.7799999999999994E-2</v>
      </c>
      <c r="F65" s="1123">
        <v>0.32919999999999999</v>
      </c>
      <c r="G65" s="1124">
        <v>0.52</v>
      </c>
      <c r="H65" s="1124">
        <v>1</v>
      </c>
      <c r="I65" s="1123">
        <v>6.7699999999999996E-2</v>
      </c>
      <c r="J65" s="1123">
        <v>0.2727</v>
      </c>
      <c r="K65" s="1123">
        <v>4.0399999999999998E-2</v>
      </c>
      <c r="L65" s="1123">
        <v>0.67230000000000001</v>
      </c>
      <c r="M65" s="1123">
        <v>4.2299999999999997E-2</v>
      </c>
      <c r="N65" s="1124">
        <v>0.67</v>
      </c>
      <c r="O65" s="1124">
        <v>1.44</v>
      </c>
      <c r="P65" s="1124">
        <v>8.94</v>
      </c>
      <c r="Q65" s="1124">
        <v>9.6999999999999993</v>
      </c>
      <c r="R65" s="1124">
        <v>0.52</v>
      </c>
      <c r="S65" s="1124">
        <v>68.13</v>
      </c>
      <c r="T65" s="1123">
        <v>1.8055000000000001</v>
      </c>
      <c r="U65" s="1123">
        <v>2.6800000000000001E-2</v>
      </c>
      <c r="V65" s="1123">
        <v>2.4400000000000002E-2</v>
      </c>
      <c r="W65" s="1123">
        <v>0.64790000000000003</v>
      </c>
      <c r="X65" s="1123">
        <v>0.11849999999999999</v>
      </c>
      <c r="Y65" s="1123">
        <v>0.59689999999999999</v>
      </c>
      <c r="Z65" s="1123">
        <v>0.59689999999999999</v>
      </c>
      <c r="AA65" s="1123">
        <v>0.14050000000000001</v>
      </c>
    </row>
    <row r="66" spans="1:27" ht="12" customHeight="1">
      <c r="A66" s="1126" t="s">
        <v>1572</v>
      </c>
      <c r="B66" s="1125">
        <v>344</v>
      </c>
      <c r="C66" s="1123">
        <v>7.2900000000000006E-2</v>
      </c>
      <c r="D66" s="1123">
        <v>0.15290000000000001</v>
      </c>
      <c r="E66" s="1123">
        <v>3.7699999999999997E-2</v>
      </c>
      <c r="F66" s="1123">
        <v>0.30270000000000002</v>
      </c>
      <c r="G66" s="1124">
        <v>0.61</v>
      </c>
      <c r="H66" s="1124">
        <v>1.03</v>
      </c>
      <c r="I66" s="1123">
        <v>6.93E-2</v>
      </c>
      <c r="J66" s="1123">
        <v>0.24610000000000001</v>
      </c>
      <c r="K66" s="1123">
        <v>3.3799999999999997E-2</v>
      </c>
      <c r="L66" s="1123">
        <v>0.53280000000000005</v>
      </c>
      <c r="M66" s="1123">
        <v>4.5699999999999998E-2</v>
      </c>
      <c r="N66" s="1124">
        <v>0.28999999999999998</v>
      </c>
      <c r="O66" s="1124">
        <v>3.24</v>
      </c>
      <c r="P66" s="1124">
        <v>12.65</v>
      </c>
      <c r="Q66" s="1124">
        <v>18.88</v>
      </c>
      <c r="R66" s="1124">
        <v>0.71</v>
      </c>
      <c r="S66" s="1124">
        <v>69.44</v>
      </c>
      <c r="T66" s="1123">
        <v>1.0398000000000001</v>
      </c>
      <c r="U66" s="1123">
        <v>7.5399999999999995E-2</v>
      </c>
      <c r="V66" s="1123">
        <v>6.83E-2</v>
      </c>
      <c r="W66" s="1123">
        <v>1.0430999999999999</v>
      </c>
      <c r="X66" s="1123">
        <v>3.8300000000000001E-2</v>
      </c>
      <c r="Y66" s="1123">
        <v>0.76580000000000004</v>
      </c>
      <c r="Z66" s="1123">
        <v>0.76580000000000004</v>
      </c>
      <c r="AA66" s="1123">
        <v>0.1517</v>
      </c>
    </row>
    <row r="67" spans="1:27" ht="12" customHeight="1">
      <c r="A67" s="1126" t="s">
        <v>1571</v>
      </c>
      <c r="B67" s="1125">
        <v>739</v>
      </c>
      <c r="C67" s="1123">
        <v>7.17E-2</v>
      </c>
      <c r="D67" s="1123">
        <v>0.18260000000000001</v>
      </c>
      <c r="E67" s="1123">
        <v>3.6700000000000003E-2</v>
      </c>
      <c r="F67" s="1123">
        <v>0.23619999999999999</v>
      </c>
      <c r="G67" s="1124">
        <v>0.63</v>
      </c>
      <c r="H67" s="1124">
        <v>0.9</v>
      </c>
      <c r="I67" s="1123">
        <v>6.2300000000000001E-2</v>
      </c>
      <c r="J67" s="1123">
        <v>0.26340000000000002</v>
      </c>
      <c r="K67" s="1123">
        <v>4.0399999999999998E-2</v>
      </c>
      <c r="L67" s="1123">
        <v>0.42199999999999999</v>
      </c>
      <c r="M67" s="1123">
        <v>4.8599999999999997E-2</v>
      </c>
      <c r="N67" s="1124">
        <v>0.24</v>
      </c>
      <c r="O67" s="1124">
        <v>5.67</v>
      </c>
      <c r="P67" s="1124">
        <v>21.61</v>
      </c>
      <c r="Q67" s="1124">
        <v>30.08</v>
      </c>
      <c r="R67" s="1124">
        <v>1.17</v>
      </c>
      <c r="S67" s="1124">
        <v>33.159999999999997</v>
      </c>
      <c r="T67" s="1123">
        <v>0.26769999999999999</v>
      </c>
      <c r="U67" s="1123">
        <v>3.3000000000000002E-2</v>
      </c>
      <c r="V67" s="1123">
        <v>7.1599999999999997E-2</v>
      </c>
      <c r="W67" s="1123">
        <v>1.0969</v>
      </c>
      <c r="X67" s="1123">
        <v>7.3300000000000004E-2</v>
      </c>
      <c r="Y67" s="1123">
        <v>0.32100000000000001</v>
      </c>
      <c r="Z67" s="1123">
        <v>0.32100000000000001</v>
      </c>
      <c r="AA67" s="1123">
        <v>0.18</v>
      </c>
    </row>
    <row r="68" spans="1:27" ht="12" customHeight="1">
      <c r="A68" s="1126" t="s">
        <v>1570</v>
      </c>
      <c r="B68" s="1125">
        <v>324</v>
      </c>
      <c r="C68" s="1123">
        <v>1.2999999999999999E-2</v>
      </c>
      <c r="D68" s="1123">
        <v>0.1048</v>
      </c>
      <c r="E68" s="1123">
        <v>0.10100000000000001</v>
      </c>
      <c r="F68" s="1123">
        <v>0.22620000000000001</v>
      </c>
      <c r="G68" s="1124">
        <v>1.02</v>
      </c>
      <c r="H68" s="1124">
        <v>1.1000000000000001</v>
      </c>
      <c r="I68" s="1123">
        <v>7.3099999999999998E-2</v>
      </c>
      <c r="J68" s="1123">
        <v>0.31769999999999998</v>
      </c>
      <c r="K68" s="1123">
        <v>4.0399999999999998E-2</v>
      </c>
      <c r="L68" s="1123">
        <v>0.19789999999999999</v>
      </c>
      <c r="M68" s="1123">
        <v>6.4500000000000002E-2</v>
      </c>
      <c r="N68" s="1124">
        <v>1.1100000000000001</v>
      </c>
      <c r="O68" s="1124">
        <v>2.88</v>
      </c>
      <c r="P68" s="1124">
        <v>15.38</v>
      </c>
      <c r="Q68" s="1124">
        <v>25.74</v>
      </c>
      <c r="R68" s="1124">
        <v>3.37</v>
      </c>
      <c r="S68" s="1124">
        <v>56.28</v>
      </c>
      <c r="T68" s="1123">
        <v>0.32800000000000001</v>
      </c>
      <c r="U68" s="1123">
        <v>5.6800000000000003E-2</v>
      </c>
      <c r="V68" s="1123">
        <v>3.2000000000000002E-3</v>
      </c>
      <c r="W68" s="1123">
        <v>0.25840000000000002</v>
      </c>
      <c r="X68" s="1123">
        <v>9.6100000000000005E-2</v>
      </c>
      <c r="Y68" s="1123">
        <v>0.59889999999999999</v>
      </c>
      <c r="Z68" s="1123">
        <v>0.59889999999999999</v>
      </c>
      <c r="AA68" s="1123">
        <v>0.1024</v>
      </c>
    </row>
    <row r="69" spans="1:27" ht="12" customHeight="1">
      <c r="A69" s="1126" t="s">
        <v>1569</v>
      </c>
      <c r="B69" s="1125">
        <v>38</v>
      </c>
      <c r="C69" s="1123">
        <v>6.4799999999999996E-2</v>
      </c>
      <c r="D69" s="1123">
        <v>6.0299999999999999E-2</v>
      </c>
      <c r="E69" s="1123">
        <v>8.8900000000000007E-2</v>
      </c>
      <c r="F69" s="1123">
        <v>0.1792</v>
      </c>
      <c r="G69" s="1124">
        <v>1.44</v>
      </c>
      <c r="H69" s="1124">
        <v>1.48</v>
      </c>
      <c r="I69" s="1123">
        <v>9.2999999999999999E-2</v>
      </c>
      <c r="J69" s="1123">
        <v>0.245</v>
      </c>
      <c r="K69" s="1123">
        <v>3.3799999999999997E-2</v>
      </c>
      <c r="L69" s="1123">
        <v>0.24410000000000001</v>
      </c>
      <c r="M69" s="1123">
        <v>7.6399999999999996E-2</v>
      </c>
      <c r="N69" s="1124">
        <v>1.67</v>
      </c>
      <c r="O69" s="1124">
        <v>0.65</v>
      </c>
      <c r="P69" s="1124">
        <v>10.02</v>
      </c>
      <c r="Q69" s="1124">
        <v>10.19</v>
      </c>
      <c r="R69" s="1124">
        <v>0.94</v>
      </c>
      <c r="S69" s="1124">
        <v>108.66</v>
      </c>
      <c r="T69" s="1123">
        <v>-0.43369999999999997</v>
      </c>
      <c r="U69" s="1123">
        <v>1.4E-3</v>
      </c>
      <c r="V69" s="1123">
        <v>8.3999999999999995E-3</v>
      </c>
      <c r="W69" s="1123">
        <v>0.4027</v>
      </c>
      <c r="X69" s="1123">
        <v>7.3200000000000001E-2</v>
      </c>
      <c r="Y69" s="1123">
        <v>0.47510000000000002</v>
      </c>
      <c r="Z69" s="1123">
        <v>0.47510000000000002</v>
      </c>
      <c r="AA69" s="1123">
        <v>6.0199999999999997E-2</v>
      </c>
    </row>
    <row r="70" spans="1:27" ht="12" customHeight="1">
      <c r="A70" s="1126" t="s">
        <v>1568</v>
      </c>
      <c r="B70" s="1125">
        <v>385</v>
      </c>
      <c r="C70" s="1123">
        <v>-2.1299999999999999E-2</v>
      </c>
      <c r="D70" s="1123">
        <v>9.7000000000000003E-2</v>
      </c>
      <c r="E70" s="1123">
        <v>9.8199999999999996E-2</v>
      </c>
      <c r="F70" s="1123">
        <v>0.18</v>
      </c>
      <c r="G70" s="1124">
        <v>1.01</v>
      </c>
      <c r="H70" s="1124">
        <v>1.19</v>
      </c>
      <c r="I70" s="1123">
        <v>7.7799999999999994E-2</v>
      </c>
      <c r="J70" s="1123">
        <v>0.29149999999999998</v>
      </c>
      <c r="K70" s="1123">
        <v>4.0399999999999998E-2</v>
      </c>
      <c r="L70" s="1123">
        <v>0.2412</v>
      </c>
      <c r="M70" s="1123">
        <v>6.6199999999999995E-2</v>
      </c>
      <c r="N70" s="1124">
        <v>1.41</v>
      </c>
      <c r="O70" s="1124">
        <v>3.44</v>
      </c>
      <c r="P70" s="1124">
        <v>18.5</v>
      </c>
      <c r="Q70" s="1124">
        <v>41.98</v>
      </c>
      <c r="R70" s="1124">
        <v>13.5</v>
      </c>
      <c r="S70" s="1124">
        <v>99.53</v>
      </c>
      <c r="T70" s="1123">
        <v>-1.11E-2</v>
      </c>
      <c r="U70" s="1123">
        <v>4.41E-2</v>
      </c>
      <c r="V70" s="1123">
        <v>1.6999999999999999E-3</v>
      </c>
      <c r="W70" s="1123">
        <v>1.7100000000000001E-2</v>
      </c>
      <c r="X70" s="1123">
        <v>0.45900000000000002</v>
      </c>
      <c r="Y70" s="1123">
        <v>0.61280000000000001</v>
      </c>
      <c r="Z70" s="1123">
        <v>0.61280000000000001</v>
      </c>
      <c r="AA70" s="1123">
        <v>7.7899999999999997E-2</v>
      </c>
    </row>
    <row r="71" spans="1:27" ht="12" customHeight="1">
      <c r="A71" s="1126" t="s">
        <v>1567</v>
      </c>
      <c r="B71" s="1125">
        <v>196</v>
      </c>
      <c r="C71" s="1123">
        <v>6.13E-2</v>
      </c>
      <c r="D71" s="1123">
        <v>5.3600000000000002E-2</v>
      </c>
      <c r="E71" s="1123">
        <v>0.1255</v>
      </c>
      <c r="F71" s="1123">
        <v>0.23330000000000001</v>
      </c>
      <c r="G71" s="1124">
        <v>0.89</v>
      </c>
      <c r="H71" s="1124">
        <v>1.1000000000000001</v>
      </c>
      <c r="I71" s="1123">
        <v>7.2800000000000004E-2</v>
      </c>
      <c r="J71" s="1123">
        <v>0.29699999999999999</v>
      </c>
      <c r="K71" s="1123">
        <v>4.0399999999999998E-2</v>
      </c>
      <c r="L71" s="1123">
        <v>0.29470000000000002</v>
      </c>
      <c r="M71" s="1123">
        <v>6.0100000000000001E-2</v>
      </c>
      <c r="N71" s="1124">
        <v>3.1</v>
      </c>
      <c r="O71" s="1124">
        <v>0.86</v>
      </c>
      <c r="P71" s="1124">
        <v>11.04</v>
      </c>
      <c r="Q71" s="1124">
        <v>16.63</v>
      </c>
      <c r="R71" s="1124">
        <v>3.64</v>
      </c>
      <c r="S71" s="1124">
        <v>30.86</v>
      </c>
      <c r="T71" s="1123">
        <v>9.2399999999999996E-2</v>
      </c>
      <c r="U71" s="1123">
        <v>1.9E-2</v>
      </c>
      <c r="V71" s="1123">
        <v>2.12E-2</v>
      </c>
      <c r="W71" s="1123">
        <v>0.61</v>
      </c>
      <c r="X71" s="1123">
        <v>0.24490000000000001</v>
      </c>
      <c r="Y71" s="1123">
        <v>0.25740000000000002</v>
      </c>
      <c r="Z71" s="1123">
        <v>0.25740000000000002</v>
      </c>
      <c r="AA71" s="1123">
        <v>5.0200000000000002E-2</v>
      </c>
    </row>
    <row r="72" spans="1:27" ht="12" customHeight="1">
      <c r="A72" s="1126" t="s">
        <v>1566</v>
      </c>
      <c r="B72" s="1125">
        <v>98</v>
      </c>
      <c r="C72" s="1123">
        <v>5.1900000000000002E-2</v>
      </c>
      <c r="D72" s="1123">
        <v>0.12870000000000001</v>
      </c>
      <c r="E72" s="1123">
        <v>0.3397</v>
      </c>
      <c r="F72" s="1123">
        <v>0.24110000000000001</v>
      </c>
      <c r="G72" s="1124">
        <v>1.1100000000000001</v>
      </c>
      <c r="H72" s="1124">
        <v>1.2</v>
      </c>
      <c r="I72" s="1123">
        <v>7.8200000000000006E-2</v>
      </c>
      <c r="J72" s="1123">
        <v>0.28839999999999999</v>
      </c>
      <c r="K72" s="1123">
        <v>4.0399999999999998E-2</v>
      </c>
      <c r="L72" s="1123">
        <v>0.13869999999999999</v>
      </c>
      <c r="M72" s="1123">
        <v>7.1499999999999994E-2</v>
      </c>
      <c r="N72" s="1124">
        <v>3.35</v>
      </c>
      <c r="O72" s="1124">
        <v>2.23</v>
      </c>
      <c r="P72" s="1124">
        <v>14.04</v>
      </c>
      <c r="Q72" s="1124">
        <v>17.649999999999999</v>
      </c>
      <c r="R72" s="1124">
        <v>15.55</v>
      </c>
      <c r="S72" s="1124">
        <v>26.99</v>
      </c>
      <c r="T72" s="1123">
        <v>7.1800000000000003E-2</v>
      </c>
      <c r="U72" s="1123">
        <v>2.1499999999999998E-2</v>
      </c>
      <c r="V72" s="1123">
        <v>2.4400000000000002E-2</v>
      </c>
      <c r="W72" s="1123">
        <v>0.49559999999999998</v>
      </c>
      <c r="X72" s="1123">
        <v>0.64970000000000006</v>
      </c>
      <c r="Y72" s="1123">
        <v>0.32590000000000002</v>
      </c>
      <c r="Z72" s="1123">
        <v>0.32590000000000002</v>
      </c>
      <c r="AA72" s="1123">
        <v>0.12659999999999999</v>
      </c>
    </row>
    <row r="73" spans="1:27" ht="12" customHeight="1">
      <c r="A73" s="1126" t="s">
        <v>1565</v>
      </c>
      <c r="B73" s="1125">
        <v>1002</v>
      </c>
      <c r="C73" s="1123">
        <v>8.1900000000000001E-2</v>
      </c>
      <c r="D73" s="1123">
        <v>4.2900000000000001E-2</v>
      </c>
      <c r="E73" s="1123">
        <v>7.3499999999999996E-2</v>
      </c>
      <c r="F73" s="1123">
        <v>0.2379</v>
      </c>
      <c r="G73" s="1124">
        <v>0.65</v>
      </c>
      <c r="H73" s="1124">
        <v>0.87</v>
      </c>
      <c r="I73" s="1123">
        <v>6.0900000000000003E-2</v>
      </c>
      <c r="J73" s="1123">
        <v>0.29680000000000001</v>
      </c>
      <c r="K73" s="1123">
        <v>4.0399999999999998E-2</v>
      </c>
      <c r="L73" s="1123">
        <v>0.39200000000000002</v>
      </c>
      <c r="M73" s="1123">
        <v>4.87E-2</v>
      </c>
      <c r="N73" s="1124">
        <v>2.0299999999999998</v>
      </c>
      <c r="O73" s="1124">
        <v>0.81</v>
      </c>
      <c r="P73" s="1124">
        <v>13.15</v>
      </c>
      <c r="Q73" s="1124">
        <v>18.37</v>
      </c>
      <c r="R73" s="1124">
        <v>1.72</v>
      </c>
      <c r="S73" s="1124">
        <v>137.26</v>
      </c>
      <c r="T73" s="1123">
        <v>0.15659999999999999</v>
      </c>
      <c r="U73" s="1123">
        <v>2.86E-2</v>
      </c>
      <c r="V73" s="1123">
        <v>2.3800000000000002E-2</v>
      </c>
      <c r="W73" s="1123">
        <v>1.095</v>
      </c>
      <c r="X73" s="1123">
        <v>0.12640000000000001</v>
      </c>
      <c r="Y73" s="1123">
        <v>0.37290000000000001</v>
      </c>
      <c r="Z73" s="1123">
        <v>0.37290000000000001</v>
      </c>
      <c r="AA73" s="1123">
        <v>4.3200000000000002E-2</v>
      </c>
    </row>
    <row r="74" spans="1:27" ht="12" customHeight="1">
      <c r="A74" s="1126" t="s">
        <v>1564</v>
      </c>
      <c r="B74" s="1125">
        <v>204</v>
      </c>
      <c r="C74" s="1123">
        <v>-2.4500000000000001E-2</v>
      </c>
      <c r="D74" s="1123">
        <v>5.3600000000000002E-2</v>
      </c>
      <c r="E74" s="1123">
        <v>0.1201</v>
      </c>
      <c r="F74" s="1123">
        <v>0.28050000000000003</v>
      </c>
      <c r="G74" s="1124">
        <v>0.87</v>
      </c>
      <c r="H74" s="1124">
        <v>1.02</v>
      </c>
      <c r="I74" s="1123">
        <v>6.8699999999999997E-2</v>
      </c>
      <c r="J74" s="1123">
        <v>0.247</v>
      </c>
      <c r="K74" s="1123">
        <v>3.3799999999999997E-2</v>
      </c>
      <c r="L74" s="1123">
        <v>0.25059999999999999</v>
      </c>
      <c r="M74" s="1123">
        <v>5.7700000000000001E-2</v>
      </c>
      <c r="N74" s="1124">
        <v>2.95</v>
      </c>
      <c r="O74" s="1124">
        <v>0.98</v>
      </c>
      <c r="P74" s="1124">
        <v>11.64</v>
      </c>
      <c r="Q74" s="1124">
        <v>19.38</v>
      </c>
      <c r="R74" s="1124">
        <v>3.49</v>
      </c>
      <c r="S74" s="1124">
        <v>52.21</v>
      </c>
      <c r="T74" s="1123">
        <v>-1.24E-2</v>
      </c>
      <c r="U74" s="1123">
        <v>2.6100000000000002E-2</v>
      </c>
      <c r="V74" s="1123">
        <v>3.8E-3</v>
      </c>
      <c r="W74" s="1123">
        <v>0.20780000000000001</v>
      </c>
      <c r="X74" s="1123">
        <v>0.129</v>
      </c>
      <c r="Y74" s="1123">
        <v>0.41570000000000001</v>
      </c>
      <c r="Z74" s="1123">
        <v>0.41570000000000001</v>
      </c>
      <c r="AA74" s="1123">
        <v>5.0299999999999997E-2</v>
      </c>
    </row>
    <row r="75" spans="1:27" ht="12" customHeight="1">
      <c r="A75" s="1126" t="s">
        <v>1563</v>
      </c>
      <c r="B75" s="1125">
        <v>184</v>
      </c>
      <c r="C75" s="1123">
        <v>3.5999999999999997E-2</v>
      </c>
      <c r="D75" s="1123">
        <v>4.3099999999999999E-2</v>
      </c>
      <c r="E75" s="1123">
        <v>0.1086</v>
      </c>
      <c r="F75" s="1123">
        <v>0.2392</v>
      </c>
      <c r="G75" s="1124">
        <v>0.53</v>
      </c>
      <c r="H75" s="1124">
        <v>0.69</v>
      </c>
      <c r="I75" s="1123">
        <v>5.1299999999999998E-2</v>
      </c>
      <c r="J75" s="1123">
        <v>0.22689999999999999</v>
      </c>
      <c r="K75" s="1123">
        <v>3.3799999999999997E-2</v>
      </c>
      <c r="L75" s="1123">
        <v>0.34860000000000002</v>
      </c>
      <c r="M75" s="1123">
        <v>4.2200000000000001E-2</v>
      </c>
      <c r="N75" s="1124">
        <v>3.28</v>
      </c>
      <c r="O75" s="1124">
        <v>0.72</v>
      </c>
      <c r="P75" s="1124">
        <v>10.51</v>
      </c>
      <c r="Q75" s="1124">
        <v>17.39</v>
      </c>
      <c r="R75" s="1124">
        <v>2.6</v>
      </c>
      <c r="S75" s="1124">
        <v>33.369999999999997</v>
      </c>
      <c r="T75" s="1123">
        <v>-0.04</v>
      </c>
      <c r="U75" s="1123">
        <v>2.75E-2</v>
      </c>
      <c r="V75" s="1123">
        <v>2.5899999999999999E-2</v>
      </c>
      <c r="W75" s="1123">
        <v>0.87829999999999997</v>
      </c>
      <c r="X75" s="1123">
        <v>0.16070000000000001</v>
      </c>
      <c r="Y75" s="1123">
        <v>0.36049999999999999</v>
      </c>
      <c r="Z75" s="1123">
        <v>0.36049999999999999</v>
      </c>
      <c r="AA75" s="1123">
        <v>4.1500000000000002E-2</v>
      </c>
    </row>
    <row r="76" spans="1:27" ht="12" customHeight="1">
      <c r="A76" s="1126" t="s">
        <v>1562</v>
      </c>
      <c r="B76" s="1125">
        <v>353</v>
      </c>
      <c r="C76" s="1123">
        <v>0.1406</v>
      </c>
      <c r="D76" s="1123">
        <v>3.1300000000000001E-2</v>
      </c>
      <c r="E76" s="1123">
        <v>6.59E-2</v>
      </c>
      <c r="F76" s="1123">
        <v>8.9700000000000002E-2</v>
      </c>
      <c r="G76" s="1124">
        <v>1.4</v>
      </c>
      <c r="H76" s="1124">
        <v>1.43</v>
      </c>
      <c r="I76" s="1123">
        <v>9.0399999999999994E-2</v>
      </c>
      <c r="J76" s="1123">
        <v>0.439</v>
      </c>
      <c r="K76" s="1123">
        <v>4.4600000000000001E-2</v>
      </c>
      <c r="L76" s="1123">
        <v>8.5099999999999995E-2</v>
      </c>
      <c r="M76" s="1123">
        <v>8.5500000000000007E-2</v>
      </c>
      <c r="N76" s="1124">
        <v>1.71</v>
      </c>
      <c r="O76" s="1124">
        <v>3.96</v>
      </c>
      <c r="P76" s="1124">
        <v>26.55</v>
      </c>
      <c r="Q76" s="1124">
        <v>106.24</v>
      </c>
      <c r="R76" s="1124">
        <v>7.69</v>
      </c>
      <c r="S76" s="1124">
        <v>84.92</v>
      </c>
      <c r="T76" s="1123">
        <v>-5.8500000000000003E-2</v>
      </c>
      <c r="U76" s="1123">
        <v>8.9700000000000002E-2</v>
      </c>
      <c r="V76" s="1123">
        <v>7.9899999999999999E-2</v>
      </c>
      <c r="W76" s="1123">
        <v>5.4318999999999997</v>
      </c>
      <c r="X76" s="1123">
        <v>0.26679999999999998</v>
      </c>
      <c r="Y76" s="1123">
        <v>3.2500000000000001E-2</v>
      </c>
      <c r="Z76" s="1123">
        <v>3.2500000000000001E-2</v>
      </c>
      <c r="AA76" s="1123">
        <v>4.1500000000000002E-2</v>
      </c>
    </row>
    <row r="77" spans="1:27" ht="12" customHeight="1">
      <c r="A77" s="1126" t="s">
        <v>1561</v>
      </c>
      <c r="B77" s="1125">
        <v>479</v>
      </c>
      <c r="C77" s="1123">
        <v>1.26E-2</v>
      </c>
      <c r="D77" s="1123">
        <v>6.13E-2</v>
      </c>
      <c r="E77" s="1123">
        <v>0.1328</v>
      </c>
      <c r="F77" s="1123">
        <v>0.2487</v>
      </c>
      <c r="G77" s="1124">
        <v>1.0900000000000001</v>
      </c>
      <c r="H77" s="1124">
        <v>1.21</v>
      </c>
      <c r="I77" s="1123">
        <v>7.8600000000000003E-2</v>
      </c>
      <c r="J77" s="1123">
        <v>0.31640000000000001</v>
      </c>
      <c r="K77" s="1123">
        <v>4.0399999999999998E-2</v>
      </c>
      <c r="L77" s="1123">
        <v>0.22789999999999999</v>
      </c>
      <c r="M77" s="1123">
        <v>6.7500000000000004E-2</v>
      </c>
      <c r="N77" s="1124">
        <v>2.6</v>
      </c>
      <c r="O77" s="1124">
        <v>1.2</v>
      </c>
      <c r="P77" s="1124">
        <v>10.53</v>
      </c>
      <c r="Q77" s="1124">
        <v>18.57</v>
      </c>
      <c r="R77" s="1124">
        <v>3.75</v>
      </c>
      <c r="S77" s="1124">
        <v>36.53</v>
      </c>
      <c r="T77" s="1123">
        <v>6.25E-2</v>
      </c>
      <c r="U77" s="1123">
        <v>1.7399999999999999E-2</v>
      </c>
      <c r="V77" s="1123">
        <v>5.0000000000000001E-4</v>
      </c>
      <c r="W77" s="1123">
        <v>0.2092</v>
      </c>
      <c r="X77" s="1123">
        <v>0.15790000000000001</v>
      </c>
      <c r="Y77" s="1123">
        <v>0.32440000000000002</v>
      </c>
      <c r="Z77" s="1123">
        <v>0.32440000000000002</v>
      </c>
      <c r="AA77" s="1123">
        <v>6.1400000000000003E-2</v>
      </c>
    </row>
    <row r="78" spans="1:27" ht="12" customHeight="1">
      <c r="A78" s="1126" t="s">
        <v>1560</v>
      </c>
      <c r="B78" s="1125">
        <v>90</v>
      </c>
      <c r="C78" s="1123">
        <v>4.1099999999999998E-2</v>
      </c>
      <c r="D78" s="1123">
        <v>0.1024</v>
      </c>
      <c r="E78" s="1123">
        <v>0.1012</v>
      </c>
      <c r="F78" s="1123">
        <v>0.2235</v>
      </c>
      <c r="G78" s="1124">
        <v>1.1000000000000001</v>
      </c>
      <c r="H78" s="1124">
        <v>1.26</v>
      </c>
      <c r="I78" s="1123">
        <v>8.1299999999999997E-2</v>
      </c>
      <c r="J78" s="1123">
        <v>0.25580000000000003</v>
      </c>
      <c r="K78" s="1123">
        <v>4.0399999999999998E-2</v>
      </c>
      <c r="L78" s="1123">
        <v>0.28120000000000001</v>
      </c>
      <c r="M78" s="1123">
        <v>6.6799999999999998E-2</v>
      </c>
      <c r="N78" s="1124">
        <v>1.1599999999999999</v>
      </c>
      <c r="O78" s="1124">
        <v>1.22</v>
      </c>
      <c r="P78" s="1124">
        <v>7.09</v>
      </c>
      <c r="Q78" s="1124">
        <v>11.7</v>
      </c>
      <c r="R78" s="1124">
        <v>1.46</v>
      </c>
      <c r="S78" s="1124">
        <v>63.25</v>
      </c>
      <c r="T78" s="1123">
        <v>0.20810000000000001</v>
      </c>
      <c r="U78" s="1123">
        <v>5.7500000000000002E-2</v>
      </c>
      <c r="V78" s="1123">
        <v>2.92E-2</v>
      </c>
      <c r="W78" s="1123">
        <v>0.60509999999999997</v>
      </c>
      <c r="X78" s="1123">
        <v>0.13250000000000001</v>
      </c>
      <c r="Y78" s="1123">
        <v>0.31540000000000001</v>
      </c>
      <c r="Z78" s="1123">
        <v>0.31540000000000001</v>
      </c>
      <c r="AA78" s="1123">
        <v>0.1043</v>
      </c>
    </row>
    <row r="79" spans="1:27" ht="12" customHeight="1">
      <c r="A79" s="1126" t="s">
        <v>1559</v>
      </c>
      <c r="B79" s="1125">
        <v>581</v>
      </c>
      <c r="C79" s="1123">
        <v>8.1500000000000003E-2</v>
      </c>
      <c r="D79" s="1123">
        <v>0.22020000000000001</v>
      </c>
      <c r="E79" s="1123">
        <v>0.18659999999999999</v>
      </c>
      <c r="F79" s="1123">
        <v>0.11600000000000001</v>
      </c>
      <c r="G79" s="1124">
        <v>1.55</v>
      </c>
      <c r="H79" s="1124">
        <v>1.57</v>
      </c>
      <c r="I79" s="1123">
        <v>9.7500000000000003E-2</v>
      </c>
      <c r="J79" s="1123">
        <v>0.34360000000000002</v>
      </c>
      <c r="K79" s="1123">
        <v>4.0399999999999998E-2</v>
      </c>
      <c r="L79" s="1123">
        <v>6.6600000000000006E-2</v>
      </c>
      <c r="M79" s="1123">
        <v>9.2999999999999999E-2</v>
      </c>
      <c r="N79" s="1124">
        <v>0.88</v>
      </c>
      <c r="O79" s="1124">
        <v>6.58</v>
      </c>
      <c r="P79" s="1124">
        <v>18.66</v>
      </c>
      <c r="Q79" s="1124">
        <v>29.4</v>
      </c>
      <c r="R79" s="1124">
        <v>5.99</v>
      </c>
      <c r="S79" s="1124">
        <v>139.05000000000001</v>
      </c>
      <c r="T79" s="1123">
        <v>0.15310000000000001</v>
      </c>
      <c r="U79" s="1123">
        <v>0.1628</v>
      </c>
      <c r="V79" s="1123">
        <v>9.4799999999999995E-2</v>
      </c>
      <c r="W79" s="1123">
        <v>0.62749999999999995</v>
      </c>
      <c r="X79" s="1123">
        <v>0.2475</v>
      </c>
      <c r="Y79" s="1123">
        <v>0.31309999999999999</v>
      </c>
      <c r="Z79" s="1123">
        <v>0.31309999999999999</v>
      </c>
      <c r="AA79" s="1123">
        <v>0.2344</v>
      </c>
    </row>
    <row r="80" spans="1:27" ht="12" customHeight="1">
      <c r="A80" s="1126" t="s">
        <v>1558</v>
      </c>
      <c r="B80" s="1125">
        <v>324</v>
      </c>
      <c r="C80" s="1123">
        <v>0.1182</v>
      </c>
      <c r="D80" s="1123">
        <v>0.23269999999999999</v>
      </c>
      <c r="E80" s="1123">
        <v>0.25119999999999998</v>
      </c>
      <c r="F80" s="1123">
        <v>0.14499999999999999</v>
      </c>
      <c r="G80" s="1124">
        <v>1.93</v>
      </c>
      <c r="H80" s="1124">
        <v>1.91</v>
      </c>
      <c r="I80" s="1123">
        <v>0.1158</v>
      </c>
      <c r="J80" s="1123">
        <v>0.33069999999999999</v>
      </c>
      <c r="K80" s="1123">
        <v>4.0399999999999998E-2</v>
      </c>
      <c r="L80" s="1123">
        <v>3.9300000000000002E-2</v>
      </c>
      <c r="M80" s="1123">
        <v>0.1124</v>
      </c>
      <c r="N80" s="1124">
        <v>1.2</v>
      </c>
      <c r="O80" s="1124">
        <v>6.81</v>
      </c>
      <c r="P80" s="1124">
        <v>24.39</v>
      </c>
      <c r="Q80" s="1124">
        <v>28.97</v>
      </c>
      <c r="R80" s="1124">
        <v>8.58</v>
      </c>
      <c r="S80" s="1124">
        <v>46.5</v>
      </c>
      <c r="T80" s="1123">
        <v>0.27050000000000002</v>
      </c>
      <c r="U80" s="1123">
        <v>6.4600000000000005E-2</v>
      </c>
      <c r="V80" s="1123">
        <v>5.0500000000000003E-2</v>
      </c>
      <c r="W80" s="1123">
        <v>0.49120000000000003</v>
      </c>
      <c r="X80" s="1123">
        <v>0.3034</v>
      </c>
      <c r="Y80" s="1123">
        <v>0.21740000000000001</v>
      </c>
      <c r="Z80" s="1123">
        <v>0.21740000000000001</v>
      </c>
      <c r="AA80" s="1123">
        <v>0.24060000000000001</v>
      </c>
    </row>
    <row r="81" spans="1:27" ht="12" customHeight="1">
      <c r="A81" s="1126" t="s">
        <v>1557</v>
      </c>
      <c r="B81" s="1125">
        <v>348</v>
      </c>
      <c r="C81" s="1123">
        <v>6.4899999999999999E-2</v>
      </c>
      <c r="D81" s="1123">
        <v>0.23519999999999999</v>
      </c>
      <c r="E81" s="1123">
        <v>0.19980000000000001</v>
      </c>
      <c r="F81" s="1123">
        <v>0.1023</v>
      </c>
      <c r="G81" s="1124">
        <v>0.99</v>
      </c>
      <c r="H81" s="1124">
        <v>1.1200000000000001</v>
      </c>
      <c r="I81" s="1123">
        <v>7.4200000000000002E-2</v>
      </c>
      <c r="J81" s="1123">
        <v>0.28899999999999998</v>
      </c>
      <c r="K81" s="1123">
        <v>4.0399999999999998E-2</v>
      </c>
      <c r="L81" s="1123">
        <v>0.29120000000000001</v>
      </c>
      <c r="M81" s="1123">
        <v>6.13E-2</v>
      </c>
      <c r="N81" s="1124">
        <v>0.95</v>
      </c>
      <c r="O81" s="1124">
        <v>1.85</v>
      </c>
      <c r="P81" s="1124">
        <v>6.14</v>
      </c>
      <c r="Q81" s="1124">
        <v>7.67</v>
      </c>
      <c r="R81" s="1124">
        <v>1.53</v>
      </c>
      <c r="S81" s="1124">
        <v>23.69</v>
      </c>
      <c r="T81" s="1123">
        <v>1.0200000000000001E-2</v>
      </c>
      <c r="U81" s="1123">
        <v>8.2000000000000003E-2</v>
      </c>
      <c r="V81" s="1123">
        <v>3.9899999999999998E-2</v>
      </c>
      <c r="W81" s="1123">
        <v>0.2248</v>
      </c>
      <c r="X81" s="1123">
        <v>0.3538</v>
      </c>
      <c r="Y81" s="1123">
        <v>0.14030000000000001</v>
      </c>
      <c r="Z81" s="1123">
        <v>0.14030000000000001</v>
      </c>
      <c r="AA81" s="1123">
        <v>0.23730000000000001</v>
      </c>
    </row>
    <row r="82" spans="1:27" ht="12" customHeight="1">
      <c r="A82" s="1126" t="s">
        <v>1556</v>
      </c>
      <c r="B82" s="1125">
        <v>84</v>
      </c>
      <c r="C82" s="1123">
        <v>-3.1600000000000003E-2</v>
      </c>
      <c r="D82" s="1123">
        <v>0.11849999999999999</v>
      </c>
      <c r="E82" s="1123">
        <v>0.20050000000000001</v>
      </c>
      <c r="F82" s="1123">
        <v>0.1731</v>
      </c>
      <c r="G82" s="1124">
        <v>1.1299999999999999</v>
      </c>
      <c r="H82" s="1124">
        <v>1.1399999999999999</v>
      </c>
      <c r="I82" s="1123">
        <v>7.4899999999999994E-2</v>
      </c>
      <c r="J82" s="1123">
        <v>0.3049</v>
      </c>
      <c r="K82" s="1123">
        <v>4.0399999999999998E-2</v>
      </c>
      <c r="L82" s="1123">
        <v>7.6100000000000001E-2</v>
      </c>
      <c r="M82" s="1123">
        <v>7.1499999999999994E-2</v>
      </c>
      <c r="N82" s="1124">
        <v>1.98</v>
      </c>
      <c r="O82" s="1124">
        <v>3.77</v>
      </c>
      <c r="P82" s="1124">
        <v>24.52</v>
      </c>
      <c r="Q82" s="1124">
        <v>31.56</v>
      </c>
      <c r="R82" s="1124">
        <v>7.58</v>
      </c>
      <c r="S82" s="1124">
        <v>65.09</v>
      </c>
      <c r="T82" s="1123">
        <v>0.18060000000000001</v>
      </c>
      <c r="U82" s="1123">
        <v>1.5699999999999999E-2</v>
      </c>
      <c r="V82" s="1123">
        <v>-1.4E-3</v>
      </c>
      <c r="W82" s="1123">
        <v>7.9500000000000001E-2</v>
      </c>
      <c r="X82" s="1123">
        <v>0.24510000000000001</v>
      </c>
      <c r="Y82" s="1123">
        <v>0.28470000000000001</v>
      </c>
      <c r="Z82" s="1123">
        <v>0.28470000000000001</v>
      </c>
      <c r="AA82" s="1123">
        <v>0.1177</v>
      </c>
    </row>
    <row r="83" spans="1:27" ht="12" customHeight="1">
      <c r="A83" s="1126" t="s">
        <v>1555</v>
      </c>
      <c r="B83" s="1125">
        <v>317</v>
      </c>
      <c r="C83" s="1123">
        <v>0.122</v>
      </c>
      <c r="D83" s="1123">
        <v>0.26900000000000002</v>
      </c>
      <c r="E83" s="1123">
        <v>0.21190000000000001</v>
      </c>
      <c r="F83" s="1123">
        <v>0.15559999999999999</v>
      </c>
      <c r="G83" s="1124">
        <v>1.28</v>
      </c>
      <c r="H83" s="1124">
        <v>1.28</v>
      </c>
      <c r="I83" s="1123">
        <v>8.2299999999999998E-2</v>
      </c>
      <c r="J83" s="1123">
        <v>0.41349999999999998</v>
      </c>
      <c r="K83" s="1123">
        <v>4.4600000000000001E-2</v>
      </c>
      <c r="L83" s="1123">
        <v>3.5200000000000002E-2</v>
      </c>
      <c r="M83" s="1123">
        <v>8.0600000000000005E-2</v>
      </c>
      <c r="N83" s="1124">
        <v>0.81</v>
      </c>
      <c r="O83" s="1124">
        <v>7.67</v>
      </c>
      <c r="P83" s="1124">
        <v>21</v>
      </c>
      <c r="Q83" s="1124">
        <v>27.77</v>
      </c>
      <c r="R83" s="1124">
        <v>6.03</v>
      </c>
      <c r="S83" s="1124">
        <v>57.37</v>
      </c>
      <c r="T83" s="1123">
        <v>2.07E-2</v>
      </c>
      <c r="U83" s="1123">
        <v>9.7500000000000003E-2</v>
      </c>
      <c r="V83" s="1123">
        <v>7.6899999999999996E-2</v>
      </c>
      <c r="W83" s="1123">
        <v>0.44290000000000002</v>
      </c>
      <c r="X83" s="1123">
        <v>0.31969999999999998</v>
      </c>
      <c r="Y83" s="1123">
        <v>2.58E-2</v>
      </c>
      <c r="Z83" s="1123">
        <v>2.58E-2</v>
      </c>
      <c r="AA83" s="1123">
        <v>0.28549999999999998</v>
      </c>
    </row>
    <row r="84" spans="1:27" ht="12" customHeight="1">
      <c r="A84" s="1126" t="s">
        <v>1554</v>
      </c>
      <c r="B84" s="1125">
        <v>151</v>
      </c>
      <c r="C84" s="1123">
        <v>0.2092</v>
      </c>
      <c r="D84" s="1123">
        <v>1.21E-2</v>
      </c>
      <c r="E84" s="1123">
        <v>3.7900000000000003E-2</v>
      </c>
      <c r="F84" s="1123">
        <v>0.1361</v>
      </c>
      <c r="G84" s="1124">
        <v>1.1100000000000001</v>
      </c>
      <c r="H84" s="1124">
        <v>1.1299999999999999</v>
      </c>
      <c r="I84" s="1123">
        <v>7.4499999999999997E-2</v>
      </c>
      <c r="J84" s="1123">
        <v>0.36630000000000001</v>
      </c>
      <c r="K84" s="1123">
        <v>4.0399999999999998E-2</v>
      </c>
      <c r="L84" s="1123">
        <v>6.3399999999999998E-2</v>
      </c>
      <c r="M84" s="1123">
        <v>7.17E-2</v>
      </c>
      <c r="N84" s="1124">
        <v>1.17</v>
      </c>
      <c r="O84" s="1124">
        <v>10.65</v>
      </c>
      <c r="P84" s="1124">
        <v>44.89</v>
      </c>
      <c r="Q84" s="1127" t="s">
        <v>1547</v>
      </c>
      <c r="R84" s="1124">
        <v>9.99</v>
      </c>
      <c r="S84" s="1124">
        <v>303.70999999999998</v>
      </c>
      <c r="T84" s="1123">
        <v>2.7300000000000001E-2</v>
      </c>
      <c r="U84" s="1123">
        <v>6.7599999999999993E-2</v>
      </c>
      <c r="V84" s="1123">
        <v>9.64E-2</v>
      </c>
      <c r="W84" s="1123">
        <v>40.046300000000002</v>
      </c>
      <c r="X84" s="1123">
        <v>4.2500000000000003E-2</v>
      </c>
      <c r="Y84" s="1123">
        <v>0.29680000000000001</v>
      </c>
      <c r="Z84" s="1123">
        <v>0.29680000000000001</v>
      </c>
      <c r="AA84" s="1123">
        <v>3.3500000000000002E-2</v>
      </c>
    </row>
    <row r="85" spans="1:27" ht="12" customHeight="1">
      <c r="A85" s="1126" t="s">
        <v>1553</v>
      </c>
      <c r="B85" s="1125">
        <v>1603</v>
      </c>
      <c r="C85" s="1123">
        <v>0.14580000000000001</v>
      </c>
      <c r="D85" s="1123">
        <v>0.20319999999999999</v>
      </c>
      <c r="E85" s="1123">
        <v>0.21379999999999999</v>
      </c>
      <c r="F85" s="1123">
        <v>0.1255</v>
      </c>
      <c r="G85" s="1124">
        <v>1.2</v>
      </c>
      <c r="H85" s="1124">
        <v>1.21</v>
      </c>
      <c r="I85" s="1123">
        <v>7.9000000000000001E-2</v>
      </c>
      <c r="J85" s="1123">
        <v>0.39589999999999997</v>
      </c>
      <c r="K85" s="1123">
        <v>4.0399999999999998E-2</v>
      </c>
      <c r="L85" s="1123">
        <v>5.4399999999999997E-2</v>
      </c>
      <c r="M85" s="1123">
        <v>7.6300000000000007E-2</v>
      </c>
      <c r="N85" s="1124">
        <v>1.04</v>
      </c>
      <c r="O85" s="1124">
        <v>11.1</v>
      </c>
      <c r="P85" s="1124">
        <v>33.07</v>
      </c>
      <c r="Q85" s="1124">
        <v>47.33</v>
      </c>
      <c r="R85" s="1124">
        <v>11.53</v>
      </c>
      <c r="S85" s="1124">
        <v>167</v>
      </c>
      <c r="T85" s="1123">
        <v>0.14080000000000001</v>
      </c>
      <c r="U85" s="1123">
        <v>6.0699999999999997E-2</v>
      </c>
      <c r="V85" s="1123">
        <v>0.1547</v>
      </c>
      <c r="W85" s="1123">
        <v>0.93669999999999998</v>
      </c>
      <c r="X85" s="1123">
        <v>0.20469999999999999</v>
      </c>
      <c r="Y85" s="1123">
        <v>0.35859999999999997</v>
      </c>
      <c r="Z85" s="1123">
        <v>0.35859999999999997</v>
      </c>
      <c r="AA85" s="1123">
        <v>0.22270000000000001</v>
      </c>
    </row>
    <row r="86" spans="1:27" ht="12" customHeight="1">
      <c r="A86" s="1126" t="s">
        <v>1552</v>
      </c>
      <c r="B86" s="1125">
        <v>709</v>
      </c>
      <c r="C86" s="1123">
        <v>0.12989999999999999</v>
      </c>
      <c r="D86" s="1123">
        <v>0.14979999999999999</v>
      </c>
      <c r="E86" s="1123">
        <v>0.20860000000000001</v>
      </c>
      <c r="F86" s="1123">
        <v>0.20449999999999999</v>
      </c>
      <c r="G86" s="1124">
        <v>1.07</v>
      </c>
      <c r="H86" s="1124">
        <v>1.25</v>
      </c>
      <c r="I86" s="1123">
        <v>8.1000000000000003E-2</v>
      </c>
      <c r="J86" s="1123">
        <v>0.31869999999999998</v>
      </c>
      <c r="K86" s="1123">
        <v>4.0399999999999998E-2</v>
      </c>
      <c r="L86" s="1123">
        <v>0.30819999999999997</v>
      </c>
      <c r="M86" s="1123">
        <v>6.5299999999999997E-2</v>
      </c>
      <c r="N86" s="1124">
        <v>1.62</v>
      </c>
      <c r="O86" s="1124">
        <v>0.8</v>
      </c>
      <c r="P86" s="1124">
        <v>4.12</v>
      </c>
      <c r="Q86" s="1124">
        <v>5.23</v>
      </c>
      <c r="R86" s="1124">
        <v>1.19</v>
      </c>
      <c r="S86" s="1124">
        <v>48.92</v>
      </c>
      <c r="T86" s="1123">
        <v>0.13669999999999999</v>
      </c>
      <c r="U86" s="1123">
        <v>4.9399999999999999E-2</v>
      </c>
      <c r="V86" s="1123">
        <v>3.1600000000000003E-2</v>
      </c>
      <c r="W86" s="1123">
        <v>0.4965</v>
      </c>
      <c r="X86" s="1123">
        <v>0.25569999999999998</v>
      </c>
      <c r="Y86" s="1123">
        <v>0.3029</v>
      </c>
      <c r="Z86" s="1123">
        <v>0.3029</v>
      </c>
      <c r="AA86" s="1123">
        <v>0.1517</v>
      </c>
    </row>
    <row r="87" spans="1:27" ht="12" customHeight="1">
      <c r="A87" s="1126" t="s">
        <v>1551</v>
      </c>
      <c r="B87" s="1125">
        <v>101</v>
      </c>
      <c r="C87" s="1123">
        <v>2.7000000000000001E-3</v>
      </c>
      <c r="D87" s="1123">
        <v>0.14050000000000001</v>
      </c>
      <c r="E87" s="1123">
        <v>8.8300000000000003E-2</v>
      </c>
      <c r="F87" s="1123">
        <v>0.29580000000000001</v>
      </c>
      <c r="G87" s="1124">
        <v>0.72</v>
      </c>
      <c r="H87" s="1124">
        <v>1</v>
      </c>
      <c r="I87" s="1123">
        <v>6.7799999999999999E-2</v>
      </c>
      <c r="J87" s="1123">
        <v>0.25119999999999998</v>
      </c>
      <c r="K87" s="1123">
        <v>4.0399999999999998E-2</v>
      </c>
      <c r="L87" s="1123">
        <v>0.42620000000000002</v>
      </c>
      <c r="M87" s="1123">
        <v>5.1700000000000003E-2</v>
      </c>
      <c r="N87" s="1124">
        <v>0.73</v>
      </c>
      <c r="O87" s="1124">
        <v>2.11</v>
      </c>
      <c r="P87" s="1124">
        <v>6.6</v>
      </c>
      <c r="Q87" s="1124">
        <v>15.17</v>
      </c>
      <c r="R87" s="1124">
        <v>1.35</v>
      </c>
      <c r="S87" s="1124">
        <v>27.22</v>
      </c>
      <c r="T87" s="1123">
        <v>-0.1244</v>
      </c>
      <c r="U87" s="1123">
        <v>0.1615</v>
      </c>
      <c r="V87" s="1123">
        <v>-4.8999999999999998E-3</v>
      </c>
      <c r="W87" s="1123">
        <v>-5.74E-2</v>
      </c>
      <c r="X87" s="1123">
        <v>0.1399</v>
      </c>
      <c r="Y87" s="1123">
        <v>0.39810000000000001</v>
      </c>
      <c r="Z87" s="1123">
        <v>0.39810000000000001</v>
      </c>
      <c r="AA87" s="1123">
        <v>0.1411</v>
      </c>
    </row>
    <row r="88" spans="1:27" ht="12" customHeight="1">
      <c r="A88" s="1126" t="s">
        <v>1550</v>
      </c>
      <c r="B88" s="1125">
        <v>465</v>
      </c>
      <c r="C88" s="1123">
        <v>3.44E-2</v>
      </c>
      <c r="D88" s="1123">
        <v>0.11210000000000001</v>
      </c>
      <c r="E88" s="1123">
        <v>0.1426</v>
      </c>
      <c r="F88" s="1123">
        <v>0.29820000000000002</v>
      </c>
      <c r="G88" s="1124">
        <v>1.17</v>
      </c>
      <c r="H88" s="1124">
        <v>1.17</v>
      </c>
      <c r="I88" s="1123">
        <v>7.6700000000000004E-2</v>
      </c>
      <c r="J88" s="1123">
        <v>0.32550000000000001</v>
      </c>
      <c r="K88" s="1123">
        <v>4.0399999999999998E-2</v>
      </c>
      <c r="L88" s="1123">
        <v>9.5699999999999993E-2</v>
      </c>
      <c r="M88" s="1123">
        <v>7.22E-2</v>
      </c>
      <c r="N88" s="1124">
        <v>1.28</v>
      </c>
      <c r="O88" s="1124">
        <v>2.92</v>
      </c>
      <c r="P88" s="1124">
        <v>17.37</v>
      </c>
      <c r="Q88" s="1124">
        <v>24.56</v>
      </c>
      <c r="R88" s="1124">
        <v>4.2300000000000004</v>
      </c>
      <c r="S88" s="1124">
        <v>87.03</v>
      </c>
      <c r="T88" s="1123">
        <v>0.2281</v>
      </c>
      <c r="U88" s="1123">
        <v>3.32E-2</v>
      </c>
      <c r="V88" s="1123">
        <v>5.5899999999999998E-2</v>
      </c>
      <c r="W88" s="1123">
        <v>0.85860000000000003</v>
      </c>
      <c r="X88" s="1123">
        <v>0.1137</v>
      </c>
      <c r="Y88" s="1123">
        <v>0.59370000000000001</v>
      </c>
      <c r="Z88" s="1123">
        <v>0.59370000000000001</v>
      </c>
      <c r="AA88" s="1123">
        <v>0.121</v>
      </c>
    </row>
    <row r="89" spans="1:27" ht="12" customHeight="1">
      <c r="A89" s="1126" t="s">
        <v>1549</v>
      </c>
      <c r="B89" s="1125">
        <v>296</v>
      </c>
      <c r="C89" s="1123">
        <v>8.1000000000000003E-2</v>
      </c>
      <c r="D89" s="1123">
        <v>0.1578</v>
      </c>
      <c r="E89" s="1123">
        <v>0.106</v>
      </c>
      <c r="F89" s="1123">
        <v>0.20730000000000001</v>
      </c>
      <c r="G89" s="1124">
        <v>0.57999999999999996</v>
      </c>
      <c r="H89" s="1124">
        <v>0.86</v>
      </c>
      <c r="I89" s="1123">
        <v>6.0100000000000001E-2</v>
      </c>
      <c r="J89" s="1123">
        <v>0.28129999999999999</v>
      </c>
      <c r="K89" s="1123">
        <v>4.0399999999999998E-2</v>
      </c>
      <c r="L89" s="1123">
        <v>0.43580000000000002</v>
      </c>
      <c r="M89" s="1123">
        <v>4.6899999999999997E-2</v>
      </c>
      <c r="N89" s="1124">
        <v>0.78</v>
      </c>
      <c r="O89" s="1124">
        <v>2.1800000000000002</v>
      </c>
      <c r="P89" s="1124">
        <v>6.87</v>
      </c>
      <c r="Q89" s="1124">
        <v>13.8</v>
      </c>
      <c r="R89" s="1124">
        <v>1.48</v>
      </c>
      <c r="S89" s="1124">
        <v>90.49</v>
      </c>
      <c r="T89" s="1123">
        <v>-3.8999999999999998E-3</v>
      </c>
      <c r="U89" s="1123">
        <v>0.1474</v>
      </c>
      <c r="V89" s="1123">
        <v>-5.9999999999999995E-4</v>
      </c>
      <c r="W89" s="1123">
        <v>-4.6399999999999997E-2</v>
      </c>
      <c r="X89" s="1123">
        <v>0.12859999999999999</v>
      </c>
      <c r="Y89" s="1123">
        <v>0.57230000000000003</v>
      </c>
      <c r="Z89" s="1123">
        <v>0.57230000000000003</v>
      </c>
      <c r="AA89" s="1123">
        <v>0.15709999999999999</v>
      </c>
    </row>
    <row r="90" spans="1:27" ht="12" customHeight="1">
      <c r="A90" s="1126" t="s">
        <v>1548</v>
      </c>
      <c r="B90" s="1125">
        <v>55</v>
      </c>
      <c r="C90" s="1123">
        <v>3.04E-2</v>
      </c>
      <c r="D90" s="1123">
        <v>0.34449999999999997</v>
      </c>
      <c r="E90" s="1123">
        <v>0.22500000000000001</v>
      </c>
      <c r="F90" s="1123">
        <v>0.23569999999999999</v>
      </c>
      <c r="G90" s="1124">
        <v>0.73</v>
      </c>
      <c r="H90" s="1124">
        <v>0.85</v>
      </c>
      <c r="I90" s="1123">
        <v>6.0100000000000001E-2</v>
      </c>
      <c r="J90" s="1123">
        <v>0.27239999999999998</v>
      </c>
      <c r="K90" s="1123">
        <v>4.0399999999999998E-2</v>
      </c>
      <c r="L90" s="1123">
        <v>0.23080000000000001</v>
      </c>
      <c r="M90" s="1123">
        <v>5.3100000000000001E-2</v>
      </c>
      <c r="N90" s="1124">
        <v>0.78</v>
      </c>
      <c r="O90" s="1124">
        <v>3.67</v>
      </c>
      <c r="P90" s="1124">
        <v>8.48</v>
      </c>
      <c r="Q90" s="1124">
        <v>10.62</v>
      </c>
      <c r="R90" s="1124">
        <v>3.53</v>
      </c>
      <c r="S90" s="1124">
        <v>21.31</v>
      </c>
      <c r="T90" s="1123">
        <v>0.16850000000000001</v>
      </c>
      <c r="U90" s="1123">
        <v>2.3199999999999998E-2</v>
      </c>
      <c r="V90" s="1123">
        <v>-3.9600000000000003E-2</v>
      </c>
      <c r="W90" s="1123">
        <v>-0.1318</v>
      </c>
      <c r="X90" s="1123">
        <v>0.26169999999999999</v>
      </c>
      <c r="Y90" s="1123">
        <v>0.86299999999999999</v>
      </c>
      <c r="Z90" s="1123">
        <v>0.86299999999999999</v>
      </c>
      <c r="AA90" s="1123">
        <v>0.3448</v>
      </c>
    </row>
    <row r="91" spans="1:27" ht="12" customHeight="1">
      <c r="A91" s="1126" t="s">
        <v>1546</v>
      </c>
      <c r="B91" s="1125">
        <v>295</v>
      </c>
      <c r="C91" s="1123">
        <v>8.5199999999999998E-2</v>
      </c>
      <c r="D91" s="1123">
        <v>7.2499999999999995E-2</v>
      </c>
      <c r="E91" s="1123">
        <v>0.1129</v>
      </c>
      <c r="F91" s="1123">
        <v>0.23630000000000001</v>
      </c>
      <c r="G91" s="1124">
        <v>0.85</v>
      </c>
      <c r="H91" s="1124">
        <v>1.01</v>
      </c>
      <c r="I91" s="1123">
        <v>6.8500000000000005E-2</v>
      </c>
      <c r="J91" s="1123">
        <v>0.28149999999999997</v>
      </c>
      <c r="K91" s="1123">
        <v>4.0399999999999998E-2</v>
      </c>
      <c r="L91" s="1123">
        <v>0.28560000000000002</v>
      </c>
      <c r="M91" s="1123">
        <v>5.74E-2</v>
      </c>
      <c r="N91" s="1124">
        <v>1.85</v>
      </c>
      <c r="O91" s="1124">
        <v>1.34</v>
      </c>
      <c r="P91" s="1124">
        <v>11.12</v>
      </c>
      <c r="Q91" s="1124">
        <v>17.79</v>
      </c>
      <c r="R91" s="1124">
        <v>2.5099999999999998</v>
      </c>
      <c r="S91" s="1124">
        <v>54.75</v>
      </c>
      <c r="T91" s="1123">
        <v>4.4499999999999998E-2</v>
      </c>
      <c r="U91" s="1123">
        <v>4.5600000000000002E-2</v>
      </c>
      <c r="V91" s="1123">
        <v>1.2500000000000001E-2</v>
      </c>
      <c r="W91" s="1123">
        <v>0.5655</v>
      </c>
      <c r="X91" s="1123">
        <v>0.17899999999999999</v>
      </c>
      <c r="Y91" s="1123">
        <v>0.37030000000000002</v>
      </c>
      <c r="Z91" s="1123">
        <v>0.37030000000000002</v>
      </c>
      <c r="AA91" s="1123">
        <v>7.3499999999999996E-2</v>
      </c>
    </row>
    <row r="92" spans="1:27" ht="12" customHeight="1">
      <c r="A92" s="1126" t="s">
        <v>1545</v>
      </c>
      <c r="B92" s="1125">
        <v>51</v>
      </c>
      <c r="C92" s="1123">
        <v>-5.9999999999999995E-4</v>
      </c>
      <c r="D92" s="1123">
        <v>0.154</v>
      </c>
      <c r="E92" s="1123">
        <v>4.53E-2</v>
      </c>
      <c r="F92" s="1123">
        <v>0.2399</v>
      </c>
      <c r="G92" s="1124">
        <v>0.67</v>
      </c>
      <c r="H92" s="1124">
        <v>0.83</v>
      </c>
      <c r="I92" s="1123">
        <v>5.8500000000000003E-2</v>
      </c>
      <c r="J92" s="1123">
        <v>0.1787</v>
      </c>
      <c r="K92" s="1123">
        <v>3.3799999999999997E-2</v>
      </c>
      <c r="L92" s="1123">
        <v>0.28100000000000003</v>
      </c>
      <c r="M92" s="1123">
        <v>4.9099999999999998E-2</v>
      </c>
      <c r="N92" s="1124">
        <v>0.36</v>
      </c>
      <c r="O92" s="1124">
        <v>5.26</v>
      </c>
      <c r="P92" s="1124">
        <v>17.87</v>
      </c>
      <c r="Q92" s="1124">
        <v>32.799999999999997</v>
      </c>
      <c r="R92" s="1124">
        <v>2.65</v>
      </c>
      <c r="S92" s="1124">
        <v>42.92</v>
      </c>
      <c r="T92" s="1123">
        <v>6.4199999999999993E-2</v>
      </c>
      <c r="U92" s="1123">
        <v>0.17319999999999999</v>
      </c>
      <c r="V92" s="1123">
        <v>0.12039999999999999</v>
      </c>
      <c r="W92" s="1123">
        <v>1.1154999999999999</v>
      </c>
      <c r="X92" s="1123">
        <v>6.2100000000000002E-2</v>
      </c>
      <c r="Y92" s="1123">
        <v>0.69450000000000001</v>
      </c>
      <c r="Z92" s="1123">
        <v>0.69450000000000001</v>
      </c>
      <c r="AA92" s="1123">
        <v>0.15620000000000001</v>
      </c>
    </row>
    <row r="93" spans="1:27" ht="12" customHeight="1">
      <c r="A93" s="1126" t="s">
        <v>1544</v>
      </c>
      <c r="B93" s="1125">
        <v>232</v>
      </c>
      <c r="C93" s="1123">
        <v>3.7499999999999999E-2</v>
      </c>
      <c r="D93" s="1123">
        <v>5.5800000000000002E-2</v>
      </c>
      <c r="E93" s="1123">
        <v>5.7700000000000001E-2</v>
      </c>
      <c r="F93" s="1123">
        <v>0.24959999999999999</v>
      </c>
      <c r="G93" s="1124">
        <v>0.92</v>
      </c>
      <c r="H93" s="1124">
        <v>1.1299999999999999</v>
      </c>
      <c r="I93" s="1123">
        <v>7.4499999999999997E-2</v>
      </c>
      <c r="J93" s="1123">
        <v>0.28260000000000002</v>
      </c>
      <c r="K93" s="1123">
        <v>4.0399999999999998E-2</v>
      </c>
      <c r="L93" s="1123">
        <v>0.30299999999999999</v>
      </c>
      <c r="M93" s="1123">
        <v>6.0999999999999999E-2</v>
      </c>
      <c r="N93" s="1124">
        <v>1.2</v>
      </c>
      <c r="O93" s="1124">
        <v>1.85</v>
      </c>
      <c r="P93" s="1124">
        <v>9.77</v>
      </c>
      <c r="Q93" s="1124">
        <v>24.28</v>
      </c>
      <c r="R93" s="1124">
        <v>2.91</v>
      </c>
      <c r="S93" s="1124">
        <v>71.56</v>
      </c>
      <c r="T93" s="1123">
        <v>7.0300000000000001E-2</v>
      </c>
      <c r="U93" s="1123">
        <v>7.9299999999999995E-2</v>
      </c>
      <c r="V93" s="1123">
        <v>4.1300000000000003E-2</v>
      </c>
      <c r="W93" s="1123">
        <v>1.5962000000000001</v>
      </c>
      <c r="X93" s="1123">
        <v>8.2199999999999995E-2</v>
      </c>
      <c r="Y93" s="1123">
        <v>0.22539999999999999</v>
      </c>
      <c r="Z93" s="1123">
        <v>0.22539999999999999</v>
      </c>
      <c r="AA93" s="1123">
        <v>5.7799999999999997E-2</v>
      </c>
    </row>
    <row r="94" spans="1:27" ht="12" customHeight="1">
      <c r="A94" s="1126" t="s">
        <v>1543</v>
      </c>
      <c r="B94" s="1125">
        <v>54</v>
      </c>
      <c r="C94" s="1123">
        <v>3.3799999999999997E-2</v>
      </c>
      <c r="D94" s="1123">
        <v>0.1237</v>
      </c>
      <c r="E94" s="1123">
        <v>7.0300000000000001E-2</v>
      </c>
      <c r="F94" s="1123">
        <v>0.20860000000000001</v>
      </c>
      <c r="G94" s="1124">
        <v>0.52</v>
      </c>
      <c r="H94" s="1124">
        <v>0.8</v>
      </c>
      <c r="I94" s="1123">
        <v>5.74E-2</v>
      </c>
      <c r="J94" s="1123">
        <v>0.18540000000000001</v>
      </c>
      <c r="K94" s="1123">
        <v>3.3799999999999997E-2</v>
      </c>
      <c r="L94" s="1123">
        <v>0.45340000000000003</v>
      </c>
      <c r="M94" s="1123">
        <v>4.2700000000000002E-2</v>
      </c>
      <c r="N94" s="1124">
        <v>0.68</v>
      </c>
      <c r="O94" s="1124">
        <v>2.4300000000000002</v>
      </c>
      <c r="P94" s="1124">
        <v>11.05</v>
      </c>
      <c r="Q94" s="1124">
        <v>19.649999999999999</v>
      </c>
      <c r="R94" s="1124">
        <v>1.71</v>
      </c>
      <c r="S94" s="1124">
        <v>19.61</v>
      </c>
      <c r="T94" s="1123">
        <v>-0.19589999999999999</v>
      </c>
      <c r="U94" s="1123">
        <v>0.15870000000000001</v>
      </c>
      <c r="V94" s="1123">
        <v>9.2999999999999999E-2</v>
      </c>
      <c r="W94" s="1123">
        <v>1.0319</v>
      </c>
      <c r="X94" s="1123">
        <v>9.5299999999999996E-2</v>
      </c>
      <c r="Y94" s="1123">
        <v>0.67110000000000003</v>
      </c>
      <c r="Z94" s="1123">
        <v>0.67110000000000003</v>
      </c>
      <c r="AA94" s="1123">
        <v>0.12330000000000001</v>
      </c>
    </row>
    <row r="95" spans="1:27" ht="12" customHeight="1">
      <c r="A95" s="1126" t="s">
        <v>1542</v>
      </c>
      <c r="B95" s="1125">
        <v>104</v>
      </c>
      <c r="C95" s="1123">
        <v>0.111</v>
      </c>
      <c r="D95" s="1123">
        <v>0.25069999999999998</v>
      </c>
      <c r="E95" s="1123">
        <v>7.2900000000000006E-2</v>
      </c>
      <c r="F95" s="1123">
        <v>0.2984</v>
      </c>
      <c r="G95" s="1124">
        <v>0.51</v>
      </c>
      <c r="H95" s="1124">
        <v>0.73</v>
      </c>
      <c r="I95" s="1123">
        <v>5.3400000000000003E-2</v>
      </c>
      <c r="J95" s="1123">
        <v>0.26179999999999998</v>
      </c>
      <c r="K95" s="1123">
        <v>4.0399999999999998E-2</v>
      </c>
      <c r="L95" s="1123">
        <v>0.40539999999999998</v>
      </c>
      <c r="M95" s="1123">
        <v>4.3900000000000002E-2</v>
      </c>
      <c r="N95" s="1124">
        <v>0.34</v>
      </c>
      <c r="O95" s="1124">
        <v>4.9400000000000004</v>
      </c>
      <c r="P95" s="1124">
        <v>13.18</v>
      </c>
      <c r="Q95" s="1124">
        <v>19.55</v>
      </c>
      <c r="R95" s="1124">
        <v>1.75</v>
      </c>
      <c r="S95" s="1124">
        <v>72.55</v>
      </c>
      <c r="T95" s="1123">
        <v>0.02</v>
      </c>
      <c r="U95" s="1123">
        <v>0.23469999999999999</v>
      </c>
      <c r="V95" s="1123">
        <v>0.1419</v>
      </c>
      <c r="W95" s="1123">
        <v>1.2542</v>
      </c>
      <c r="X95" s="1123">
        <v>0.13220000000000001</v>
      </c>
      <c r="Y95" s="1123">
        <v>0.83930000000000005</v>
      </c>
      <c r="Z95" s="1123">
        <v>0.38600000000000001</v>
      </c>
      <c r="AA95" s="1123">
        <v>0.25030000000000002</v>
      </c>
    </row>
    <row r="96" spans="1:27" ht="12" customHeight="1">
      <c r="A96" s="1122"/>
      <c r="B96" s="1121"/>
      <c r="C96" s="1119"/>
      <c r="D96" s="1119"/>
      <c r="E96" s="1119"/>
      <c r="F96" s="1119"/>
      <c r="G96" s="1120"/>
      <c r="H96" s="1120"/>
      <c r="I96" s="1119"/>
      <c r="J96" s="1119"/>
      <c r="K96" s="1119"/>
      <c r="L96" s="1119"/>
      <c r="M96" s="1119"/>
      <c r="N96" s="1120"/>
      <c r="O96" s="1120"/>
      <c r="P96" s="1120"/>
      <c r="Q96" s="1120"/>
      <c r="R96" s="1120"/>
      <c r="S96" s="1120"/>
      <c r="T96" s="1119"/>
      <c r="U96" s="1119"/>
      <c r="V96" s="1119"/>
      <c r="W96" s="1119"/>
      <c r="X96" s="1119"/>
      <c r="Y96" s="1119"/>
      <c r="Z96" s="1119"/>
      <c r="AA96" s="1132"/>
    </row>
    <row r="97" spans="1:27" ht="12" customHeight="1">
      <c r="A97" s="1122"/>
      <c r="B97" s="1121"/>
      <c r="C97" s="1119"/>
      <c r="D97" s="1119"/>
      <c r="E97" s="1119"/>
      <c r="F97" s="1119"/>
      <c r="G97" s="1120"/>
      <c r="H97" s="1120"/>
      <c r="I97" s="1119"/>
      <c r="J97" s="1119"/>
      <c r="K97" s="1119"/>
      <c r="L97" s="1119"/>
      <c r="M97" s="1119"/>
      <c r="N97" s="1120"/>
      <c r="O97" s="1120"/>
      <c r="P97" s="1120"/>
      <c r="Q97" s="1120"/>
      <c r="R97" s="1120"/>
      <c r="S97" s="1120"/>
      <c r="T97" s="1119"/>
      <c r="U97" s="1119"/>
      <c r="V97" s="1119"/>
      <c r="W97" s="1119"/>
      <c r="X97" s="1119"/>
      <c r="Y97" s="1119"/>
      <c r="Z97" s="1119"/>
      <c r="AA97" s="1132"/>
    </row>
    <row r="98" spans="1:27" ht="12" customHeight="1"/>
    <row r="99" spans="1:27" ht="12" customHeight="1"/>
    <row r="100" spans="1:27" ht="12" customHeight="1"/>
    <row r="101" spans="1:27" ht="12" customHeight="1"/>
    <row r="102" spans="1:27" ht="12" customHeight="1"/>
    <row r="103" spans="1:27" ht="12" customHeight="1"/>
    <row r="104" spans="1:27" ht="12" customHeight="1"/>
    <row r="105" spans="1:27" ht="12" customHeight="1"/>
    <row r="106" spans="1:27" ht="12" customHeight="1"/>
    <row r="107" spans="1:27" ht="12" customHeight="1"/>
    <row r="108" spans="1:27" ht="12" customHeight="1"/>
    <row r="109" spans="1:27" ht="12" customHeight="1"/>
    <row r="110" spans="1:27" ht="12" customHeight="1"/>
    <row r="111" spans="1:27" ht="12" customHeight="1"/>
    <row r="112" spans="1:27" ht="12" customHeight="1"/>
    <row r="113" s="1118" customFormat="1" ht="12" customHeight="1"/>
    <row r="114" s="1118" customFormat="1" ht="12" customHeight="1"/>
    <row r="115" s="1118" customFormat="1" ht="12" customHeight="1"/>
    <row r="116" s="1118" customFormat="1" ht="12" customHeight="1"/>
    <row r="117" s="1118" customFormat="1" ht="12" customHeight="1"/>
    <row r="118" s="1118" customFormat="1" ht="12" customHeight="1"/>
    <row r="119" s="1118" customFormat="1" ht="12" customHeight="1"/>
    <row r="120" s="1118" customFormat="1" ht="12" customHeight="1"/>
    <row r="121" s="1118" customFormat="1" ht="12" customHeight="1"/>
    <row r="122" s="1118" customFormat="1" ht="12" customHeight="1"/>
    <row r="123" s="1118" customFormat="1" ht="12" customHeight="1"/>
    <row r="124" s="1118" customFormat="1" ht="12" customHeight="1"/>
    <row r="125" s="1118" customFormat="1" ht="12" customHeight="1"/>
    <row r="126" s="1118" customFormat="1" ht="12" customHeight="1"/>
    <row r="127" s="1118" customFormat="1" ht="12" customHeight="1"/>
    <row r="128" s="1118" customFormat="1" ht="12" customHeight="1"/>
    <row r="129" s="1118" customFormat="1" ht="12" customHeight="1"/>
    <row r="130" s="1118" customFormat="1" ht="12" customHeight="1"/>
    <row r="131" s="1118" customFormat="1" ht="12" customHeight="1"/>
    <row r="132" s="1118" customFormat="1" ht="12" customHeight="1"/>
    <row r="133" s="1118" customFormat="1" ht="12" customHeight="1"/>
    <row r="134" s="1118" customFormat="1" ht="12" customHeight="1"/>
    <row r="135" s="1118" customFormat="1" ht="12" customHeight="1"/>
    <row r="136" s="1118" customFormat="1" ht="12" customHeight="1"/>
    <row r="137" s="1118" customFormat="1" ht="12" customHeight="1"/>
    <row r="138" s="1118" customFormat="1" ht="12" customHeight="1"/>
    <row r="139" s="1118" customFormat="1" ht="12" customHeight="1"/>
    <row r="140" s="1118" customFormat="1" ht="12" customHeight="1"/>
    <row r="141" s="1118" customFormat="1" ht="12" customHeight="1"/>
    <row r="142" s="1118" customFormat="1" ht="12" customHeight="1"/>
    <row r="143" s="1118" customFormat="1" ht="12" customHeight="1"/>
    <row r="144" s="1118" customFormat="1" ht="12" customHeight="1"/>
    <row r="145" s="1118" customFormat="1" ht="12" customHeight="1"/>
    <row r="146" s="1118" customFormat="1" ht="12" customHeight="1"/>
    <row r="147" s="1118" customFormat="1" ht="12" customHeight="1"/>
    <row r="148" s="1118" customFormat="1" ht="12" customHeight="1"/>
    <row r="149" s="1118" customFormat="1" ht="12" customHeight="1"/>
    <row r="150" s="1118" customFormat="1" ht="12" customHeight="1"/>
    <row r="151" s="1118" customFormat="1" ht="12" customHeight="1"/>
    <row r="152" s="1118" customFormat="1" ht="12" customHeight="1"/>
    <row r="153" s="1118" customFormat="1" ht="12" customHeight="1"/>
    <row r="154" s="1118" customFormat="1" ht="12" customHeight="1"/>
    <row r="155" s="1118" customFormat="1" ht="12" customHeight="1"/>
    <row r="156" s="1118" customFormat="1" ht="12" customHeight="1"/>
    <row r="157" s="1118" customFormat="1" ht="12" customHeight="1"/>
    <row r="158" s="1118" customFormat="1" ht="12" customHeight="1"/>
    <row r="159" s="1118" customFormat="1" ht="12" customHeight="1"/>
    <row r="160" s="1118" customFormat="1" ht="12" customHeight="1"/>
    <row r="161" s="1118" customFormat="1" ht="12" customHeight="1"/>
    <row r="162" s="1118" customFormat="1" ht="12" customHeight="1"/>
    <row r="163" s="1118" customFormat="1" ht="12" customHeight="1"/>
    <row r="164" s="1118" customFormat="1" ht="12" customHeight="1"/>
    <row r="165" s="1118" customFormat="1" ht="12" customHeight="1"/>
    <row r="166" s="1118" customFormat="1" ht="12" customHeight="1"/>
    <row r="167" s="1118" customFormat="1" ht="12" customHeight="1"/>
    <row r="168" s="1118" customFormat="1" ht="12" customHeight="1"/>
    <row r="169" s="1118" customFormat="1" ht="12" customHeight="1"/>
    <row r="170" s="1118" customFormat="1" ht="12" customHeight="1"/>
    <row r="171" s="1118" customFormat="1" ht="12" customHeight="1"/>
    <row r="172" s="1118" customFormat="1" ht="12" customHeight="1"/>
    <row r="173" s="1118" customFormat="1" ht="12" customHeight="1"/>
    <row r="174" s="1118" customFormat="1" ht="12" customHeight="1"/>
    <row r="175" s="1118" customFormat="1" ht="12" customHeight="1"/>
    <row r="176" s="1118" customFormat="1" ht="12" customHeight="1"/>
    <row r="177" s="1118" customFormat="1" ht="12" customHeight="1"/>
    <row r="178" s="1118" customFormat="1" ht="12" customHeight="1"/>
    <row r="179" s="1118" customFormat="1" ht="12" customHeight="1"/>
    <row r="180" s="1118" customFormat="1" ht="12" customHeight="1"/>
    <row r="181" s="1118" customFormat="1" ht="12" customHeight="1"/>
    <row r="182" s="1118" customFormat="1" ht="12" customHeight="1"/>
    <row r="183" s="1118" customFormat="1" ht="12" customHeight="1"/>
    <row r="184" s="1118" customFormat="1" ht="12" customHeight="1"/>
    <row r="185" s="1118" customFormat="1" ht="12" customHeight="1"/>
    <row r="186" s="1118" customFormat="1" ht="12" customHeight="1"/>
    <row r="187" s="1118" customFormat="1" ht="12" customHeight="1"/>
    <row r="188" s="1118" customFormat="1" ht="12" customHeight="1"/>
    <row r="189" s="1118" customFormat="1" ht="12" customHeight="1"/>
    <row r="190" s="1118" customFormat="1" ht="12" customHeight="1"/>
    <row r="191" s="1118" customFormat="1" ht="12" customHeight="1"/>
    <row r="192" s="1118" customFormat="1" ht="12" customHeight="1"/>
    <row r="193" s="1118" customFormat="1" ht="12" customHeight="1"/>
    <row r="194" s="1118" customFormat="1" ht="12" customHeight="1"/>
    <row r="195" s="1118" customFormat="1" ht="12" customHeight="1"/>
    <row r="196" s="1118" customFormat="1" ht="12" customHeight="1"/>
    <row r="197" s="1118" customFormat="1" ht="12" customHeight="1"/>
    <row r="198" s="1118" customFormat="1" ht="12" customHeight="1"/>
    <row r="199" s="1118" customFormat="1" ht="12" customHeight="1"/>
    <row r="200" s="1118" customFormat="1" ht="12" customHeight="1"/>
    <row r="201" s="1118" customFormat="1" ht="12" customHeight="1"/>
    <row r="202" s="1118" customFormat="1" ht="12" customHeight="1"/>
    <row r="203" s="1118" customFormat="1" ht="12" customHeight="1"/>
    <row r="204" s="1118" customFormat="1" ht="12" customHeight="1"/>
    <row r="205" s="1118" customFormat="1" ht="12" customHeight="1"/>
    <row r="206" s="1118" customFormat="1" ht="12" customHeight="1"/>
    <row r="207" s="1118" customFormat="1" ht="12" customHeight="1"/>
    <row r="208" s="1118" customFormat="1" ht="12" customHeight="1"/>
    <row r="209" s="1118" customFormat="1" ht="12" customHeight="1"/>
    <row r="210" s="1118" customFormat="1" ht="12" customHeight="1"/>
    <row r="211" s="1118" customFormat="1" ht="12" customHeight="1"/>
    <row r="212" s="1118" customFormat="1" ht="12" customHeight="1"/>
    <row r="213" s="1118" customFormat="1" ht="12" customHeight="1"/>
    <row r="214" s="1118" customFormat="1" ht="12" customHeight="1"/>
    <row r="215" s="1118" customFormat="1" ht="12" customHeight="1"/>
    <row r="216" s="1118" customFormat="1" ht="12" customHeight="1"/>
    <row r="217" s="1118" customFormat="1" ht="12" customHeight="1"/>
    <row r="218" s="1118" customFormat="1" ht="12" customHeight="1"/>
    <row r="219" s="1118" customFormat="1" ht="12" customHeight="1"/>
    <row r="220" s="1118" customFormat="1" ht="12" customHeight="1"/>
    <row r="221" s="1118" customFormat="1" ht="12" customHeight="1"/>
    <row r="222" s="1118" customFormat="1" ht="12" customHeight="1"/>
    <row r="223" s="1118" customFormat="1" ht="12" customHeight="1"/>
    <row r="224" s="1118" customFormat="1" ht="12" customHeight="1"/>
    <row r="225" s="1118" customFormat="1" ht="12" customHeight="1"/>
    <row r="226" s="1118" customFormat="1" ht="12" customHeight="1"/>
    <row r="227" s="1118" customFormat="1" ht="12" customHeight="1"/>
    <row r="228" s="1118" customFormat="1" ht="12" customHeight="1"/>
    <row r="229" s="1118" customFormat="1" ht="12" customHeight="1"/>
    <row r="230" s="1118" customFormat="1" ht="12" customHeight="1"/>
    <row r="231" s="1118" customFormat="1" ht="12" customHeight="1"/>
    <row r="232" s="1118" customFormat="1" ht="12" customHeight="1"/>
    <row r="233" s="1118" customFormat="1" ht="12" customHeight="1"/>
    <row r="234" s="1118" customFormat="1" ht="12" customHeight="1"/>
    <row r="235" s="1118" customFormat="1" ht="12" customHeight="1"/>
    <row r="236" s="1118" customFormat="1" ht="12" customHeight="1"/>
    <row r="237" s="1118" customFormat="1" ht="12" customHeight="1"/>
    <row r="238" s="1118" customFormat="1" ht="12" customHeight="1"/>
    <row r="239" s="1118" customFormat="1" ht="12" customHeight="1"/>
    <row r="240" s="1118" customFormat="1" ht="12" customHeight="1"/>
    <row r="241" s="1118" customFormat="1" ht="12" customHeight="1"/>
    <row r="242" s="1118" customFormat="1" ht="12" customHeight="1"/>
    <row r="243" s="1118" customFormat="1" ht="12" customHeight="1"/>
    <row r="244" s="1118" customFormat="1" ht="12" customHeight="1"/>
    <row r="245" s="1118" customFormat="1" ht="12" customHeight="1"/>
    <row r="246" s="1118" customFormat="1" ht="12" customHeight="1"/>
    <row r="247" s="1118" customFormat="1" ht="12" customHeight="1"/>
    <row r="248" s="1118" customFormat="1" ht="12" customHeight="1"/>
    <row r="249" s="1118" customFormat="1" ht="12" customHeight="1"/>
    <row r="250" s="1118" customFormat="1" ht="12" customHeight="1"/>
    <row r="251" s="1118" customFormat="1" ht="12" customHeight="1"/>
    <row r="252" s="1118" customFormat="1" ht="12" customHeight="1"/>
    <row r="253" s="1118" customFormat="1" ht="12" customHeight="1"/>
    <row r="254" s="1118" customFormat="1" ht="12" customHeight="1"/>
    <row r="255" s="1118" customFormat="1" ht="12" customHeight="1"/>
    <row r="256" s="1118" customFormat="1" ht="12" customHeight="1"/>
    <row r="257" s="1118" customFormat="1" ht="12" customHeight="1"/>
    <row r="258" s="1118" customFormat="1" ht="12" customHeight="1"/>
    <row r="259" s="1118" customFormat="1" ht="12" customHeight="1"/>
    <row r="260" s="1118" customFormat="1" ht="12" customHeight="1"/>
    <row r="261" s="1118" customFormat="1" ht="12" customHeight="1"/>
    <row r="262" s="1118" customFormat="1" ht="12" customHeight="1"/>
    <row r="263" s="1118" customFormat="1" ht="12" customHeight="1"/>
    <row r="264" s="1118" customFormat="1" ht="12" customHeight="1"/>
    <row r="265" s="1118" customFormat="1" ht="12" customHeight="1"/>
    <row r="266" s="1118" customFormat="1" ht="12" customHeight="1"/>
    <row r="267" s="1118" customFormat="1" ht="12" customHeight="1"/>
    <row r="268" s="1118" customFormat="1" ht="12" customHeight="1"/>
    <row r="269" s="1118" customFormat="1" ht="12" customHeight="1"/>
    <row r="270" s="1118" customFormat="1" ht="12" customHeight="1"/>
    <row r="271" s="1118" customFormat="1" ht="12" customHeight="1"/>
    <row r="272" s="1118" customFormat="1" ht="12" customHeight="1"/>
    <row r="273" s="1118" customFormat="1" ht="12" customHeight="1"/>
    <row r="274" s="1118" customFormat="1" ht="12" customHeight="1"/>
    <row r="275" s="1118" customFormat="1" ht="12" customHeight="1"/>
    <row r="276" s="1118" customFormat="1" ht="12" customHeight="1"/>
    <row r="277" s="1118" customFormat="1" ht="12" customHeight="1"/>
    <row r="278" s="1118" customFormat="1" ht="12" customHeight="1"/>
    <row r="279" s="1118" customFormat="1" ht="12" customHeight="1"/>
    <row r="280" s="1118" customFormat="1" ht="12" customHeight="1"/>
    <row r="281" s="1118" customFormat="1" ht="12" customHeight="1"/>
    <row r="282" s="1118" customFormat="1" ht="12" customHeight="1"/>
    <row r="283" s="1118" customFormat="1" ht="12" customHeight="1"/>
    <row r="284" s="1118" customFormat="1" ht="12" customHeight="1"/>
    <row r="285" s="1118" customFormat="1" ht="12" customHeight="1"/>
    <row r="286" s="1118" customFormat="1" ht="12" customHeight="1"/>
    <row r="287" s="1118" customFormat="1" ht="12" customHeight="1"/>
    <row r="288" s="1118" customFormat="1" ht="12" customHeight="1"/>
    <row r="289" s="1118" customFormat="1" ht="12" customHeight="1"/>
    <row r="290" s="1118" customFormat="1" ht="12" customHeight="1"/>
    <row r="291" s="1118" customFormat="1" ht="12" customHeight="1"/>
    <row r="292" s="1118" customFormat="1" ht="12" customHeight="1"/>
    <row r="293" s="1118" customFormat="1" ht="12" customHeight="1"/>
    <row r="294" s="1118" customFormat="1" ht="12" customHeight="1"/>
    <row r="295" s="1118" customFormat="1" ht="12" customHeight="1"/>
    <row r="296" s="1118" customFormat="1" ht="15.75" customHeight="1"/>
    <row r="297" s="1118" customFormat="1" ht="15.75" customHeight="1"/>
    <row r="298" s="1118" customFormat="1" ht="15.75" customHeight="1"/>
    <row r="299" s="1118" customFormat="1" ht="15.75" customHeight="1"/>
    <row r="300" s="1118" customFormat="1" ht="15.75" customHeight="1"/>
    <row r="301" s="1118" customFormat="1" ht="15.75" customHeight="1"/>
    <row r="302" s="1118" customFormat="1" ht="15.75" customHeight="1"/>
    <row r="303" s="1118" customFormat="1" ht="15.75" customHeight="1"/>
    <row r="304" s="1118" customFormat="1" ht="15.75" customHeight="1"/>
    <row r="305" s="1118" customFormat="1" ht="15.75" customHeight="1"/>
    <row r="306" s="1118" customFormat="1" ht="15.75" customHeight="1"/>
    <row r="307" s="1118" customFormat="1" ht="15.75" customHeight="1"/>
    <row r="308" s="1118" customFormat="1" ht="15.75" customHeight="1"/>
    <row r="309" s="1118" customFormat="1" ht="15.75" customHeight="1"/>
    <row r="310" s="1118" customFormat="1" ht="15.75" customHeight="1"/>
    <row r="311" s="1118" customFormat="1" ht="15.75" customHeight="1"/>
    <row r="312" s="1118" customFormat="1" ht="15.75" customHeight="1"/>
    <row r="313" s="1118" customFormat="1" ht="15.75" customHeight="1"/>
    <row r="314" s="1118" customFormat="1" ht="15.75" customHeight="1"/>
    <row r="315" s="1118" customFormat="1" ht="15.75" customHeight="1"/>
    <row r="316" s="1118" customFormat="1" ht="15.75" customHeight="1"/>
    <row r="317" s="1118" customFormat="1" ht="15.75" customHeight="1"/>
    <row r="318" s="1118" customFormat="1" ht="15.75" customHeight="1"/>
    <row r="319" s="1118" customFormat="1" ht="15.75" customHeight="1"/>
    <row r="320" s="1118" customFormat="1" ht="15.75" customHeight="1"/>
    <row r="321" s="1118" customFormat="1" ht="15.75" customHeight="1"/>
    <row r="322" s="1118" customFormat="1" ht="15.75" customHeight="1"/>
    <row r="323" s="1118" customFormat="1" ht="15.75" customHeight="1"/>
    <row r="324" s="1118" customFormat="1" ht="15.75" customHeight="1"/>
    <row r="325" s="1118" customFormat="1" ht="15.75" customHeight="1"/>
    <row r="326" s="1118" customFormat="1" ht="15.75" customHeight="1"/>
    <row r="327" s="1118" customFormat="1" ht="15.75" customHeight="1"/>
    <row r="328" s="1118" customFormat="1" ht="15.75" customHeight="1"/>
    <row r="329" s="1118" customFormat="1" ht="15.75" customHeight="1"/>
    <row r="330" s="1118" customFormat="1" ht="15.75" customHeight="1"/>
    <row r="331" s="1118" customFormat="1" ht="15.75" customHeight="1"/>
    <row r="332" s="1118" customFormat="1" ht="15.75" customHeight="1"/>
    <row r="333" s="1118" customFormat="1" ht="15.75" customHeight="1"/>
    <row r="334" s="1118" customFormat="1" ht="15.75" customHeight="1"/>
    <row r="335" s="1118" customFormat="1" ht="15.75" customHeight="1"/>
    <row r="336" s="1118" customFormat="1" ht="15.75" customHeight="1"/>
    <row r="337" s="1118" customFormat="1" ht="15.75" customHeight="1"/>
    <row r="338" s="1118" customFormat="1" ht="15.75" customHeight="1"/>
    <row r="339" s="1118" customFormat="1" ht="15.75" customHeight="1"/>
    <row r="340" s="1118" customFormat="1" ht="15.75" customHeight="1"/>
    <row r="341" s="1118" customFormat="1" ht="15.75" customHeight="1"/>
    <row r="342" s="1118" customFormat="1" ht="15.75" customHeight="1"/>
    <row r="343" s="1118" customFormat="1" ht="15.75" customHeight="1"/>
    <row r="344" s="1118" customFormat="1" ht="15.75" customHeight="1"/>
    <row r="345" s="1118" customFormat="1" ht="15.75" customHeight="1"/>
    <row r="346" s="1118" customFormat="1" ht="15.75" customHeight="1"/>
    <row r="347" s="1118" customFormat="1" ht="15.75" customHeight="1"/>
    <row r="348" s="1118" customFormat="1" ht="15.75" customHeight="1"/>
    <row r="349" s="1118" customFormat="1" ht="15.75" customHeight="1"/>
    <row r="350" s="1118" customFormat="1" ht="15.75" customHeight="1"/>
    <row r="351" s="1118" customFormat="1" ht="15.75" customHeight="1"/>
    <row r="352" s="1118" customFormat="1" ht="15.75" customHeight="1"/>
    <row r="353" s="1118" customFormat="1" ht="15.75" customHeight="1"/>
    <row r="354" s="1118" customFormat="1" ht="15.75" customHeight="1"/>
    <row r="355" s="1118" customFormat="1" ht="15.75" customHeight="1"/>
    <row r="356" s="1118" customFormat="1" ht="15.75" customHeight="1"/>
    <row r="357" s="1118" customFormat="1" ht="15.75" customHeight="1"/>
    <row r="358" s="1118" customFormat="1" ht="15.75" customHeight="1"/>
    <row r="359" s="1118" customFormat="1" ht="15.75" customHeight="1"/>
    <row r="360" s="1118" customFormat="1" ht="15.75" customHeight="1"/>
    <row r="361" s="1118" customFormat="1" ht="15.75" customHeight="1"/>
    <row r="362" s="1118" customFormat="1" ht="15.75" customHeight="1"/>
    <row r="363" s="1118" customFormat="1" ht="15.75" customHeight="1"/>
    <row r="364" s="1118" customFormat="1" ht="15.75" customHeight="1"/>
    <row r="365" s="1118" customFormat="1" ht="15.75" customHeight="1"/>
    <row r="366" s="1118" customFormat="1" ht="15.75" customHeight="1"/>
    <row r="367" s="1118" customFormat="1" ht="15.75" customHeight="1"/>
    <row r="368" s="1118" customFormat="1" ht="15.75" customHeight="1"/>
    <row r="369" s="1118" customFormat="1" ht="15.75" customHeight="1"/>
    <row r="370" s="1118" customFormat="1" ht="15.75" customHeight="1"/>
    <row r="371" s="1118" customFormat="1" ht="15.75" customHeight="1"/>
    <row r="372" s="1118" customFormat="1" ht="15.75" customHeight="1"/>
    <row r="373" s="1118" customFormat="1" ht="15.75" customHeight="1"/>
    <row r="374" s="1118" customFormat="1" ht="15.75" customHeight="1"/>
    <row r="375" s="1118" customFormat="1" ht="15.75" customHeight="1"/>
    <row r="376" s="1118" customFormat="1" ht="15.75" customHeight="1"/>
    <row r="377" s="1118" customFormat="1" ht="15.75" customHeight="1"/>
    <row r="378" s="1118" customFormat="1" ht="15.75" customHeight="1"/>
    <row r="379" s="1118" customFormat="1" ht="15.75" customHeight="1"/>
    <row r="380" s="1118" customFormat="1" ht="15.75" customHeight="1"/>
    <row r="381" s="1118" customFormat="1" ht="15.75" customHeight="1"/>
    <row r="382" s="1118" customFormat="1" ht="15.75" customHeight="1"/>
    <row r="383" s="1118" customFormat="1" ht="15.75" customHeight="1"/>
    <row r="384" s="1118" customFormat="1" ht="15.75" customHeight="1"/>
    <row r="385" s="1118" customFormat="1" ht="15.75" customHeight="1"/>
    <row r="386" s="1118" customFormat="1" ht="15.75" customHeight="1"/>
    <row r="387" s="1118" customFormat="1" ht="15.75" customHeight="1"/>
    <row r="388" s="1118" customFormat="1" ht="15.75" customHeight="1"/>
    <row r="389" s="1118" customFormat="1" ht="15.75" customHeight="1"/>
    <row r="390" s="1118" customFormat="1" ht="15.75" customHeight="1"/>
    <row r="391" s="1118" customFormat="1" ht="15.75" customHeight="1"/>
    <row r="392" s="1118" customFormat="1" ht="15.75" customHeight="1"/>
    <row r="393" s="1118" customFormat="1" ht="15.75" customHeight="1"/>
    <row r="394" s="1118" customFormat="1" ht="15.75" customHeight="1"/>
    <row r="395" s="1118" customFormat="1" ht="15.75" customHeight="1"/>
    <row r="396" s="1118" customFormat="1" ht="15.75" customHeight="1"/>
    <row r="397" s="1118" customFormat="1" ht="15.75" customHeight="1"/>
    <row r="398" s="1118" customFormat="1" ht="15.75" customHeight="1"/>
    <row r="399" s="1118" customFormat="1" ht="15.75" customHeight="1"/>
    <row r="400" s="1118" customFormat="1" ht="15.75" customHeight="1"/>
    <row r="401" s="1118" customFormat="1" ht="15.75" customHeight="1"/>
    <row r="402" s="1118" customFormat="1" ht="15.75" customHeight="1"/>
    <row r="403" s="1118" customFormat="1" ht="15.75" customHeight="1"/>
    <row r="404" s="1118" customFormat="1" ht="15.75" customHeight="1"/>
    <row r="405" s="1118" customFormat="1" ht="15.75" customHeight="1"/>
    <row r="406" s="1118" customFormat="1" ht="15.75" customHeight="1"/>
    <row r="407" s="1118" customFormat="1" ht="15.75" customHeight="1"/>
    <row r="408" s="1118" customFormat="1" ht="15.75" customHeight="1"/>
    <row r="409" s="1118" customFormat="1" ht="15.75" customHeight="1"/>
    <row r="410" s="1118" customFormat="1" ht="15.75" customHeight="1"/>
    <row r="411" s="1118" customFormat="1" ht="15.75" customHeight="1"/>
    <row r="412" s="1118" customFormat="1" ht="15.75" customHeight="1"/>
    <row r="413" s="1118" customFormat="1" ht="15.75" customHeight="1"/>
    <row r="414" s="1118" customFormat="1" ht="15.75" customHeight="1"/>
    <row r="415" s="1118" customFormat="1" ht="15.75" customHeight="1"/>
    <row r="416" s="1118" customFormat="1" ht="15.75" customHeight="1"/>
    <row r="417" s="1118" customFormat="1" ht="15.75" customHeight="1"/>
    <row r="418" s="1118" customFormat="1" ht="15.75" customHeight="1"/>
    <row r="419" s="1118" customFormat="1" ht="15.75" customHeight="1"/>
    <row r="420" s="1118" customFormat="1" ht="15.75" customHeight="1"/>
    <row r="421" s="1118" customFormat="1" ht="15.75" customHeight="1"/>
    <row r="422" s="1118" customFormat="1" ht="15.75" customHeight="1"/>
    <row r="423" s="1118" customFormat="1" ht="15.75" customHeight="1"/>
    <row r="424" s="1118" customFormat="1" ht="15.75" customHeight="1"/>
    <row r="425" s="1118" customFormat="1" ht="15.75" customHeight="1"/>
    <row r="426" s="1118" customFormat="1" ht="15.75" customHeight="1"/>
    <row r="427" s="1118" customFormat="1" ht="15.75" customHeight="1"/>
    <row r="428" s="1118" customFormat="1" ht="15.75" customHeight="1"/>
    <row r="429" s="1118" customFormat="1" ht="15.75" customHeight="1"/>
    <row r="430" s="1118" customFormat="1" ht="15.75" customHeight="1"/>
    <row r="431" s="1118" customFormat="1" ht="15.75" customHeight="1"/>
    <row r="432" s="1118" customFormat="1" ht="15.75" customHeight="1"/>
    <row r="433" s="1118" customFormat="1" ht="15.75" customHeight="1"/>
    <row r="434" s="1118" customFormat="1" ht="15.75" customHeight="1"/>
    <row r="435" s="1118" customFormat="1" ht="15.75" customHeight="1"/>
    <row r="436" s="1118" customFormat="1" ht="15.75" customHeight="1"/>
    <row r="437" s="1118" customFormat="1" ht="15.75" customHeight="1"/>
    <row r="438" s="1118" customFormat="1" ht="15.75" customHeight="1"/>
    <row r="439" s="1118" customFormat="1" ht="15.75" customHeight="1"/>
    <row r="440" s="1118" customFormat="1" ht="15.75" customHeight="1"/>
    <row r="441" s="1118" customFormat="1" ht="15.75" customHeight="1"/>
    <row r="442" s="1118" customFormat="1" ht="15.75" customHeight="1"/>
    <row r="443" s="1118" customFormat="1" ht="15.75" customHeight="1"/>
    <row r="444" s="1118" customFormat="1" ht="15.75" customHeight="1"/>
    <row r="445" s="1118" customFormat="1" ht="15.75" customHeight="1"/>
    <row r="446" s="1118" customFormat="1" ht="15.75" customHeight="1"/>
    <row r="447" s="1118" customFormat="1" ht="15.75" customHeight="1"/>
    <row r="448" s="1118" customFormat="1" ht="15.75" customHeight="1"/>
    <row r="449" s="1118" customFormat="1" ht="15.75" customHeight="1"/>
    <row r="450" s="1118" customFormat="1" ht="15.75" customHeight="1"/>
    <row r="451" s="1118" customFormat="1" ht="15.75" customHeight="1"/>
    <row r="452" s="1118" customFormat="1" ht="15.75" customHeight="1"/>
    <row r="453" s="1118" customFormat="1" ht="15.75" customHeight="1"/>
    <row r="454" s="1118" customFormat="1" ht="15.75" customHeight="1"/>
    <row r="455" s="1118" customFormat="1" ht="15.75" customHeight="1"/>
    <row r="456" s="1118" customFormat="1" ht="15.75" customHeight="1"/>
    <row r="457" s="1118" customFormat="1" ht="15.75" customHeight="1"/>
    <row r="458" s="1118" customFormat="1" ht="15.75" customHeight="1"/>
    <row r="459" s="1118" customFormat="1" ht="15.75" customHeight="1"/>
    <row r="460" s="1118" customFormat="1" ht="15.75" customHeight="1"/>
    <row r="461" s="1118" customFormat="1" ht="15.75" customHeight="1"/>
    <row r="462" s="1118" customFormat="1" ht="15.75" customHeight="1"/>
    <row r="463" s="1118" customFormat="1" ht="15.75" customHeight="1"/>
    <row r="464" s="1118" customFormat="1" ht="15.75" customHeight="1"/>
    <row r="465" s="1118" customFormat="1" ht="15.75" customHeight="1"/>
    <row r="466" s="1118" customFormat="1" ht="15.75" customHeight="1"/>
    <row r="467" s="1118" customFormat="1" ht="15.75" customHeight="1"/>
    <row r="468" s="1118" customFormat="1" ht="15.75" customHeight="1"/>
    <row r="469" s="1118" customFormat="1" ht="15.75" customHeight="1"/>
    <row r="470" s="1118" customFormat="1" ht="15.75" customHeight="1"/>
    <row r="471" s="1118" customFormat="1" ht="15.75" customHeight="1"/>
    <row r="472" s="1118" customFormat="1" ht="15.75" customHeight="1"/>
    <row r="473" s="1118" customFormat="1" ht="15.75" customHeight="1"/>
    <row r="474" s="1118" customFormat="1" ht="15.75" customHeight="1"/>
    <row r="475" s="1118" customFormat="1" ht="15.75" customHeight="1"/>
    <row r="476" s="1118" customFormat="1" ht="15.75" customHeight="1"/>
    <row r="477" s="1118" customFormat="1" ht="15.75" customHeight="1"/>
    <row r="478" s="1118" customFormat="1" ht="15.75" customHeight="1"/>
    <row r="479" s="1118" customFormat="1" ht="15.75" customHeight="1"/>
    <row r="480" s="1118" customFormat="1" ht="15.75" customHeight="1"/>
    <row r="481" s="1118" customFormat="1" ht="15.75" customHeight="1"/>
    <row r="482" s="1118" customFormat="1" ht="15.75" customHeight="1"/>
    <row r="483" s="1118" customFormat="1" ht="15.75" customHeight="1"/>
    <row r="484" s="1118" customFormat="1" ht="15.75" customHeight="1"/>
    <row r="485" s="1118" customFormat="1" ht="15.75" customHeight="1"/>
    <row r="486" s="1118" customFormat="1" ht="15.75" customHeight="1"/>
    <row r="487" s="1118" customFormat="1" ht="15.75" customHeight="1"/>
    <row r="488" s="1118" customFormat="1" ht="15.75" customHeight="1"/>
    <row r="489" s="1118" customFormat="1" ht="15.75" customHeight="1"/>
    <row r="490" s="1118" customFormat="1" ht="15.75" customHeight="1"/>
    <row r="491" s="1118" customFormat="1" ht="15.75" customHeight="1"/>
    <row r="492" s="1118" customFormat="1" ht="15.75" customHeight="1"/>
    <row r="493" s="1118" customFormat="1" ht="15.75" customHeight="1"/>
    <row r="494" s="1118" customFormat="1" ht="15.75" customHeight="1"/>
    <row r="495" s="1118" customFormat="1" ht="15.75" customHeight="1"/>
    <row r="496" s="1118" customFormat="1" ht="15.75" customHeight="1"/>
    <row r="497" s="1118" customFormat="1" ht="15.75" customHeight="1"/>
    <row r="498" s="1118" customFormat="1" ht="15.75" customHeight="1"/>
    <row r="499" s="1118" customFormat="1" ht="15.75" customHeight="1"/>
    <row r="500" s="1118" customFormat="1" ht="15.75" customHeight="1"/>
    <row r="501" s="1118" customFormat="1" ht="15.75" customHeight="1"/>
    <row r="502" s="1118" customFormat="1" ht="15.75" customHeight="1"/>
    <row r="503" s="1118" customFormat="1" ht="15.75" customHeight="1"/>
    <row r="504" s="1118" customFormat="1" ht="15.75" customHeight="1"/>
    <row r="505" s="1118" customFormat="1" ht="15.75" customHeight="1"/>
    <row r="506" s="1118" customFormat="1" ht="15.75" customHeight="1"/>
    <row r="507" s="1118" customFormat="1" ht="15.75" customHeight="1"/>
    <row r="508" s="1118" customFormat="1" ht="15.75" customHeight="1"/>
    <row r="509" s="1118" customFormat="1" ht="15.75" customHeight="1"/>
    <row r="510" s="1118" customFormat="1" ht="15.75" customHeight="1"/>
    <row r="511" s="1118" customFormat="1" ht="15.75" customHeight="1"/>
    <row r="512" s="1118" customFormat="1" ht="15.75" customHeight="1"/>
    <row r="513" s="1118" customFormat="1" ht="15.75" customHeight="1"/>
    <row r="514" s="1118" customFormat="1" ht="15.75" customHeight="1"/>
    <row r="515" s="1118" customFormat="1" ht="15.75" customHeight="1"/>
    <row r="516" s="1118" customFormat="1" ht="15.75" customHeight="1"/>
    <row r="517" s="1118" customFormat="1" ht="15.75" customHeight="1"/>
    <row r="518" s="1118" customFormat="1" ht="15.75" customHeight="1"/>
    <row r="519" s="1118" customFormat="1" ht="15.75" customHeight="1"/>
    <row r="520" s="1118" customFormat="1" ht="15.75" customHeight="1"/>
    <row r="521" s="1118" customFormat="1" ht="15.75" customHeight="1"/>
    <row r="522" s="1118" customFormat="1" ht="15.75" customHeight="1"/>
    <row r="523" s="1118" customFormat="1" ht="15.75" customHeight="1"/>
    <row r="524" s="1118" customFormat="1" ht="15.75" customHeight="1"/>
    <row r="525" s="1118" customFormat="1" ht="15.75" customHeight="1"/>
    <row r="526" s="1118" customFormat="1" ht="15.75" customHeight="1"/>
    <row r="527" s="1118" customFormat="1" ht="15.75" customHeight="1"/>
    <row r="528" s="1118" customFormat="1" ht="15.75" customHeight="1"/>
    <row r="529" s="1118" customFormat="1" ht="15.75" customHeight="1"/>
    <row r="530" s="1118" customFormat="1" ht="15.75" customHeight="1"/>
    <row r="531" s="1118" customFormat="1" ht="15.75" customHeight="1"/>
    <row r="532" s="1118" customFormat="1" ht="15.75" customHeight="1"/>
    <row r="533" s="1118" customFormat="1" ht="15.75" customHeight="1"/>
    <row r="534" s="1118" customFormat="1" ht="15.75" customHeight="1"/>
    <row r="535" s="1118" customFormat="1" ht="15.75" customHeight="1"/>
    <row r="536" s="1118" customFormat="1" ht="15.75" customHeight="1"/>
    <row r="537" s="1118" customFormat="1" ht="15.75" customHeight="1"/>
    <row r="538" s="1118" customFormat="1" ht="15.75" customHeight="1"/>
    <row r="539" s="1118" customFormat="1" ht="15.75" customHeight="1"/>
    <row r="540" s="1118" customFormat="1" ht="15.75" customHeight="1"/>
    <row r="541" s="1118" customFormat="1" ht="15.75" customHeight="1"/>
    <row r="542" s="1118" customFormat="1" ht="15.75" customHeight="1"/>
    <row r="543" s="1118" customFormat="1" ht="15.75" customHeight="1"/>
    <row r="544" s="1118" customFormat="1" ht="15.75" customHeight="1"/>
    <row r="545" s="1118" customFormat="1" ht="15.75" customHeight="1"/>
    <row r="546" s="1118" customFormat="1" ht="15.75" customHeight="1"/>
    <row r="547" s="1118" customFormat="1" ht="15.75" customHeight="1"/>
    <row r="548" s="1118" customFormat="1" ht="15.75" customHeight="1"/>
    <row r="549" s="1118" customFormat="1" ht="15.75" customHeight="1"/>
    <row r="550" s="1118" customFormat="1" ht="15.75" customHeight="1"/>
    <row r="551" s="1118" customFormat="1" ht="15.75" customHeight="1"/>
    <row r="552" s="1118" customFormat="1" ht="15.75" customHeight="1"/>
    <row r="553" s="1118" customFormat="1" ht="15.75" customHeight="1"/>
    <row r="554" s="1118" customFormat="1" ht="15.75" customHeight="1"/>
    <row r="555" s="1118" customFormat="1" ht="15.75" customHeight="1"/>
    <row r="556" s="1118" customFormat="1" ht="15.75" customHeight="1"/>
    <row r="557" s="1118" customFormat="1" ht="15.75" customHeight="1"/>
    <row r="558" s="1118" customFormat="1" ht="15.75" customHeight="1"/>
    <row r="559" s="1118" customFormat="1" ht="15.75" customHeight="1"/>
    <row r="560" s="1118" customFormat="1" ht="15.75" customHeight="1"/>
    <row r="561" s="1118" customFormat="1" ht="15.75" customHeight="1"/>
    <row r="562" s="1118" customFormat="1" ht="15.75" customHeight="1"/>
    <row r="563" s="1118" customFormat="1" ht="15.75" customHeight="1"/>
    <row r="564" s="1118" customFormat="1" ht="15.75" customHeight="1"/>
    <row r="565" s="1118" customFormat="1" ht="15.75" customHeight="1"/>
    <row r="566" s="1118" customFormat="1" ht="15.75" customHeight="1"/>
    <row r="567" s="1118" customFormat="1" ht="15.75" customHeight="1"/>
    <row r="568" s="1118" customFormat="1" ht="15.75" customHeight="1"/>
    <row r="569" s="1118" customFormat="1" ht="15.75" customHeight="1"/>
    <row r="570" s="1118" customFormat="1" ht="15.75" customHeight="1"/>
    <row r="571" s="1118" customFormat="1" ht="15.75" customHeight="1"/>
    <row r="572" s="1118" customFormat="1" ht="15.75" customHeight="1"/>
    <row r="573" s="1118" customFormat="1" ht="15.75" customHeight="1"/>
    <row r="574" s="1118" customFormat="1" ht="15.75" customHeight="1"/>
    <row r="575" s="1118" customFormat="1" ht="15.75" customHeight="1"/>
    <row r="576" s="1118" customFormat="1" ht="15.75" customHeight="1"/>
    <row r="577" s="1118" customFormat="1" ht="15.75" customHeight="1"/>
    <row r="578" s="1118" customFormat="1" ht="15.75" customHeight="1"/>
    <row r="579" s="1118" customFormat="1" ht="15.75" customHeight="1"/>
    <row r="580" s="1118" customFormat="1" ht="15.75" customHeight="1"/>
    <row r="581" s="1118" customFormat="1" ht="15.75" customHeight="1"/>
    <row r="582" s="1118" customFormat="1" ht="15.75" customHeight="1"/>
    <row r="583" s="1118" customFormat="1" ht="15.75" customHeight="1"/>
    <row r="584" s="1118" customFormat="1" ht="15.75" customHeight="1"/>
    <row r="585" s="1118" customFormat="1" ht="15.75" customHeight="1"/>
    <row r="586" s="1118" customFormat="1" ht="15.75" customHeight="1"/>
    <row r="587" s="1118" customFormat="1" ht="15.75" customHeight="1"/>
    <row r="588" s="1118" customFormat="1" ht="15.75" customHeight="1"/>
    <row r="589" s="1118" customFormat="1" ht="15.75" customHeight="1"/>
    <row r="590" s="1118" customFormat="1" ht="15.75" customHeight="1"/>
    <row r="591" s="1118" customFormat="1" ht="15.75" customHeight="1"/>
    <row r="592" s="1118" customFormat="1" ht="15.75" customHeight="1"/>
    <row r="593" s="1118" customFormat="1" ht="15.75" customHeight="1"/>
    <row r="594" s="1118" customFormat="1" ht="15.75" customHeight="1"/>
    <row r="595" s="1118" customFormat="1" ht="15.75" customHeight="1"/>
    <row r="596" s="1118" customFormat="1" ht="15.75" customHeight="1"/>
    <row r="597" s="1118" customFormat="1" ht="15.75" customHeight="1"/>
    <row r="598" s="1118" customFormat="1" ht="15.75" customHeight="1"/>
    <row r="599" s="1118" customFormat="1" ht="15.75" customHeight="1"/>
    <row r="600" s="1118" customFormat="1" ht="15.75" customHeight="1"/>
    <row r="601" s="1118" customFormat="1" ht="15.75" customHeight="1"/>
    <row r="602" s="1118" customFormat="1" ht="15.75" customHeight="1"/>
    <row r="603" s="1118" customFormat="1" ht="15.75" customHeight="1"/>
    <row r="604" s="1118" customFormat="1" ht="15.75" customHeight="1"/>
    <row r="605" s="1118" customFormat="1" ht="15.75" customHeight="1"/>
    <row r="606" s="1118" customFormat="1" ht="15.75" customHeight="1"/>
    <row r="607" s="1118" customFormat="1" ht="15.75" customHeight="1"/>
    <row r="608" s="1118" customFormat="1" ht="15.75" customHeight="1"/>
    <row r="609" s="1118" customFormat="1" ht="15.75" customHeight="1"/>
    <row r="610" s="1118" customFormat="1" ht="15.75" customHeight="1"/>
    <row r="611" s="1118" customFormat="1" ht="15.75" customHeight="1"/>
    <row r="612" s="1118" customFormat="1" ht="15.75" customHeight="1"/>
    <row r="613" s="1118" customFormat="1" ht="15.75" customHeight="1"/>
    <row r="614" s="1118" customFormat="1" ht="15.75" customHeight="1"/>
    <row r="615" s="1118" customFormat="1" ht="15.75" customHeight="1"/>
    <row r="616" s="1118" customFormat="1" ht="15.75" customHeight="1"/>
    <row r="617" s="1118" customFormat="1" ht="15.75" customHeight="1"/>
    <row r="618" s="1118" customFormat="1" ht="15.75" customHeight="1"/>
    <row r="619" s="1118" customFormat="1" ht="15.75" customHeight="1"/>
    <row r="620" s="1118" customFormat="1" ht="15.75" customHeight="1"/>
    <row r="621" s="1118" customFormat="1" ht="15.75" customHeight="1"/>
    <row r="622" s="1118" customFormat="1" ht="15.75" customHeight="1"/>
    <row r="623" s="1118" customFormat="1" ht="15.75" customHeight="1"/>
    <row r="624" s="1118" customFormat="1" ht="15.75" customHeight="1"/>
    <row r="625" s="1118" customFormat="1" ht="15.75" customHeight="1"/>
    <row r="626" s="1118" customFormat="1" ht="15.75" customHeight="1"/>
    <row r="627" s="1118" customFormat="1" ht="15.75" customHeight="1"/>
    <row r="628" s="1118" customFormat="1" ht="15.75" customHeight="1"/>
    <row r="629" s="1118" customFormat="1" ht="15.75" customHeight="1"/>
    <row r="630" s="1118" customFormat="1" ht="15.75" customHeight="1"/>
    <row r="631" s="1118" customFormat="1" ht="15.75" customHeight="1"/>
    <row r="632" s="1118" customFormat="1" ht="15.75" customHeight="1"/>
    <row r="633" s="1118" customFormat="1" ht="15.75" customHeight="1"/>
    <row r="634" s="1118" customFormat="1" ht="15.75" customHeight="1"/>
    <row r="635" s="1118" customFormat="1" ht="15.75" customHeight="1"/>
    <row r="636" s="1118" customFormat="1" ht="15.75" customHeight="1"/>
    <row r="637" s="1118" customFormat="1" ht="15.75" customHeight="1"/>
    <row r="638" s="1118" customFormat="1" ht="15.75" customHeight="1"/>
    <row r="639" s="1118" customFormat="1" ht="15.75" customHeight="1"/>
    <row r="640" s="1118" customFormat="1" ht="15.75" customHeight="1"/>
    <row r="641" s="1118" customFormat="1" ht="15.75" customHeight="1"/>
    <row r="642" s="1118" customFormat="1" ht="15.75" customHeight="1"/>
    <row r="643" s="1118" customFormat="1" ht="15.75" customHeight="1"/>
    <row r="644" s="1118" customFormat="1" ht="15.75" customHeight="1"/>
    <row r="645" s="1118" customFormat="1" ht="15.75" customHeight="1"/>
    <row r="646" s="1118" customFormat="1" ht="15.75" customHeight="1"/>
    <row r="647" s="1118" customFormat="1" ht="15.75" customHeight="1"/>
    <row r="648" s="1118" customFormat="1" ht="15.75" customHeight="1"/>
    <row r="649" s="1118" customFormat="1" ht="15.75" customHeight="1"/>
    <row r="650" s="1118" customFormat="1" ht="15.75" customHeight="1"/>
    <row r="651" s="1118" customFormat="1" ht="15.75" customHeight="1"/>
    <row r="652" s="1118" customFormat="1" ht="15.75" customHeight="1"/>
    <row r="653" s="1118" customFormat="1" ht="15.75" customHeight="1"/>
    <row r="654" s="1118" customFormat="1" ht="15.75" customHeight="1"/>
    <row r="655" s="1118" customFormat="1" ht="15.75" customHeight="1"/>
    <row r="656" s="1118" customFormat="1" ht="15.75" customHeight="1"/>
    <row r="657" s="1118" customFormat="1" ht="15.75" customHeight="1"/>
    <row r="658" s="1118" customFormat="1" ht="15.75" customHeight="1"/>
    <row r="659" s="1118" customFormat="1" ht="15.75" customHeight="1"/>
    <row r="660" s="1118" customFormat="1" ht="15.75" customHeight="1"/>
    <row r="661" s="1118" customFormat="1" ht="15.75" customHeight="1"/>
    <row r="662" s="1118" customFormat="1" ht="15.75" customHeight="1"/>
    <row r="663" s="1118" customFormat="1" ht="15.75" customHeight="1"/>
    <row r="664" s="1118" customFormat="1" ht="15.75" customHeight="1"/>
    <row r="665" s="1118" customFormat="1" ht="15.75" customHeight="1"/>
    <row r="666" s="1118" customFormat="1" ht="15.75" customHeight="1"/>
    <row r="667" s="1118" customFormat="1" ht="15.75" customHeight="1"/>
    <row r="668" s="1118" customFormat="1" ht="15.75" customHeight="1"/>
    <row r="669" s="1118" customFormat="1" ht="15.75" customHeight="1"/>
    <row r="670" s="1118" customFormat="1" ht="15.75" customHeight="1"/>
    <row r="671" s="1118" customFormat="1" ht="15.75" customHeight="1"/>
    <row r="672" s="1118" customFormat="1" ht="15.75" customHeight="1"/>
    <row r="673" s="1118" customFormat="1" ht="15.75" customHeight="1"/>
    <row r="674" s="1118" customFormat="1" ht="15.75" customHeight="1"/>
    <row r="675" s="1118" customFormat="1" ht="15.75" customHeight="1"/>
    <row r="676" s="1118" customFormat="1" ht="15.75" customHeight="1"/>
    <row r="677" s="1118" customFormat="1" ht="15.75" customHeight="1"/>
    <row r="678" s="1118" customFormat="1" ht="15.75" customHeight="1"/>
    <row r="679" s="1118" customFormat="1" ht="15.75" customHeight="1"/>
    <row r="680" s="1118" customFormat="1" ht="15.75" customHeight="1"/>
    <row r="681" s="1118" customFormat="1" ht="15.75" customHeight="1"/>
    <row r="682" s="1118" customFormat="1" ht="15.75" customHeight="1"/>
    <row r="683" s="1118" customFormat="1" ht="15.75" customHeight="1"/>
    <row r="684" s="1118" customFormat="1" ht="15.75" customHeight="1"/>
    <row r="685" s="1118" customFormat="1" ht="15.75" customHeight="1"/>
    <row r="686" s="1118" customFormat="1" ht="15.75" customHeight="1"/>
    <row r="687" s="1118" customFormat="1" ht="15.75" customHeight="1"/>
    <row r="688" s="1118" customFormat="1" ht="15.75" customHeight="1"/>
    <row r="689" s="1118" customFormat="1" ht="15.75" customHeight="1"/>
    <row r="690" s="1118" customFormat="1" ht="15.75" customHeight="1"/>
    <row r="691" s="1118" customFormat="1" ht="15.75" customHeight="1"/>
    <row r="692" s="1118" customFormat="1" ht="15.75" customHeight="1"/>
    <row r="693" s="1118" customFormat="1" ht="15.75" customHeight="1"/>
    <row r="694" s="1118" customFormat="1" ht="15.75" customHeight="1"/>
    <row r="695" s="1118" customFormat="1" ht="15.75" customHeight="1"/>
    <row r="696" s="1118" customFormat="1" ht="15.75" customHeight="1"/>
    <row r="697" s="1118" customFormat="1" ht="15.75" customHeight="1"/>
    <row r="698" s="1118" customFormat="1" ht="15.75" customHeight="1"/>
    <row r="699" s="1118" customFormat="1" ht="15.75" customHeight="1"/>
    <row r="700" s="1118" customFormat="1" ht="15.75" customHeight="1"/>
    <row r="701" s="1118" customFormat="1" ht="15.75" customHeight="1"/>
    <row r="702" s="1118" customFormat="1" ht="15.75" customHeight="1"/>
    <row r="703" s="1118" customFormat="1" ht="15.75" customHeight="1"/>
    <row r="704" s="1118" customFormat="1" ht="15.75" customHeight="1"/>
    <row r="705" s="1118" customFormat="1" ht="15.75" customHeight="1"/>
    <row r="706" s="1118" customFormat="1" ht="15.75" customHeight="1"/>
    <row r="707" s="1118" customFormat="1" ht="15.75" customHeight="1"/>
    <row r="708" s="1118" customFormat="1" ht="15.75" customHeight="1"/>
    <row r="709" s="1118" customFormat="1" ht="15.75" customHeight="1"/>
    <row r="710" s="1118" customFormat="1" ht="15.75" customHeight="1"/>
    <row r="711" s="1118" customFormat="1" ht="15.75" customHeight="1"/>
    <row r="712" s="1118" customFormat="1" ht="15.75" customHeight="1"/>
    <row r="713" s="1118" customFormat="1" ht="15.75" customHeight="1"/>
    <row r="714" s="1118" customFormat="1" ht="15.75" customHeight="1"/>
    <row r="715" s="1118" customFormat="1" ht="15.75" customHeight="1"/>
    <row r="716" s="1118" customFormat="1" ht="15.75" customHeight="1"/>
    <row r="717" s="1118" customFormat="1" ht="15.75" customHeight="1"/>
    <row r="718" s="1118" customFormat="1" ht="15.75" customHeight="1"/>
    <row r="719" s="1118" customFormat="1" ht="15.75" customHeight="1"/>
    <row r="720" s="1118" customFormat="1" ht="15.75" customHeight="1"/>
    <row r="721" s="1118" customFormat="1" ht="15.75" customHeight="1"/>
    <row r="722" s="1118" customFormat="1" ht="15.75" customHeight="1"/>
    <row r="723" s="1118" customFormat="1" ht="15.75" customHeight="1"/>
    <row r="724" s="1118" customFormat="1" ht="15.75" customHeight="1"/>
    <row r="725" s="1118" customFormat="1" ht="15.75" customHeight="1"/>
    <row r="726" s="1118" customFormat="1" ht="15.75" customHeight="1"/>
    <row r="727" s="1118" customFormat="1" ht="15.75" customHeight="1"/>
    <row r="728" s="1118" customFormat="1" ht="15.75" customHeight="1"/>
    <row r="729" s="1118" customFormat="1" ht="15.75" customHeight="1"/>
    <row r="730" s="1118" customFormat="1" ht="15.75" customHeight="1"/>
    <row r="731" s="1118" customFormat="1" ht="15.75" customHeight="1"/>
    <row r="732" s="1118" customFormat="1" ht="15.75" customHeight="1"/>
    <row r="733" s="1118" customFormat="1" ht="15.75" customHeight="1"/>
    <row r="734" s="1118" customFormat="1" ht="15.75" customHeight="1"/>
    <row r="735" s="1118" customFormat="1" ht="15.75" customHeight="1"/>
    <row r="736" s="1118" customFormat="1" ht="15.75" customHeight="1"/>
    <row r="737" s="1118" customFormat="1" ht="15.75" customHeight="1"/>
    <row r="738" s="1118" customFormat="1" ht="15.75" customHeight="1"/>
    <row r="739" s="1118" customFormat="1" ht="15.75" customHeight="1"/>
    <row r="740" s="1118" customFormat="1" ht="15.75" customHeight="1"/>
    <row r="741" s="1118" customFormat="1" ht="15.75" customHeight="1"/>
    <row r="742" s="1118" customFormat="1" ht="15.75" customHeight="1"/>
    <row r="743" s="1118" customFormat="1" ht="15.75" customHeight="1"/>
    <row r="744" s="1118" customFormat="1" ht="15.75" customHeight="1"/>
    <row r="745" s="1118" customFormat="1" ht="15.75" customHeight="1"/>
    <row r="746" s="1118" customFormat="1" ht="15.75" customHeight="1"/>
    <row r="747" s="1118" customFormat="1" ht="15.75" customHeight="1"/>
    <row r="748" s="1118" customFormat="1" ht="15.75" customHeight="1"/>
    <row r="749" s="1118" customFormat="1" ht="15.75" customHeight="1"/>
    <row r="750" s="1118" customFormat="1" ht="15.75" customHeight="1"/>
    <row r="751" s="1118" customFormat="1" ht="15.75" customHeight="1"/>
    <row r="752" s="1118" customFormat="1" ht="15.75" customHeight="1"/>
    <row r="753" s="1118" customFormat="1" ht="15.75" customHeight="1"/>
    <row r="754" s="1118" customFormat="1" ht="15.75" customHeight="1"/>
    <row r="755" s="1118" customFormat="1" ht="15.75" customHeight="1"/>
    <row r="756" s="1118" customFormat="1" ht="15.75" customHeight="1"/>
    <row r="757" s="1118" customFormat="1" ht="15.75" customHeight="1"/>
    <row r="758" s="1118" customFormat="1" ht="15.75" customHeight="1"/>
    <row r="759" s="1118" customFormat="1" ht="15.75" customHeight="1"/>
    <row r="760" s="1118" customFormat="1" ht="15.75" customHeight="1"/>
    <row r="761" s="1118" customFormat="1" ht="15.75" customHeight="1"/>
    <row r="762" s="1118" customFormat="1" ht="15.75" customHeight="1"/>
    <row r="763" s="1118" customFormat="1" ht="15.75" customHeight="1"/>
    <row r="764" s="1118" customFormat="1" ht="15.75" customHeight="1"/>
    <row r="765" s="1118" customFormat="1" ht="15.75" customHeight="1"/>
    <row r="766" s="1118" customFormat="1" ht="15.75" customHeight="1"/>
    <row r="767" s="1118" customFormat="1" ht="15.75" customHeight="1"/>
    <row r="768" s="1118" customFormat="1" ht="15.75" customHeight="1"/>
    <row r="769" s="1118" customFormat="1" ht="15.75" customHeight="1"/>
    <row r="770" s="1118" customFormat="1" ht="15.75" customHeight="1"/>
    <row r="771" s="1118" customFormat="1" ht="15.75" customHeight="1"/>
    <row r="772" s="1118" customFormat="1" ht="15.75" customHeight="1"/>
    <row r="773" s="1118" customFormat="1" ht="15.75" customHeight="1"/>
    <row r="774" s="1118" customFormat="1" ht="15.75" customHeight="1"/>
    <row r="775" s="1118" customFormat="1" ht="15.75" customHeight="1"/>
    <row r="776" s="1118" customFormat="1" ht="15.75" customHeight="1"/>
    <row r="777" s="1118" customFormat="1" ht="15.75" customHeight="1"/>
    <row r="778" s="1118" customFormat="1" ht="15.75" customHeight="1"/>
    <row r="779" s="1118" customFormat="1" ht="15.75" customHeight="1"/>
    <row r="780" s="1118" customFormat="1" ht="15.75" customHeight="1"/>
    <row r="781" s="1118" customFormat="1" ht="15.75" customHeight="1"/>
    <row r="782" s="1118" customFormat="1" ht="15.75" customHeight="1"/>
    <row r="783" s="1118" customFormat="1" ht="15.75" customHeight="1"/>
    <row r="784" s="1118" customFormat="1" ht="15.75" customHeight="1"/>
    <row r="785" s="1118" customFormat="1" ht="15.75" customHeight="1"/>
    <row r="786" s="1118" customFormat="1" ht="15.75" customHeight="1"/>
    <row r="787" s="1118" customFormat="1" ht="15.75" customHeight="1"/>
    <row r="788" s="1118" customFormat="1" ht="15.75" customHeight="1"/>
    <row r="789" s="1118" customFormat="1" ht="15.75" customHeight="1"/>
    <row r="790" s="1118" customFormat="1" ht="15.75" customHeight="1"/>
    <row r="791" s="1118" customFormat="1" ht="15.75" customHeight="1"/>
    <row r="792" s="1118" customFormat="1" ht="15.75" customHeight="1"/>
    <row r="793" s="1118" customFormat="1" ht="15.75" customHeight="1"/>
    <row r="794" s="1118" customFormat="1" ht="15.75" customHeight="1"/>
    <row r="795" s="1118" customFormat="1" ht="15.75" customHeight="1"/>
    <row r="796" s="1118" customFormat="1" ht="15.75" customHeight="1"/>
    <row r="797" s="1118" customFormat="1" ht="15.75" customHeight="1"/>
    <row r="798" s="1118" customFormat="1" ht="15.75" customHeight="1"/>
    <row r="799" s="1118" customFormat="1" ht="15.75" customHeight="1"/>
    <row r="800" s="1118" customFormat="1" ht="15.75" customHeight="1"/>
    <row r="801" s="1118" customFormat="1" ht="15.75" customHeight="1"/>
    <row r="802" s="1118" customFormat="1" ht="15.75" customHeight="1"/>
    <row r="803" s="1118" customFormat="1" ht="15.75" customHeight="1"/>
    <row r="804" s="1118" customFormat="1" ht="15.75" customHeight="1"/>
    <row r="805" s="1118" customFormat="1" ht="15.75" customHeight="1"/>
    <row r="806" s="1118" customFormat="1" ht="15.75" customHeight="1"/>
    <row r="807" s="1118" customFormat="1" ht="15.75" customHeight="1"/>
    <row r="808" s="1118" customFormat="1" ht="15.75" customHeight="1"/>
    <row r="809" s="1118" customFormat="1" ht="15.75" customHeight="1"/>
    <row r="810" s="1118" customFormat="1" ht="15.75" customHeight="1"/>
    <row r="811" s="1118" customFormat="1" ht="15.75" customHeight="1"/>
    <row r="812" s="1118" customFormat="1" ht="15.75" customHeight="1"/>
    <row r="813" s="1118" customFormat="1" ht="15.75" customHeight="1"/>
    <row r="814" s="1118" customFormat="1" ht="15.75" customHeight="1"/>
    <row r="815" s="1118" customFormat="1" ht="15.75" customHeight="1"/>
    <row r="816" s="1118" customFormat="1" ht="15.75" customHeight="1"/>
    <row r="817" s="1118" customFormat="1" ht="15.75" customHeight="1"/>
    <row r="818" s="1118" customFormat="1" ht="15.75" customHeight="1"/>
    <row r="819" s="1118" customFormat="1" ht="15.75" customHeight="1"/>
    <row r="820" s="1118" customFormat="1" ht="15.75" customHeight="1"/>
    <row r="821" s="1118" customFormat="1" ht="15.75" customHeight="1"/>
    <row r="822" s="1118" customFormat="1" ht="15.75" customHeight="1"/>
    <row r="823" s="1118" customFormat="1" ht="15.75" customHeight="1"/>
    <row r="824" s="1118" customFormat="1" ht="15.75" customHeight="1"/>
    <row r="825" s="1118" customFormat="1" ht="15.75" customHeight="1"/>
    <row r="826" s="1118" customFormat="1" ht="15.75" customHeight="1"/>
    <row r="827" s="1118" customFormat="1" ht="15.75" customHeight="1"/>
    <row r="828" s="1118" customFormat="1" ht="15.75" customHeight="1"/>
    <row r="829" s="1118" customFormat="1" ht="15.75" customHeight="1"/>
    <row r="830" s="1118" customFormat="1" ht="15.75" customHeight="1"/>
    <row r="831" s="1118" customFormat="1" ht="15.75" customHeight="1"/>
    <row r="832" s="1118" customFormat="1" ht="15.75" customHeight="1"/>
    <row r="833" s="1118" customFormat="1" ht="15.75" customHeight="1"/>
    <row r="834" s="1118" customFormat="1" ht="15.75" customHeight="1"/>
    <row r="835" s="1118" customFormat="1" ht="15.75" customHeight="1"/>
    <row r="836" s="1118" customFormat="1" ht="15.75" customHeight="1"/>
    <row r="837" s="1118" customFormat="1" ht="15.75" customHeight="1"/>
    <row r="838" s="1118" customFormat="1" ht="15.75" customHeight="1"/>
    <row r="839" s="1118" customFormat="1" ht="15.75" customHeight="1"/>
    <row r="840" s="1118" customFormat="1" ht="15.75" customHeight="1"/>
    <row r="841" s="1118" customFormat="1" ht="15.75" customHeight="1"/>
    <row r="842" s="1118" customFormat="1" ht="15.75" customHeight="1"/>
    <row r="843" s="1118" customFormat="1" ht="15.75" customHeight="1"/>
    <row r="844" s="1118" customFormat="1" ht="15.75" customHeight="1"/>
    <row r="845" s="1118" customFormat="1" ht="15.75" customHeight="1"/>
    <row r="846" s="1118" customFormat="1" ht="15.75" customHeight="1"/>
    <row r="847" s="1118" customFormat="1" ht="15.75" customHeight="1"/>
    <row r="848" s="1118" customFormat="1" ht="15.75" customHeight="1"/>
    <row r="849" s="1118" customFormat="1" ht="15.75" customHeight="1"/>
    <row r="850" s="1118" customFormat="1" ht="15.75" customHeight="1"/>
    <row r="851" s="1118" customFormat="1" ht="15.75" customHeight="1"/>
    <row r="852" s="1118" customFormat="1" ht="15.75" customHeight="1"/>
    <row r="853" s="1118" customFormat="1" ht="15.75" customHeight="1"/>
    <row r="854" s="1118" customFormat="1" ht="15.75" customHeight="1"/>
    <row r="855" s="1118" customFormat="1" ht="15.75" customHeight="1"/>
    <row r="856" s="1118" customFormat="1" ht="15.75" customHeight="1"/>
    <row r="857" s="1118" customFormat="1" ht="15.75" customHeight="1"/>
    <row r="858" s="1118" customFormat="1" ht="15.75" customHeight="1"/>
    <row r="859" s="1118" customFormat="1" ht="15.75" customHeight="1"/>
    <row r="860" s="1118" customFormat="1" ht="15.75" customHeight="1"/>
    <row r="861" s="1118" customFormat="1" ht="15.75" customHeight="1"/>
    <row r="862" s="1118" customFormat="1" ht="15.75" customHeight="1"/>
    <row r="863" s="1118" customFormat="1" ht="15.75" customHeight="1"/>
    <row r="864" s="1118" customFormat="1" ht="15.75" customHeight="1"/>
    <row r="865" s="1118" customFormat="1" ht="15.75" customHeight="1"/>
    <row r="866" s="1118" customFormat="1" ht="15.75" customHeight="1"/>
    <row r="867" s="1118" customFormat="1" ht="15.75" customHeight="1"/>
    <row r="868" s="1118" customFormat="1" ht="15.75" customHeight="1"/>
    <row r="869" s="1118" customFormat="1" ht="15.75" customHeight="1"/>
    <row r="870" s="1118" customFormat="1" ht="15.75" customHeight="1"/>
    <row r="871" s="1118" customFormat="1" ht="15.75" customHeight="1"/>
    <row r="872" s="1118" customFormat="1" ht="15.75" customHeight="1"/>
    <row r="873" s="1118" customFormat="1" ht="15.75" customHeight="1"/>
    <row r="874" s="1118" customFormat="1" ht="15.75" customHeight="1"/>
    <row r="875" s="1118" customFormat="1" ht="15.75" customHeight="1"/>
    <row r="876" s="1118" customFormat="1" ht="15.75" customHeight="1"/>
    <row r="877" s="1118" customFormat="1" ht="15.75" customHeight="1"/>
    <row r="878" s="1118" customFormat="1" ht="15.75" customHeight="1"/>
    <row r="879" s="1118" customFormat="1" ht="15.75" customHeight="1"/>
    <row r="880" s="1118" customFormat="1" ht="15.75" customHeight="1"/>
    <row r="881" s="1118" customFormat="1" ht="15.75" customHeight="1"/>
    <row r="882" s="1118" customFormat="1" ht="15.75" customHeight="1"/>
    <row r="883" s="1118" customFormat="1" ht="15.75" customHeight="1"/>
    <row r="884" s="1118" customFormat="1" ht="15.75" customHeight="1"/>
    <row r="885" s="1118" customFormat="1" ht="15.75" customHeight="1"/>
    <row r="886" s="1118" customFormat="1" ht="15.75" customHeight="1"/>
    <row r="887" s="1118" customFormat="1" ht="15.75" customHeight="1"/>
    <row r="888" s="1118" customFormat="1" ht="15.75" customHeight="1"/>
    <row r="889" s="1118" customFormat="1" ht="15.75" customHeight="1"/>
    <row r="890" s="1118" customFormat="1" ht="15.75" customHeight="1"/>
    <row r="891" s="1118" customFormat="1" ht="15.75" customHeight="1"/>
    <row r="892" s="1118" customFormat="1" ht="15.75" customHeight="1"/>
    <row r="893" s="1118" customFormat="1" ht="15.75" customHeight="1"/>
    <row r="894" s="1118" customFormat="1" ht="15.75" customHeight="1"/>
    <row r="895" s="1118" customFormat="1" ht="15.75" customHeight="1"/>
    <row r="896" s="1118" customFormat="1" ht="15.75" customHeight="1"/>
    <row r="897" s="1118" customFormat="1" ht="15.75" customHeight="1"/>
    <row r="898" s="1118" customFormat="1" ht="15.75" customHeight="1"/>
    <row r="899" s="1118" customFormat="1" ht="15.75" customHeight="1"/>
    <row r="900" s="1118" customFormat="1" ht="15.75" customHeight="1"/>
    <row r="901" s="1118" customFormat="1" ht="15.75" customHeight="1"/>
    <row r="902" s="1118" customFormat="1" ht="15.75" customHeight="1"/>
    <row r="903" s="1118" customFormat="1" ht="15.75" customHeight="1"/>
    <row r="904" s="1118" customFormat="1" ht="15.75" customHeight="1"/>
    <row r="905" s="1118" customFormat="1" ht="15.75" customHeight="1"/>
    <row r="906" s="1118" customFormat="1" ht="15.75" customHeight="1"/>
    <row r="907" s="1118" customFormat="1" ht="15.75" customHeight="1"/>
    <row r="908" s="1118" customFormat="1" ht="15.75" customHeight="1"/>
    <row r="909" s="1118" customFormat="1" ht="15.75" customHeight="1"/>
    <row r="910" s="1118" customFormat="1" ht="15.75" customHeight="1"/>
    <row r="911" s="1118" customFormat="1" ht="15.75" customHeight="1"/>
    <row r="912" s="1118" customFormat="1" ht="15.75" customHeight="1"/>
    <row r="913" s="1118" customFormat="1" ht="15.75" customHeight="1"/>
    <row r="914" s="1118" customFormat="1" ht="15.75" customHeight="1"/>
    <row r="915" s="1118" customFormat="1" ht="15.75" customHeight="1"/>
    <row r="916" s="1118" customFormat="1" ht="15.75" customHeight="1"/>
    <row r="917" s="1118" customFormat="1" ht="15.75" customHeight="1"/>
    <row r="918" s="1118" customFormat="1" ht="15.75" customHeight="1"/>
    <row r="919" s="1118" customFormat="1" ht="15.75" customHeight="1"/>
    <row r="920" s="1118" customFormat="1" ht="15.75" customHeight="1"/>
    <row r="921" s="1118" customFormat="1" ht="15.75" customHeight="1"/>
    <row r="922" s="1118" customFormat="1" ht="15.75" customHeight="1"/>
    <row r="923" s="1118" customFormat="1" ht="15.75" customHeight="1"/>
    <row r="924" s="1118" customFormat="1" ht="15.75" customHeight="1"/>
    <row r="925" s="1118" customFormat="1" ht="15.75" customHeight="1"/>
    <row r="926" s="1118" customFormat="1" ht="15.75" customHeight="1"/>
    <row r="927" s="1118" customFormat="1" ht="15.75" customHeight="1"/>
    <row r="928" s="1118" customFormat="1" ht="15.75" customHeight="1"/>
    <row r="929" s="1118" customFormat="1" ht="15.75" customHeight="1"/>
    <row r="930" s="1118" customFormat="1" ht="15.75" customHeight="1"/>
    <row r="931" s="1118" customFormat="1" ht="15.75" customHeight="1"/>
    <row r="932" s="1118" customFormat="1" ht="15.75" customHeight="1"/>
    <row r="933" s="1118" customFormat="1" ht="15.75" customHeight="1"/>
    <row r="934" s="1118" customFormat="1" ht="15.75" customHeight="1"/>
    <row r="935" s="1118" customFormat="1" ht="15.75" customHeight="1"/>
    <row r="936" s="1118" customFormat="1" ht="15.75" customHeight="1"/>
    <row r="937" s="1118" customFormat="1" ht="15.75" customHeight="1"/>
    <row r="938" s="1118" customFormat="1" ht="15.75" customHeight="1"/>
    <row r="939" s="1118" customFormat="1" ht="15.75" customHeight="1"/>
    <row r="940" s="1118" customFormat="1" ht="15.75" customHeight="1"/>
    <row r="941" s="1118" customFormat="1" ht="15.75" customHeight="1"/>
    <row r="942" s="1118" customFormat="1" ht="15.75" customHeight="1"/>
    <row r="943" s="1118" customFormat="1" ht="15.75" customHeight="1"/>
    <row r="944" s="1118" customFormat="1" ht="15.75" customHeight="1"/>
    <row r="945" s="1118" customFormat="1" ht="15.75" customHeight="1"/>
    <row r="946" s="1118" customFormat="1" ht="15.75" customHeight="1"/>
    <row r="947" s="1118" customFormat="1" ht="15.75" customHeight="1"/>
    <row r="948" s="1118" customFormat="1" ht="15.75" customHeight="1"/>
    <row r="949" s="1118" customFormat="1" ht="15.75" customHeight="1"/>
    <row r="950" s="1118" customFormat="1" ht="15.75" customHeight="1"/>
    <row r="951" s="1118" customFormat="1" ht="15.75" customHeight="1"/>
    <row r="952" s="1118" customFormat="1" ht="15.75" customHeight="1"/>
    <row r="953" s="1118" customFormat="1" ht="15.75" customHeight="1"/>
    <row r="954" s="1118" customFormat="1" ht="15.75" customHeight="1"/>
    <row r="955" s="1118" customFormat="1" ht="15.75" customHeight="1"/>
    <row r="956" s="1118" customFormat="1" ht="15.75" customHeight="1"/>
    <row r="957" s="1118" customFormat="1" ht="15.75" customHeight="1"/>
    <row r="958" s="1118" customFormat="1" ht="15.75" customHeight="1"/>
    <row r="959" s="1118" customFormat="1" ht="15.75" customHeight="1"/>
    <row r="960" s="1118" customFormat="1" ht="15.75" customHeight="1"/>
    <row r="961" s="1118" customFormat="1" ht="15.75" customHeight="1"/>
    <row r="962" s="1118" customFormat="1" ht="15.75" customHeight="1"/>
    <row r="963" s="1118" customFormat="1" ht="15.75" customHeight="1"/>
    <row r="964" s="1118" customFormat="1" ht="15.75" customHeight="1"/>
    <row r="965" s="1118" customFormat="1" ht="15.75" customHeight="1"/>
    <row r="966" s="1118" customFormat="1" ht="15.75" customHeight="1"/>
    <row r="967" s="1118" customFormat="1" ht="15.75" customHeight="1"/>
    <row r="968" s="1118" customFormat="1" ht="15.75" customHeight="1"/>
    <row r="969" s="1118" customFormat="1" ht="15.75" customHeight="1"/>
    <row r="970" s="1118" customFormat="1" ht="15.75" customHeight="1"/>
    <row r="971" s="1118" customFormat="1" ht="15.75" customHeight="1"/>
    <row r="972" s="1118" customFormat="1" ht="15.75" customHeight="1"/>
    <row r="973" s="1118" customFormat="1" ht="15.75" customHeight="1"/>
    <row r="974" s="1118" customFormat="1" ht="15.75" customHeight="1"/>
    <row r="975" s="1118" customFormat="1" ht="15.75" customHeight="1"/>
    <row r="976" s="1118" customFormat="1" ht="15.75" customHeight="1"/>
    <row r="977" s="1118" customFormat="1" ht="15.75" customHeight="1"/>
    <row r="978" s="1118" customFormat="1" ht="15.75" customHeight="1"/>
    <row r="979" s="1118" customFormat="1" ht="15.75" customHeight="1"/>
    <row r="980" s="1118" customFormat="1" ht="15.75" customHeight="1"/>
    <row r="981" s="1118" customFormat="1" ht="15.75" customHeight="1"/>
    <row r="982" s="1118" customFormat="1" ht="15.75" customHeight="1"/>
    <row r="983" s="1118" customFormat="1" ht="15.75" customHeight="1"/>
    <row r="984" s="1118" customFormat="1" ht="15.75" customHeight="1"/>
    <row r="985" s="1118" customFormat="1" ht="15.75" customHeight="1"/>
    <row r="986" s="1118" customFormat="1" ht="15.75" customHeight="1"/>
    <row r="987" s="1118" customFormat="1" ht="15.75" customHeight="1"/>
    <row r="988" s="1118" customFormat="1" ht="15.75" customHeight="1"/>
    <row r="989" s="1118" customFormat="1" ht="15.75" customHeight="1"/>
    <row r="990" s="1118" customFormat="1" ht="15.75" customHeight="1"/>
    <row r="991" s="1118" customFormat="1" ht="15.75" customHeight="1"/>
    <row r="992" s="1118" customFormat="1" ht="15.75" customHeight="1"/>
    <row r="993" s="1118" customFormat="1" ht="15.75" customHeight="1"/>
    <row r="994" s="1118" customFormat="1" ht="15.75" customHeight="1"/>
    <row r="995" s="1118" customFormat="1" ht="15.75" customHeight="1"/>
    <row r="996" s="1118" customFormat="1" ht="15.75" customHeight="1"/>
    <row r="997" s="1118" customFormat="1" ht="15.75" customHeight="1"/>
    <row r="998" s="1118" customFormat="1" ht="15.75" customHeight="1"/>
    <row r="999" s="1118" customFormat="1" ht="15.75" customHeight="1"/>
    <row r="1000" s="1118" customFormat="1" ht="15.75" customHeight="1"/>
  </sheetData>
  <pageMargins left="0.75" right="0.75" top="1" bottom="1" header="0" footer="0"/>
  <pageSetup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F9575-8725-486D-ABE9-141910C1CCA2}">
  <sheetPr>
    <tabColor rgb="FFB7B7B7"/>
  </sheetPr>
  <dimension ref="A1:N1000"/>
  <sheetViews>
    <sheetView workbookViewId="0">
      <selection activeCell="B48" sqref="B48"/>
    </sheetView>
  </sheetViews>
  <sheetFormatPr defaultColWidth="12.42578125" defaultRowHeight="15" customHeight="1"/>
  <cols>
    <col min="1" max="1" width="23.5703125" style="1118" customWidth="1"/>
    <col min="2" max="2" width="12.85546875" style="1118" customWidth="1"/>
    <col min="3" max="3" width="15.85546875" style="1118" customWidth="1"/>
    <col min="4" max="4" width="18" style="1118" customWidth="1"/>
    <col min="5" max="5" width="17.140625" style="1118" customWidth="1"/>
    <col min="6" max="6" width="15.140625" style="1118" customWidth="1"/>
    <col min="7" max="14" width="9.140625" style="1118" customWidth="1"/>
    <col min="15" max="16384" width="12.42578125" style="1118"/>
  </cols>
  <sheetData>
    <row r="1" spans="1:14" ht="12" customHeight="1">
      <c r="A1" s="1156" t="s">
        <v>1856</v>
      </c>
      <c r="B1" s="1155">
        <v>6.0100000000000001E-2</v>
      </c>
      <c r="C1" s="1154" t="s">
        <v>1855</v>
      </c>
      <c r="D1" s="1153" t="s">
        <v>1854</v>
      </c>
      <c r="E1" s="1151"/>
      <c r="F1" s="1133"/>
    </row>
    <row r="2" spans="1:14" ht="12" customHeight="1">
      <c r="A2" s="1152" t="s">
        <v>1853</v>
      </c>
      <c r="B2" s="1151"/>
      <c r="C2" s="1133"/>
      <c r="D2" s="1133"/>
      <c r="E2" s="1133"/>
      <c r="F2" s="1133"/>
    </row>
    <row r="3" spans="1:14" ht="12" customHeight="1">
      <c r="A3" s="1151"/>
      <c r="B3" s="1151"/>
      <c r="C3" s="1151"/>
      <c r="D3" s="1151"/>
      <c r="E3" s="1133"/>
      <c r="F3" s="1133"/>
    </row>
    <row r="4" spans="1:14" ht="12" customHeight="1">
      <c r="A4" s="1150" t="s">
        <v>656</v>
      </c>
      <c r="B4" s="1138" t="s">
        <v>1852</v>
      </c>
      <c r="C4" s="1150" t="s">
        <v>1851</v>
      </c>
      <c r="D4" s="1149" t="s">
        <v>1850</v>
      </c>
      <c r="E4" s="1148" t="s">
        <v>53</v>
      </c>
      <c r="F4" s="1148" t="s">
        <v>1849</v>
      </c>
      <c r="J4" s="1147" t="s">
        <v>1848</v>
      </c>
      <c r="K4" s="1146" t="s">
        <v>1847</v>
      </c>
      <c r="L4" s="1146" t="s">
        <v>1846</v>
      </c>
      <c r="M4" s="1146" t="s">
        <v>1495</v>
      </c>
      <c r="N4" s="1146" t="s">
        <v>1845</v>
      </c>
    </row>
    <row r="5" spans="1:14" ht="12" customHeight="1">
      <c r="A5" s="1140" t="s">
        <v>1844</v>
      </c>
      <c r="B5" s="1138" t="s">
        <v>1674</v>
      </c>
      <c r="C5" s="1136">
        <v>5.8999999999999999E-3</v>
      </c>
      <c r="D5" s="1136">
        <v>6.7000000000000004E-2</v>
      </c>
      <c r="E5" s="1142">
        <v>6.8999999999999999E-3</v>
      </c>
      <c r="F5" s="1142">
        <v>0.55000000000000004</v>
      </c>
      <c r="J5" s="1145" t="s">
        <v>1843</v>
      </c>
      <c r="K5" s="1144">
        <v>9.4899999999999998E-2</v>
      </c>
      <c r="L5" s="1144">
        <v>4.5100000000000001E-2</v>
      </c>
      <c r="M5" s="1144">
        <v>0.27460000000000001</v>
      </c>
      <c r="N5" s="1144">
        <v>5.2499999999999998E-2</v>
      </c>
    </row>
    <row r="6" spans="1:14" ht="12" customHeight="1">
      <c r="A6" s="1140" t="s">
        <v>1842</v>
      </c>
      <c r="B6" s="1138" t="s">
        <v>1667</v>
      </c>
      <c r="C6" s="1136">
        <v>5.3999999999999999E-2</v>
      </c>
      <c r="D6" s="1136">
        <v>0.123</v>
      </c>
      <c r="E6" s="1142">
        <v>6.2899999999999998E-2</v>
      </c>
      <c r="F6" s="1142">
        <v>0.15</v>
      </c>
      <c r="J6" s="1145" t="s">
        <v>1841</v>
      </c>
      <c r="K6" s="1144">
        <v>5.28E-2</v>
      </c>
      <c r="L6" s="1144">
        <v>8.8999999999999999E-3</v>
      </c>
      <c r="M6" s="1144">
        <v>0.26529999999999998</v>
      </c>
      <c r="N6" s="1144">
        <v>1.04E-2</v>
      </c>
    </row>
    <row r="7" spans="1:14" ht="12" customHeight="1">
      <c r="A7" s="1139" t="s">
        <v>1840</v>
      </c>
      <c r="B7" s="1138" t="s">
        <v>1669</v>
      </c>
      <c r="C7" s="1137">
        <v>2.2800000000000001E-2</v>
      </c>
      <c r="D7" s="1136">
        <v>8.6699999999999999E-2</v>
      </c>
      <c r="E7" s="1141">
        <v>2.6599999999999999E-2</v>
      </c>
      <c r="F7" s="1141">
        <v>0.26</v>
      </c>
      <c r="J7" s="1145" t="s">
        <v>1839</v>
      </c>
      <c r="K7" s="1144">
        <v>4.24E-2</v>
      </c>
      <c r="L7" s="1144">
        <v>0</v>
      </c>
      <c r="M7" s="1144">
        <v>0.29720000000000002</v>
      </c>
      <c r="N7" s="1144">
        <v>0</v>
      </c>
    </row>
    <row r="8" spans="1:14" ht="12" customHeight="1">
      <c r="A8" s="1140" t="s">
        <v>1838</v>
      </c>
      <c r="B8" s="1138" t="s">
        <v>1687</v>
      </c>
      <c r="C8" s="1136">
        <v>7.8E-2</v>
      </c>
      <c r="D8" s="1136">
        <v>0.151</v>
      </c>
      <c r="E8" s="1142">
        <v>9.0899999999999995E-2</v>
      </c>
      <c r="F8" s="1142">
        <v>0.1898</v>
      </c>
      <c r="J8" s="1145" t="s">
        <v>1837</v>
      </c>
      <c r="K8" s="1144">
        <v>0.11070000000000001</v>
      </c>
      <c r="L8" s="1144">
        <v>5.8799999999999998E-2</v>
      </c>
      <c r="M8" s="1144">
        <v>0.24060000000000001</v>
      </c>
      <c r="N8" s="1144">
        <v>6.83E-2</v>
      </c>
    </row>
    <row r="9" spans="1:14" ht="12" customHeight="1">
      <c r="A9" s="1140" t="s">
        <v>1836</v>
      </c>
      <c r="B9" s="1138" t="s">
        <v>1661</v>
      </c>
      <c r="C9" s="1136">
        <v>0.1439</v>
      </c>
      <c r="D9" s="1136">
        <v>0.22789999999999999</v>
      </c>
      <c r="E9" s="1142">
        <v>0.1678</v>
      </c>
      <c r="F9" s="1142">
        <v>0.25</v>
      </c>
      <c r="J9" s="1145" t="s">
        <v>1835</v>
      </c>
      <c r="K9" s="1144">
        <v>8.0299999999999996E-2</v>
      </c>
      <c r="L9" s="1144">
        <v>3.2599999999999997E-2</v>
      </c>
      <c r="M9" s="1144">
        <v>0.30299999999999999</v>
      </c>
      <c r="N9" s="1144">
        <v>3.7900000000000003E-2</v>
      </c>
    </row>
    <row r="10" spans="1:14" ht="12" customHeight="1">
      <c r="A10" s="1140" t="s">
        <v>1834</v>
      </c>
      <c r="B10" s="1138" t="s">
        <v>1663</v>
      </c>
      <c r="C10" s="1136">
        <v>4.3099999999999999E-2</v>
      </c>
      <c r="D10" s="1136">
        <v>0.1104</v>
      </c>
      <c r="E10" s="1142">
        <v>5.0299999999999997E-2</v>
      </c>
      <c r="F10" s="1142">
        <v>0.25</v>
      </c>
      <c r="J10" s="1145" t="s">
        <v>1833</v>
      </c>
      <c r="K10" s="1144">
        <v>6.3500000000000001E-2</v>
      </c>
      <c r="L10" s="1144">
        <v>1.8200000000000001E-2</v>
      </c>
      <c r="M10" s="1144">
        <v>0.18229999999999999</v>
      </c>
      <c r="N10" s="1144">
        <v>2.1100000000000001E-2</v>
      </c>
    </row>
    <row r="11" spans="1:14" ht="12" customHeight="1">
      <c r="A11" s="1140" t="s">
        <v>1832</v>
      </c>
      <c r="B11" s="1138" t="s">
        <v>1669</v>
      </c>
      <c r="C11" s="1136">
        <v>2.2800000000000001E-2</v>
      </c>
      <c r="D11" s="1136">
        <v>8.6699999999999999E-2</v>
      </c>
      <c r="E11" s="1142">
        <v>2.6599999999999999E-2</v>
      </c>
      <c r="F11" s="1142">
        <v>0.18</v>
      </c>
      <c r="J11" s="1145" t="s">
        <v>1831</v>
      </c>
      <c r="K11" s="1144">
        <v>5.8400000000000001E-2</v>
      </c>
      <c r="L11" s="1144">
        <v>1.38E-2</v>
      </c>
      <c r="M11" s="1144">
        <v>0.29699999999999999</v>
      </c>
      <c r="N11" s="1144">
        <v>1.6E-2</v>
      </c>
    </row>
    <row r="12" spans="1:14" ht="12" customHeight="1">
      <c r="A12" s="1140" t="s">
        <v>1830</v>
      </c>
      <c r="B12" s="1138" t="s">
        <v>1671</v>
      </c>
      <c r="C12" s="1136">
        <v>0</v>
      </c>
      <c r="D12" s="1136">
        <v>6.0100000000000001E-2</v>
      </c>
      <c r="E12" s="1142">
        <v>0</v>
      </c>
      <c r="F12" s="1142">
        <v>0.25</v>
      </c>
      <c r="J12" s="1145" t="s">
        <v>1829</v>
      </c>
      <c r="K12" s="1144">
        <v>4.24E-2</v>
      </c>
      <c r="L12" s="1144">
        <v>0</v>
      </c>
      <c r="M12" s="1144">
        <v>0.26960000000000001</v>
      </c>
      <c r="N12" s="1144">
        <v>0</v>
      </c>
    </row>
    <row r="13" spans="1:14" ht="12" customHeight="1">
      <c r="A13" s="1140" t="s">
        <v>1828</v>
      </c>
      <c r="B13" s="1138" t="s">
        <v>1783</v>
      </c>
      <c r="C13" s="1136">
        <v>4.7999999999999996E-3</v>
      </c>
      <c r="D13" s="1136">
        <v>6.5699999999999995E-2</v>
      </c>
      <c r="E13" s="1142">
        <v>5.5999999999999999E-3</v>
      </c>
      <c r="F13" s="1142">
        <v>0.3</v>
      </c>
      <c r="J13" s="1145" t="s">
        <v>1827</v>
      </c>
      <c r="K13" s="1144">
        <v>5.0700000000000002E-2</v>
      </c>
      <c r="L13" s="1144">
        <v>7.1999999999999998E-3</v>
      </c>
      <c r="M13" s="1144">
        <v>0.2394</v>
      </c>
      <c r="N13" s="1144">
        <v>8.3000000000000001E-3</v>
      </c>
    </row>
    <row r="14" spans="1:14" ht="12" customHeight="1">
      <c r="A14" s="1140" t="s">
        <v>1826</v>
      </c>
      <c r="B14" s="1138" t="s">
        <v>1685</v>
      </c>
      <c r="C14" s="1136">
        <v>3.61E-2</v>
      </c>
      <c r="D14" s="1136">
        <v>0.1022</v>
      </c>
      <c r="E14" s="1142">
        <v>4.2099999999999999E-2</v>
      </c>
      <c r="F14" s="1142">
        <v>0.25</v>
      </c>
      <c r="J14" s="1145" t="s">
        <v>1825</v>
      </c>
      <c r="K14" s="1144">
        <v>5.2600000000000001E-2</v>
      </c>
      <c r="L14" s="1144">
        <v>8.8000000000000005E-3</v>
      </c>
      <c r="M14" s="1141">
        <v>0.26069999999999999</v>
      </c>
      <c r="N14" s="1141">
        <v>1.0200000000000001E-2</v>
      </c>
    </row>
    <row r="15" spans="1:14" ht="12" customHeight="1">
      <c r="A15" s="1140" t="s">
        <v>1824</v>
      </c>
      <c r="B15" s="1138" t="s">
        <v>1663</v>
      </c>
      <c r="C15" s="1136">
        <v>4.3099999999999999E-2</v>
      </c>
      <c r="D15" s="1136">
        <v>0.1104</v>
      </c>
      <c r="E15" s="1142">
        <v>5.0299999999999997E-2</v>
      </c>
      <c r="F15" s="1142">
        <v>0.2</v>
      </c>
    </row>
    <row r="16" spans="1:14" ht="12" customHeight="1">
      <c r="A16" s="1140" t="s">
        <v>1823</v>
      </c>
      <c r="B16" s="1138" t="s">
        <v>1678</v>
      </c>
      <c r="C16" s="1136">
        <v>6.6000000000000003E-2</v>
      </c>
      <c r="D16" s="1136">
        <v>0.13700000000000001</v>
      </c>
      <c r="E16" s="1142">
        <v>7.6899999999999996E-2</v>
      </c>
      <c r="F16" s="1142">
        <v>0</v>
      </c>
    </row>
    <row r="17" spans="1:6" ht="12" customHeight="1">
      <c r="A17" s="1140" t="s">
        <v>1822</v>
      </c>
      <c r="B17" s="1138" t="s">
        <v>1663</v>
      </c>
      <c r="C17" s="1136">
        <v>4.3099999999999999E-2</v>
      </c>
      <c r="D17" s="1136">
        <v>0.1104</v>
      </c>
      <c r="E17" s="1142">
        <v>5.0299999999999997E-2</v>
      </c>
      <c r="F17" s="1142">
        <v>0</v>
      </c>
    </row>
    <row r="18" spans="1:6" ht="12" customHeight="1">
      <c r="A18" s="1140" t="s">
        <v>1821</v>
      </c>
      <c r="B18" s="1138" t="s">
        <v>1683</v>
      </c>
      <c r="C18" s="1136">
        <v>8.9899999999999994E-2</v>
      </c>
      <c r="D18" s="1136">
        <v>0.16489999999999999</v>
      </c>
      <c r="E18" s="1142">
        <v>0.1048</v>
      </c>
      <c r="F18" s="1142">
        <v>0.32500000000000001</v>
      </c>
    </row>
    <row r="19" spans="1:6" ht="12" customHeight="1">
      <c r="A19" s="1140" t="s">
        <v>1820</v>
      </c>
      <c r="B19" s="1138" t="s">
        <v>1661</v>
      </c>
      <c r="C19" s="1136">
        <v>0.1439</v>
      </c>
      <c r="D19" s="1136">
        <v>0.22789999999999999</v>
      </c>
      <c r="E19" s="1142">
        <v>0.1678</v>
      </c>
      <c r="F19" s="1142">
        <v>5.5E-2</v>
      </c>
    </row>
    <row r="20" spans="1:6" ht="12" customHeight="1">
      <c r="A20" s="1140" t="s">
        <v>1819</v>
      </c>
      <c r="B20" s="1138" t="s">
        <v>1672</v>
      </c>
      <c r="C20" s="1136">
        <v>7.1999999999999998E-3</v>
      </c>
      <c r="D20" s="1136">
        <v>6.8500000000000005E-2</v>
      </c>
      <c r="E20" s="1142">
        <v>8.3999999999999995E-3</v>
      </c>
      <c r="F20" s="1142">
        <v>0.18</v>
      </c>
    </row>
    <row r="21" spans="1:6" ht="12" customHeight="1">
      <c r="A21" s="1140" t="s">
        <v>1818</v>
      </c>
      <c r="B21" s="1138" t="s">
        <v>1676</v>
      </c>
      <c r="C21" s="1136">
        <v>0.12</v>
      </c>
      <c r="D21" s="1136">
        <v>0.19989999999999999</v>
      </c>
      <c r="E21" s="1142">
        <v>0.13980000000000001</v>
      </c>
      <c r="F21" s="1142">
        <v>0.25</v>
      </c>
    </row>
    <row r="22" spans="1:6" ht="12" customHeight="1">
      <c r="A22" s="1140" t="s">
        <v>1817</v>
      </c>
      <c r="B22" s="1138" t="s">
        <v>1667</v>
      </c>
      <c r="C22" s="1136">
        <v>5.3999999999999999E-2</v>
      </c>
      <c r="D22" s="1136">
        <v>0.123</v>
      </c>
      <c r="E22" s="1142">
        <v>6.2899999999999998E-2</v>
      </c>
      <c r="F22" s="1142">
        <v>0.27179999999999999</v>
      </c>
    </row>
    <row r="23" spans="1:6" ht="12" customHeight="1">
      <c r="A23" s="1140" t="s">
        <v>1816</v>
      </c>
      <c r="B23" s="1138" t="s">
        <v>1705</v>
      </c>
      <c r="C23" s="1136">
        <v>1.0200000000000001E-2</v>
      </c>
      <c r="D23" s="1136">
        <v>7.1900000000000006E-2</v>
      </c>
      <c r="E23" s="1142">
        <v>1.18E-2</v>
      </c>
      <c r="F23" s="1142">
        <v>0.3</v>
      </c>
    </row>
    <row r="24" spans="1:6" ht="12" customHeight="1">
      <c r="A24" s="1140" t="s">
        <v>1815</v>
      </c>
      <c r="B24" s="1138" t="s">
        <v>1678</v>
      </c>
      <c r="C24" s="1136">
        <v>6.6000000000000003E-2</v>
      </c>
      <c r="D24" s="1136">
        <v>0.13700000000000001</v>
      </c>
      <c r="E24" s="1142">
        <v>7.6899999999999996E-2</v>
      </c>
      <c r="F24" s="1142">
        <v>0</v>
      </c>
    </row>
    <row r="25" spans="1:6" ht="12" customHeight="1">
      <c r="A25" s="1140" t="s">
        <v>1814</v>
      </c>
      <c r="B25" s="1138" t="s">
        <v>1687</v>
      </c>
      <c r="C25" s="1136">
        <v>7.8E-2</v>
      </c>
      <c r="D25" s="1136">
        <v>0.151</v>
      </c>
      <c r="E25" s="1142">
        <v>9.0899999999999995E-2</v>
      </c>
      <c r="F25" s="1142">
        <v>0.25</v>
      </c>
    </row>
    <row r="26" spans="1:6" ht="12" customHeight="1">
      <c r="A26" s="1140" t="s">
        <v>1813</v>
      </c>
      <c r="B26" s="1138" t="s">
        <v>1703</v>
      </c>
      <c r="C26" s="1136">
        <v>1.44E-2</v>
      </c>
      <c r="D26" s="1136">
        <v>7.6899999999999996E-2</v>
      </c>
      <c r="E26" s="1142">
        <v>1.6799999999999999E-2</v>
      </c>
      <c r="F26" s="1142">
        <v>0.1</v>
      </c>
    </row>
    <row r="27" spans="1:6" ht="12" customHeight="1">
      <c r="A27" s="1140" t="s">
        <v>1812</v>
      </c>
      <c r="B27" s="1138" t="s">
        <v>1685</v>
      </c>
      <c r="C27" s="1136">
        <v>3.61E-2</v>
      </c>
      <c r="D27" s="1136">
        <v>0.1022</v>
      </c>
      <c r="E27" s="1142">
        <v>4.2099999999999999E-2</v>
      </c>
      <c r="F27" s="1142">
        <v>0.22</v>
      </c>
    </row>
    <row r="28" spans="1:6" ht="12" customHeight="1">
      <c r="A28" s="1140" t="s">
        <v>1811</v>
      </c>
      <c r="B28" s="1138" t="s">
        <v>1680</v>
      </c>
      <c r="C28" s="1136">
        <v>1.9199999999999998E-2</v>
      </c>
      <c r="D28" s="1136">
        <v>8.2400000000000001E-2</v>
      </c>
      <c r="E28" s="1142">
        <v>2.23E-2</v>
      </c>
      <c r="F28" s="1142">
        <v>0.34</v>
      </c>
    </row>
    <row r="29" spans="1:6" ht="12" customHeight="1">
      <c r="A29" s="1143" t="s">
        <v>1810</v>
      </c>
      <c r="B29" s="1138" t="s">
        <v>1683</v>
      </c>
      <c r="C29" s="1136">
        <v>8.9899999999999994E-2</v>
      </c>
      <c r="D29" s="1136">
        <v>0.16489999999999999</v>
      </c>
      <c r="E29" s="1142">
        <v>0.1048</v>
      </c>
      <c r="F29" s="1142">
        <v>0.185</v>
      </c>
    </row>
    <row r="30" spans="1:6" ht="12" customHeight="1">
      <c r="A30" s="1139" t="s">
        <v>1809</v>
      </c>
      <c r="B30" s="1138" t="s">
        <v>1678</v>
      </c>
      <c r="C30" s="1137">
        <v>6.6000000000000003E-2</v>
      </c>
      <c r="D30" s="1136">
        <v>0.13700000000000001</v>
      </c>
      <c r="E30" s="1141">
        <v>7.6899999999999996E-2</v>
      </c>
      <c r="F30" s="1141">
        <v>0.1</v>
      </c>
    </row>
    <row r="31" spans="1:6" ht="12" customHeight="1">
      <c r="A31" s="1140" t="s">
        <v>1808</v>
      </c>
      <c r="B31" s="1138" t="s">
        <v>1678</v>
      </c>
      <c r="C31" s="1136">
        <v>6.6000000000000003E-2</v>
      </c>
      <c r="D31" s="1136">
        <v>0.13700000000000001</v>
      </c>
      <c r="E31" s="1142">
        <v>7.6899999999999996E-2</v>
      </c>
      <c r="F31" s="1142">
        <v>0.28000000000000003</v>
      </c>
    </row>
    <row r="32" spans="1:6" ht="12" customHeight="1">
      <c r="A32" s="1140" t="s">
        <v>1807</v>
      </c>
      <c r="B32" s="1138" t="s">
        <v>1671</v>
      </c>
      <c r="C32" s="1136">
        <v>0</v>
      </c>
      <c r="D32" s="1136">
        <v>6.0100000000000001E-2</v>
      </c>
      <c r="E32" s="1142">
        <v>0</v>
      </c>
      <c r="F32" s="1142">
        <v>0.2</v>
      </c>
    </row>
    <row r="33" spans="1:6" ht="12" customHeight="1">
      <c r="A33" s="1140" t="s">
        <v>1806</v>
      </c>
      <c r="B33" s="1138" t="s">
        <v>1687</v>
      </c>
      <c r="C33" s="1136">
        <v>7.8E-2</v>
      </c>
      <c r="D33" s="1136">
        <v>0.151</v>
      </c>
      <c r="E33" s="1142">
        <v>9.0899999999999995E-2</v>
      </c>
      <c r="F33" s="1142">
        <v>0.33</v>
      </c>
    </row>
    <row r="34" spans="1:6" ht="12" customHeight="1">
      <c r="A34" s="1140" t="s">
        <v>1805</v>
      </c>
      <c r="B34" s="1138" t="s">
        <v>1672</v>
      </c>
      <c r="C34" s="1136">
        <v>7.1999999999999998E-3</v>
      </c>
      <c r="D34" s="1136">
        <v>6.8500000000000005E-2</v>
      </c>
      <c r="E34" s="1142">
        <v>8.3999999999999995E-3</v>
      </c>
      <c r="F34" s="1142">
        <v>0.26500000000000001</v>
      </c>
    </row>
    <row r="35" spans="1:6" ht="12" customHeight="1">
      <c r="A35" s="1140" t="s">
        <v>1804</v>
      </c>
      <c r="B35" s="1138" t="s">
        <v>1712</v>
      </c>
      <c r="C35" s="1136">
        <v>8.5000000000000006E-3</v>
      </c>
      <c r="D35" s="1136">
        <v>7.0000000000000007E-2</v>
      </c>
      <c r="E35" s="1142">
        <v>9.9000000000000008E-3</v>
      </c>
      <c r="F35" s="1142">
        <v>0</v>
      </c>
    </row>
    <row r="36" spans="1:6" ht="12" customHeight="1">
      <c r="A36" s="1140" t="s">
        <v>668</v>
      </c>
      <c r="B36" s="1138" t="s">
        <v>1712</v>
      </c>
      <c r="C36" s="1136">
        <v>8.5000000000000006E-3</v>
      </c>
      <c r="D36" s="1136">
        <v>7.0000000000000007E-2</v>
      </c>
      <c r="E36" s="1142">
        <v>9.9000000000000008E-3</v>
      </c>
      <c r="F36" s="1142">
        <v>0</v>
      </c>
    </row>
    <row r="37" spans="1:6" ht="12" customHeight="1">
      <c r="A37" s="1140" t="s">
        <v>1803</v>
      </c>
      <c r="B37" s="1138" t="s">
        <v>1669</v>
      </c>
      <c r="C37" s="1136">
        <v>2.2800000000000001E-2</v>
      </c>
      <c r="D37" s="1136">
        <v>8.6699999999999999E-2</v>
      </c>
      <c r="E37" s="1142">
        <v>2.6599999999999999E-2</v>
      </c>
      <c r="F37" s="1142">
        <v>0.27</v>
      </c>
    </row>
    <row r="38" spans="1:6" ht="12" customHeight="1">
      <c r="A38" s="1140" t="s">
        <v>1802</v>
      </c>
      <c r="B38" s="1138" t="s">
        <v>1683</v>
      </c>
      <c r="C38" s="1136">
        <v>8.9899999999999994E-2</v>
      </c>
      <c r="D38" s="1136">
        <v>0.16489999999999999</v>
      </c>
      <c r="E38" s="1142">
        <v>0.1048</v>
      </c>
      <c r="F38" s="1142">
        <v>0.25</v>
      </c>
    </row>
    <row r="39" spans="1:6" ht="12" customHeight="1">
      <c r="A39" s="1140" t="s">
        <v>1801</v>
      </c>
      <c r="B39" s="1138" t="s">
        <v>1736</v>
      </c>
      <c r="C39" s="1136">
        <v>0.108</v>
      </c>
      <c r="D39" s="1136">
        <v>0.186</v>
      </c>
      <c r="E39" s="1142">
        <v>0.12590000000000001</v>
      </c>
      <c r="F39" s="1142">
        <v>0.31</v>
      </c>
    </row>
    <row r="40" spans="1:6" ht="12" customHeight="1">
      <c r="A40" s="1140" t="s">
        <v>1800</v>
      </c>
      <c r="B40" s="1138" t="s">
        <v>1683</v>
      </c>
      <c r="C40" s="1136">
        <v>8.9899999999999994E-2</v>
      </c>
      <c r="D40" s="1136">
        <v>0.16489999999999999</v>
      </c>
      <c r="E40" s="1142">
        <v>0.1048</v>
      </c>
      <c r="F40" s="1142">
        <v>0.3</v>
      </c>
    </row>
    <row r="41" spans="1:6" ht="12" customHeight="1">
      <c r="A41" s="1140" t="s">
        <v>1799</v>
      </c>
      <c r="B41" s="1138" t="s">
        <v>1678</v>
      </c>
      <c r="C41" s="1136">
        <v>6.6000000000000003E-2</v>
      </c>
      <c r="D41" s="1136">
        <v>0.13700000000000001</v>
      </c>
      <c r="E41" s="1142">
        <v>7.6899999999999996E-2</v>
      </c>
      <c r="F41" s="1142">
        <v>0.28000000000000003</v>
      </c>
    </row>
    <row r="42" spans="1:6" ht="12" customHeight="1">
      <c r="A42" s="1140" t="s">
        <v>1798</v>
      </c>
      <c r="B42" s="1138" t="s">
        <v>1663</v>
      </c>
      <c r="C42" s="1136">
        <v>4.3099999999999999E-2</v>
      </c>
      <c r="D42" s="1136">
        <v>0.1104</v>
      </c>
      <c r="E42" s="1142">
        <v>5.0299999999999997E-2</v>
      </c>
      <c r="F42" s="1142">
        <v>0.2843</v>
      </c>
    </row>
    <row r="43" spans="1:6" ht="12" customHeight="1">
      <c r="A43" s="1140" t="s">
        <v>1797</v>
      </c>
      <c r="B43" s="1138" t="s">
        <v>1723</v>
      </c>
      <c r="C43" s="1136">
        <v>0.03</v>
      </c>
      <c r="D43" s="1136">
        <v>9.5100000000000004E-2</v>
      </c>
      <c r="E43" s="1142">
        <v>3.5000000000000003E-2</v>
      </c>
      <c r="F43" s="1142">
        <v>0.3</v>
      </c>
    </row>
    <row r="44" spans="1:6" ht="12" customHeight="1">
      <c r="A44" s="1140" t="s">
        <v>1796</v>
      </c>
      <c r="B44" s="1138" t="s">
        <v>1661</v>
      </c>
      <c r="C44" s="1136">
        <v>0.1439</v>
      </c>
      <c r="D44" s="1136">
        <v>0.22789999999999999</v>
      </c>
      <c r="E44" s="1142">
        <v>0.1678</v>
      </c>
      <c r="F44" s="1142">
        <v>0.25</v>
      </c>
    </row>
    <row r="45" spans="1:6" ht="12" customHeight="1">
      <c r="A45" s="1140" t="s">
        <v>1795</v>
      </c>
      <c r="B45" s="1138" t="s">
        <v>1703</v>
      </c>
      <c r="C45" s="1136">
        <v>1.44E-2</v>
      </c>
      <c r="D45" s="1136">
        <v>7.6899999999999996E-2</v>
      </c>
      <c r="E45" s="1142">
        <v>1.6799999999999999E-2</v>
      </c>
      <c r="F45" s="1142">
        <v>0.18</v>
      </c>
    </row>
    <row r="46" spans="1:6" ht="12" customHeight="1">
      <c r="A46" s="1140" t="s">
        <v>1794</v>
      </c>
      <c r="B46" s="1138" t="s">
        <v>1723</v>
      </c>
      <c r="C46" s="1136">
        <v>0.03</v>
      </c>
      <c r="D46" s="1136">
        <v>9.5100000000000004E-2</v>
      </c>
      <c r="E46" s="1142">
        <v>3.5000000000000003E-2</v>
      </c>
      <c r="F46" s="1142">
        <v>0.27179999999999999</v>
      </c>
    </row>
    <row r="47" spans="1:6" ht="12" customHeight="1">
      <c r="A47" s="1143" t="s">
        <v>1793</v>
      </c>
      <c r="B47" s="1138" t="s">
        <v>1672</v>
      </c>
      <c r="C47" s="1136">
        <v>7.1999999999999998E-3</v>
      </c>
      <c r="D47" s="1136">
        <v>6.8500000000000005E-2</v>
      </c>
      <c r="E47" s="1142">
        <v>8.3999999999999995E-3</v>
      </c>
      <c r="F47" s="1142">
        <v>0.22</v>
      </c>
    </row>
    <row r="48" spans="1:6" ht="12" customHeight="1">
      <c r="A48" s="1140" t="s">
        <v>1792</v>
      </c>
      <c r="B48" s="1138" t="s">
        <v>1671</v>
      </c>
      <c r="C48" s="1136">
        <v>0</v>
      </c>
      <c r="D48" s="1136">
        <v>6.0100000000000001E-2</v>
      </c>
      <c r="E48" s="1142">
        <v>0</v>
      </c>
      <c r="F48" s="1142">
        <v>0.125</v>
      </c>
    </row>
    <row r="49" spans="1:6" ht="12" customHeight="1">
      <c r="A49" s="1140" t="s">
        <v>1791</v>
      </c>
      <c r="B49" s="1138" t="s">
        <v>1663</v>
      </c>
      <c r="C49" s="1136">
        <v>4.3099999999999999E-2</v>
      </c>
      <c r="D49" s="1136">
        <v>0.1104</v>
      </c>
      <c r="E49" s="1142">
        <v>5.0299999999999997E-2</v>
      </c>
      <c r="F49" s="1142">
        <v>0.19</v>
      </c>
    </row>
    <row r="50" spans="1:6" ht="12" customHeight="1">
      <c r="A50" s="1140" t="s">
        <v>1790</v>
      </c>
      <c r="B50" s="1138" t="s">
        <v>1676</v>
      </c>
      <c r="C50" s="1136">
        <v>0.12</v>
      </c>
      <c r="D50" s="1136">
        <v>0.19989999999999999</v>
      </c>
      <c r="E50" s="1142">
        <v>0.13980000000000001</v>
      </c>
      <c r="F50" s="1142">
        <v>0.22</v>
      </c>
    </row>
    <row r="51" spans="1:6" ht="12" customHeight="1">
      <c r="A51" s="1140" t="s">
        <v>1789</v>
      </c>
      <c r="B51" s="1138" t="s">
        <v>1678</v>
      </c>
      <c r="C51" s="1136">
        <v>6.6000000000000003E-2</v>
      </c>
      <c r="D51" s="1136">
        <v>0.13700000000000001</v>
      </c>
      <c r="E51" s="1142">
        <v>7.6899999999999996E-2</v>
      </c>
      <c r="F51" s="1142">
        <v>0.27</v>
      </c>
    </row>
    <row r="52" spans="1:6" ht="12" customHeight="1">
      <c r="A52" s="1140" t="s">
        <v>1788</v>
      </c>
      <c r="B52" s="1138" t="s">
        <v>1676</v>
      </c>
      <c r="C52" s="1136">
        <v>0.12</v>
      </c>
      <c r="D52" s="1136">
        <v>0.19989999999999999</v>
      </c>
      <c r="E52" s="1142">
        <v>0.13980000000000001</v>
      </c>
      <c r="F52" s="1142">
        <v>0.25</v>
      </c>
    </row>
    <row r="53" spans="1:6" ht="12" customHeight="1">
      <c r="A53" s="1140" t="s">
        <v>1787</v>
      </c>
      <c r="B53" s="1138" t="s">
        <v>1712</v>
      </c>
      <c r="C53" s="1136">
        <v>8.5000000000000006E-3</v>
      </c>
      <c r="D53" s="1136">
        <v>7.0000000000000007E-2</v>
      </c>
      <c r="E53" s="1142">
        <v>9.9000000000000008E-3</v>
      </c>
      <c r="F53" s="1142">
        <v>0.22500000000000001</v>
      </c>
    </row>
    <row r="54" spans="1:6" ht="12" customHeight="1">
      <c r="A54" s="1140" t="s">
        <v>1786</v>
      </c>
      <c r="B54" s="1138" t="s">
        <v>1736</v>
      </c>
      <c r="C54" s="1136">
        <v>0.108</v>
      </c>
      <c r="D54" s="1136">
        <v>0.186</v>
      </c>
      <c r="E54" s="1142">
        <v>0.12590000000000001</v>
      </c>
      <c r="F54" s="1142">
        <v>0.3</v>
      </c>
    </row>
    <row r="55" spans="1:6" ht="12" customHeight="1">
      <c r="A55" s="1140" t="s">
        <v>1785</v>
      </c>
      <c r="B55" s="1138" t="s">
        <v>1667</v>
      </c>
      <c r="C55" s="1136">
        <v>5.3999999999999999E-2</v>
      </c>
      <c r="D55" s="1136">
        <v>0.123</v>
      </c>
      <c r="E55" s="1142">
        <v>6.2899999999999998E-2</v>
      </c>
      <c r="F55" s="1142">
        <v>0.2</v>
      </c>
    </row>
    <row r="56" spans="1:6" ht="12" customHeight="1">
      <c r="A56" s="1140" t="s">
        <v>1784</v>
      </c>
      <c r="B56" s="1138" t="s">
        <v>1783</v>
      </c>
      <c r="C56" s="1136">
        <v>4.7999999999999996E-3</v>
      </c>
      <c r="D56" s="1136">
        <v>6.5699999999999995E-2</v>
      </c>
      <c r="E56" s="1142">
        <v>5.5999999999999999E-3</v>
      </c>
      <c r="F56" s="1142">
        <v>0.3</v>
      </c>
    </row>
    <row r="57" spans="1:6" ht="12" customHeight="1">
      <c r="A57" s="1140" t="s">
        <v>1782</v>
      </c>
      <c r="B57" s="1138" t="s">
        <v>1674</v>
      </c>
      <c r="C57" s="1136">
        <v>5.8999999999999999E-3</v>
      </c>
      <c r="D57" s="1136">
        <v>6.7000000000000004E-2</v>
      </c>
      <c r="E57" s="1142">
        <v>6.8999999999999999E-3</v>
      </c>
      <c r="F57" s="1142">
        <v>0.2</v>
      </c>
    </row>
    <row r="58" spans="1:6" ht="12" customHeight="1">
      <c r="A58" s="1140" t="s">
        <v>1781</v>
      </c>
      <c r="B58" s="1138" t="s">
        <v>1683</v>
      </c>
      <c r="C58" s="1136">
        <v>8.9899999999999994E-2</v>
      </c>
      <c r="D58" s="1136">
        <v>0.16489999999999999</v>
      </c>
      <c r="E58" s="1142">
        <v>0.1048</v>
      </c>
      <c r="F58" s="1142">
        <v>0.2</v>
      </c>
    </row>
    <row r="59" spans="1:6" ht="12" customHeight="1">
      <c r="A59" s="1140" t="s">
        <v>1780</v>
      </c>
      <c r="B59" s="1138" t="s">
        <v>1685</v>
      </c>
      <c r="C59" s="1136">
        <v>3.61E-2</v>
      </c>
      <c r="D59" s="1136">
        <v>0.1022</v>
      </c>
      <c r="E59" s="1142">
        <v>4.2099999999999999E-2</v>
      </c>
      <c r="F59" s="1142">
        <v>0.26500000000000001</v>
      </c>
    </row>
    <row r="60" spans="1:6" ht="12" customHeight="1">
      <c r="A60" s="1140" t="s">
        <v>674</v>
      </c>
      <c r="B60" s="1138" t="s">
        <v>1671</v>
      </c>
      <c r="C60" s="1136">
        <v>0</v>
      </c>
      <c r="D60" s="1136">
        <v>6.0100000000000001E-2</v>
      </c>
      <c r="E60" s="1142">
        <v>0</v>
      </c>
      <c r="F60" s="1142">
        <v>0.3</v>
      </c>
    </row>
    <row r="61" spans="1:6" ht="12" customHeight="1">
      <c r="A61" s="1139" t="s">
        <v>1779</v>
      </c>
      <c r="B61" s="1138" t="s">
        <v>1683</v>
      </c>
      <c r="C61" s="1137">
        <v>8.9899999999999994E-2</v>
      </c>
      <c r="D61" s="1136">
        <v>0.16489999999999999</v>
      </c>
      <c r="E61" s="1141">
        <v>0.1048</v>
      </c>
      <c r="F61" s="1141">
        <v>0.31</v>
      </c>
    </row>
    <row r="62" spans="1:6" ht="12" customHeight="1">
      <c r="A62" s="1140" t="s">
        <v>1778</v>
      </c>
      <c r="B62" s="1138" t="s">
        <v>1663</v>
      </c>
      <c r="C62" s="1136">
        <v>4.3099999999999999E-2</v>
      </c>
      <c r="D62" s="1136">
        <v>0.1104</v>
      </c>
      <c r="E62" s="1142">
        <v>5.0299999999999997E-2</v>
      </c>
      <c r="F62" s="1142">
        <v>0.15</v>
      </c>
    </row>
    <row r="63" spans="1:6" ht="12" customHeight="1">
      <c r="A63" s="1140" t="s">
        <v>1777</v>
      </c>
      <c r="B63" s="1138" t="s">
        <v>1723</v>
      </c>
      <c r="C63" s="1136">
        <v>0.03</v>
      </c>
      <c r="D63" s="1136">
        <v>9.5100000000000004E-2</v>
      </c>
      <c r="E63" s="1142">
        <v>3.5000000000000003E-2</v>
      </c>
      <c r="F63" s="1142">
        <v>0.3</v>
      </c>
    </row>
    <row r="64" spans="1:6" ht="12" customHeight="1">
      <c r="A64" s="1140" t="s">
        <v>1776</v>
      </c>
      <c r="B64" s="1138" t="s">
        <v>1671</v>
      </c>
      <c r="C64" s="1136">
        <v>0</v>
      </c>
      <c r="D64" s="1136">
        <v>6.0100000000000001E-2</v>
      </c>
      <c r="E64" s="1142">
        <v>0</v>
      </c>
      <c r="F64" s="1142">
        <v>0.25</v>
      </c>
    </row>
    <row r="65" spans="1:6" ht="12" customHeight="1">
      <c r="A65" s="1140" t="s">
        <v>1775</v>
      </c>
      <c r="B65" s="1138" t="s">
        <v>1667</v>
      </c>
      <c r="C65" s="1136">
        <v>5.3999999999999999E-2</v>
      </c>
      <c r="D65" s="1136">
        <v>0.123</v>
      </c>
      <c r="E65" s="1142">
        <v>6.2899999999999998E-2</v>
      </c>
      <c r="F65" s="1142">
        <v>0.24</v>
      </c>
    </row>
    <row r="66" spans="1:6" ht="12" customHeight="1">
      <c r="A66" s="1140" t="s">
        <v>1774</v>
      </c>
      <c r="B66" s="1138" t="s">
        <v>1672</v>
      </c>
      <c r="C66" s="1136">
        <v>7.1999999999999998E-3</v>
      </c>
      <c r="D66" s="1136">
        <v>6.8500000000000005E-2</v>
      </c>
      <c r="E66" s="1142">
        <v>8.3999999999999995E-3</v>
      </c>
      <c r="F66" s="1142">
        <v>0.25</v>
      </c>
    </row>
    <row r="67" spans="1:6" ht="12" customHeight="1">
      <c r="A67" s="1140" t="s">
        <v>1773</v>
      </c>
      <c r="B67" s="1138" t="s">
        <v>1669</v>
      </c>
      <c r="C67" s="1136">
        <v>2.2800000000000001E-2</v>
      </c>
      <c r="D67" s="1136">
        <v>8.6699999999999999E-2</v>
      </c>
      <c r="E67" s="1142">
        <v>2.6599999999999999E-2</v>
      </c>
      <c r="F67" s="1142">
        <v>0</v>
      </c>
    </row>
    <row r="68" spans="1:6" ht="12" customHeight="1">
      <c r="A68" s="1139" t="s">
        <v>1772</v>
      </c>
      <c r="B68" s="1138" t="s">
        <v>1705</v>
      </c>
      <c r="C68" s="1137">
        <v>1.0200000000000001E-2</v>
      </c>
      <c r="D68" s="1136">
        <v>7.1900000000000006E-2</v>
      </c>
      <c r="E68" s="1141">
        <v>1.18E-2</v>
      </c>
      <c r="F68" s="1141">
        <v>0.29149999999999998</v>
      </c>
    </row>
    <row r="69" spans="1:6" ht="12" customHeight="1">
      <c r="A69" s="1139" t="s">
        <v>1771</v>
      </c>
      <c r="B69" s="1138" t="s">
        <v>1708</v>
      </c>
      <c r="C69" s="1137">
        <v>2.64E-2</v>
      </c>
      <c r="D69" s="1136">
        <v>9.0800000000000006E-2</v>
      </c>
      <c r="E69" s="1141">
        <v>3.0700000000000002E-2</v>
      </c>
      <c r="F69" s="1141">
        <v>0.29149999999999998</v>
      </c>
    </row>
    <row r="70" spans="1:6" ht="12" customHeight="1">
      <c r="A70" s="1139" t="s">
        <v>1770</v>
      </c>
      <c r="B70" s="1138" t="s">
        <v>1669</v>
      </c>
      <c r="C70" s="1137">
        <v>2.2800000000000001E-2</v>
      </c>
      <c r="D70" s="1136">
        <v>8.6699999999999999E-2</v>
      </c>
      <c r="E70" s="1141">
        <v>2.6599999999999999E-2</v>
      </c>
      <c r="F70" s="1141">
        <v>0.18640000000000001</v>
      </c>
    </row>
    <row r="71" spans="1:6" ht="12" customHeight="1">
      <c r="A71" s="1139" t="s">
        <v>1769</v>
      </c>
      <c r="B71" s="1138" t="s">
        <v>1683</v>
      </c>
      <c r="C71" s="1137">
        <v>8.9899999999999994E-2</v>
      </c>
      <c r="D71" s="1136">
        <v>0.16489999999999999</v>
      </c>
      <c r="E71" s="1141">
        <v>0.1048</v>
      </c>
      <c r="F71" s="1141">
        <v>0.18640000000000001</v>
      </c>
    </row>
    <row r="72" spans="1:6" ht="12" customHeight="1">
      <c r="A72" s="1140" t="s">
        <v>1768</v>
      </c>
      <c r="B72" s="1138" t="s">
        <v>1712</v>
      </c>
      <c r="C72" s="1136">
        <v>8.5000000000000006E-3</v>
      </c>
      <c r="D72" s="1136">
        <v>7.0000000000000007E-2</v>
      </c>
      <c r="E72" s="1142">
        <v>9.9000000000000008E-3</v>
      </c>
      <c r="F72" s="1142">
        <v>0.25</v>
      </c>
    </row>
    <row r="73" spans="1:6" ht="12" customHeight="1">
      <c r="A73" s="1140" t="s">
        <v>1767</v>
      </c>
      <c r="B73" s="1138" t="s">
        <v>1672</v>
      </c>
      <c r="C73" s="1136">
        <v>7.1999999999999998E-3</v>
      </c>
      <c r="D73" s="1136">
        <v>6.8500000000000005E-2</v>
      </c>
      <c r="E73" s="1142">
        <v>8.3999999999999995E-3</v>
      </c>
      <c r="F73" s="1142">
        <v>0.16500000000000001</v>
      </c>
    </row>
    <row r="74" spans="1:6" ht="12" customHeight="1">
      <c r="A74" s="1140" t="s">
        <v>1766</v>
      </c>
      <c r="B74" s="1138" t="s">
        <v>1712</v>
      </c>
      <c r="C74" s="1136">
        <v>8.5000000000000006E-3</v>
      </c>
      <c r="D74" s="1136">
        <v>7.0000000000000007E-2</v>
      </c>
      <c r="E74" s="1142">
        <v>9.9000000000000008E-3</v>
      </c>
      <c r="F74" s="1142">
        <v>0.09</v>
      </c>
    </row>
    <row r="75" spans="1:6" ht="12" customHeight="1">
      <c r="A75" s="1140" t="s">
        <v>1765</v>
      </c>
      <c r="B75" s="1138" t="s">
        <v>1708</v>
      </c>
      <c r="C75" s="1136">
        <v>2.64E-2</v>
      </c>
      <c r="D75" s="1136">
        <v>9.0800000000000006E-2</v>
      </c>
      <c r="E75" s="1142">
        <v>3.0700000000000002E-2</v>
      </c>
      <c r="F75" s="1142">
        <v>0.2</v>
      </c>
    </row>
    <row r="76" spans="1:6" ht="12" customHeight="1">
      <c r="A76" s="1140" t="s">
        <v>1764</v>
      </c>
      <c r="B76" s="1138" t="s">
        <v>1678</v>
      </c>
      <c r="C76" s="1136">
        <v>6.6000000000000003E-2</v>
      </c>
      <c r="D76" s="1136">
        <v>0.13700000000000001</v>
      </c>
      <c r="E76" s="1142">
        <v>7.6899999999999996E-2</v>
      </c>
      <c r="F76" s="1142">
        <v>0.3</v>
      </c>
    </row>
    <row r="77" spans="1:6" ht="12" customHeight="1">
      <c r="A77" s="1140" t="s">
        <v>1763</v>
      </c>
      <c r="B77" s="1138" t="s">
        <v>1712</v>
      </c>
      <c r="C77" s="1136">
        <v>8.5000000000000006E-3</v>
      </c>
      <c r="D77" s="1136">
        <v>7.0000000000000007E-2</v>
      </c>
      <c r="E77" s="1142">
        <v>9.9000000000000008E-3</v>
      </c>
      <c r="F77" s="1142">
        <v>0.35</v>
      </c>
    </row>
    <row r="78" spans="1:6" ht="12" customHeight="1">
      <c r="A78" s="1139" t="s">
        <v>1762</v>
      </c>
      <c r="B78" s="1138" t="s">
        <v>1671</v>
      </c>
      <c r="C78" s="1137">
        <v>0</v>
      </c>
      <c r="D78" s="1136">
        <v>6.0100000000000001E-2</v>
      </c>
      <c r="E78" s="1141">
        <v>0</v>
      </c>
      <c r="F78" s="1141">
        <v>0.20230000000000001</v>
      </c>
    </row>
    <row r="79" spans="1:6" ht="12" customHeight="1">
      <c r="A79" s="1140" t="s">
        <v>1761</v>
      </c>
      <c r="B79" s="1138" t="s">
        <v>1667</v>
      </c>
      <c r="C79" s="1136">
        <v>5.3999999999999999E-2</v>
      </c>
      <c r="D79" s="1136">
        <v>0.123</v>
      </c>
      <c r="E79" s="1142">
        <v>6.2899999999999998E-2</v>
      </c>
      <c r="F79" s="1142">
        <v>0.35</v>
      </c>
    </row>
    <row r="80" spans="1:6" ht="12" customHeight="1">
      <c r="A80" s="1140" t="s">
        <v>1760</v>
      </c>
      <c r="B80" s="1138" t="s">
        <v>1669</v>
      </c>
      <c r="C80" s="1136">
        <v>2.2800000000000001E-2</v>
      </c>
      <c r="D80" s="1136">
        <v>8.6699999999999999E-2</v>
      </c>
      <c r="E80" s="1142">
        <v>2.6599999999999999E-2</v>
      </c>
      <c r="F80" s="1142">
        <v>0.125</v>
      </c>
    </row>
    <row r="81" spans="1:6" ht="12" customHeight="1">
      <c r="A81" s="1140" t="s">
        <v>1759</v>
      </c>
      <c r="B81" s="1138" t="s">
        <v>1678</v>
      </c>
      <c r="C81" s="1136">
        <v>6.6000000000000003E-2</v>
      </c>
      <c r="D81" s="1136">
        <v>0.13700000000000001</v>
      </c>
      <c r="E81" s="1142">
        <v>7.6899999999999996E-2</v>
      </c>
      <c r="F81" s="1142">
        <v>0</v>
      </c>
    </row>
    <row r="82" spans="1:6" ht="12" customHeight="1">
      <c r="A82" s="1140" t="s">
        <v>1758</v>
      </c>
      <c r="B82" s="1138" t="s">
        <v>1674</v>
      </c>
      <c r="C82" s="1136">
        <v>5.8999999999999999E-3</v>
      </c>
      <c r="D82" s="1136">
        <v>6.7000000000000004E-2</v>
      </c>
      <c r="E82" s="1142">
        <v>6.8999999999999999E-3</v>
      </c>
      <c r="F82" s="1142">
        <v>0.23</v>
      </c>
    </row>
    <row r="83" spans="1:6" ht="12" customHeight="1">
      <c r="A83" s="1140" t="s">
        <v>1757</v>
      </c>
      <c r="B83" s="1138" t="s">
        <v>1712</v>
      </c>
      <c r="C83" s="1136">
        <v>8.5000000000000006E-3</v>
      </c>
      <c r="D83" s="1136">
        <v>7.0000000000000007E-2</v>
      </c>
      <c r="E83" s="1142">
        <v>9.9000000000000008E-3</v>
      </c>
      <c r="F83" s="1142">
        <v>0.24</v>
      </c>
    </row>
    <row r="84" spans="1:6" ht="12" customHeight="1">
      <c r="A84" s="1143" t="s">
        <v>1756</v>
      </c>
      <c r="B84" s="1138" t="s">
        <v>1687</v>
      </c>
      <c r="C84" s="1136">
        <v>7.8E-2</v>
      </c>
      <c r="D84" s="1136">
        <v>0.151</v>
      </c>
      <c r="E84" s="1142">
        <v>9.0899999999999995E-2</v>
      </c>
      <c r="F84" s="1142">
        <v>0.25</v>
      </c>
    </row>
    <row r="85" spans="1:6" ht="12" customHeight="1">
      <c r="A85" s="1140" t="s">
        <v>1755</v>
      </c>
      <c r="B85" s="1138" t="s">
        <v>1676</v>
      </c>
      <c r="C85" s="1136">
        <v>0.12</v>
      </c>
      <c r="D85" s="1136">
        <v>0.19989999999999999</v>
      </c>
      <c r="E85" s="1142">
        <v>0.13980000000000001</v>
      </c>
      <c r="F85" s="1142">
        <v>0.30620000000000003</v>
      </c>
    </row>
    <row r="86" spans="1:6" ht="12" customHeight="1">
      <c r="A86" s="1140" t="s">
        <v>1754</v>
      </c>
      <c r="B86" s="1138" t="s">
        <v>1703</v>
      </c>
      <c r="C86" s="1136">
        <v>1.44E-2</v>
      </c>
      <c r="D86" s="1136">
        <v>7.6899999999999996E-2</v>
      </c>
      <c r="E86" s="1142">
        <v>1.6799999999999999E-2</v>
      </c>
      <c r="F86" s="1142">
        <v>0</v>
      </c>
    </row>
    <row r="87" spans="1:6" ht="12" customHeight="1">
      <c r="A87" s="1140" t="s">
        <v>1753</v>
      </c>
      <c r="B87" s="1138" t="s">
        <v>1665</v>
      </c>
      <c r="C87" s="1136">
        <v>0.17499999999999999</v>
      </c>
      <c r="D87" s="1136">
        <v>0.2641</v>
      </c>
      <c r="E87" s="1142">
        <v>0.20399999999999999</v>
      </c>
      <c r="F87" s="1142">
        <v>0.2</v>
      </c>
    </row>
    <row r="88" spans="1:6" ht="12" customHeight="1">
      <c r="A88" s="1140" t="s">
        <v>1752</v>
      </c>
      <c r="B88" s="1138" t="s">
        <v>1671</v>
      </c>
      <c r="C88" s="1136">
        <v>0</v>
      </c>
      <c r="D88" s="1136">
        <v>6.0100000000000001E-2</v>
      </c>
      <c r="E88" s="1142">
        <v>0</v>
      </c>
      <c r="F88" s="1142">
        <v>0.2</v>
      </c>
    </row>
    <row r="89" spans="1:6" ht="12" customHeight="1">
      <c r="A89" s="1140" t="s">
        <v>1751</v>
      </c>
      <c r="B89" s="1138" t="s">
        <v>1705</v>
      </c>
      <c r="C89" s="1136">
        <v>1.0200000000000001E-2</v>
      </c>
      <c r="D89" s="1136">
        <v>7.1900000000000006E-2</v>
      </c>
      <c r="E89" s="1142">
        <v>1.18E-2</v>
      </c>
      <c r="F89" s="1142">
        <v>0.3</v>
      </c>
    </row>
    <row r="90" spans="1:6" ht="12" customHeight="1">
      <c r="A90" s="1140" t="s">
        <v>676</v>
      </c>
      <c r="B90" s="1138" t="s">
        <v>1671</v>
      </c>
      <c r="C90" s="1136">
        <v>0</v>
      </c>
      <c r="D90" s="1136">
        <v>6.0100000000000001E-2</v>
      </c>
      <c r="E90" s="1142">
        <v>0</v>
      </c>
      <c r="F90" s="1142">
        <v>0.25</v>
      </c>
    </row>
    <row r="91" spans="1:6" ht="12" customHeight="1">
      <c r="A91" s="1139" t="s">
        <v>1750</v>
      </c>
      <c r="B91" s="1138" t="s">
        <v>1672</v>
      </c>
      <c r="C91" s="1137">
        <v>7.1999999999999998E-3</v>
      </c>
      <c r="D91" s="1136">
        <v>6.8500000000000005E-2</v>
      </c>
      <c r="E91" s="1141">
        <v>8.3999999999999995E-3</v>
      </c>
      <c r="F91" s="1141">
        <v>0.23100000000000001</v>
      </c>
    </row>
    <row r="92" spans="1:6" ht="12" customHeight="1">
      <c r="A92" s="1140" t="s">
        <v>1749</v>
      </c>
      <c r="B92" s="1138" t="s">
        <v>1663</v>
      </c>
      <c r="C92" s="1136">
        <v>4.3099999999999999E-2</v>
      </c>
      <c r="D92" s="1136">
        <v>0.1104</v>
      </c>
      <c r="E92" s="1142">
        <v>5.0299999999999997E-2</v>
      </c>
      <c r="F92" s="1142">
        <v>0.15</v>
      </c>
    </row>
    <row r="93" spans="1:6" ht="12" customHeight="1">
      <c r="A93" s="1140" t="s">
        <v>1748</v>
      </c>
      <c r="B93" s="1138" t="s">
        <v>1703</v>
      </c>
      <c r="C93" s="1136">
        <v>1.44E-2</v>
      </c>
      <c r="D93" s="1136">
        <v>7.6899999999999996E-2</v>
      </c>
      <c r="E93" s="1142">
        <v>1.6799999999999999E-2</v>
      </c>
      <c r="F93" s="1142">
        <v>0.1</v>
      </c>
    </row>
    <row r="94" spans="1:6" ht="12" customHeight="1">
      <c r="A94" s="1143" t="s">
        <v>1747</v>
      </c>
      <c r="B94" s="1138" t="s">
        <v>1683</v>
      </c>
      <c r="C94" s="1136">
        <v>8.9899999999999994E-2</v>
      </c>
      <c r="D94" s="1136">
        <v>0.16489999999999999</v>
      </c>
      <c r="E94" s="1142">
        <v>0.1048</v>
      </c>
      <c r="F94" s="1142">
        <v>0.2281</v>
      </c>
    </row>
    <row r="95" spans="1:6" ht="12" customHeight="1">
      <c r="A95" s="1140" t="s">
        <v>1746</v>
      </c>
      <c r="B95" s="1138" t="s">
        <v>1736</v>
      </c>
      <c r="C95" s="1136">
        <v>0.108</v>
      </c>
      <c r="D95" s="1136">
        <v>0.186</v>
      </c>
      <c r="E95" s="1142">
        <v>0.12590000000000001</v>
      </c>
      <c r="F95" s="1142">
        <v>0.2</v>
      </c>
    </row>
    <row r="96" spans="1:6" ht="12" customHeight="1">
      <c r="A96" s="1140" t="s">
        <v>1745</v>
      </c>
      <c r="B96" s="1138" t="s">
        <v>1705</v>
      </c>
      <c r="C96" s="1136">
        <v>1.0200000000000001E-2</v>
      </c>
      <c r="D96" s="1136">
        <v>7.1900000000000006E-2</v>
      </c>
      <c r="E96" s="1142">
        <v>1.18E-2</v>
      </c>
      <c r="F96" s="1142">
        <v>0.17</v>
      </c>
    </row>
    <row r="97" spans="1:6" ht="12" customHeight="1">
      <c r="A97" s="1139" t="s">
        <v>1744</v>
      </c>
      <c r="B97" s="1138" t="s">
        <v>1669</v>
      </c>
      <c r="C97" s="1137">
        <v>2.2800000000000001E-2</v>
      </c>
      <c r="D97" s="1136">
        <v>8.6699999999999999E-2</v>
      </c>
      <c r="E97" s="1141">
        <v>2.6599999999999999E-2</v>
      </c>
      <c r="F97" s="1141">
        <v>0.29149999999999998</v>
      </c>
    </row>
    <row r="98" spans="1:6" ht="12" customHeight="1">
      <c r="A98" s="1139" t="s">
        <v>1743</v>
      </c>
      <c r="B98" s="1138" t="s">
        <v>1680</v>
      </c>
      <c r="C98" s="1137">
        <v>1.9199999999999998E-2</v>
      </c>
      <c r="D98" s="1136">
        <v>8.2400000000000001E-2</v>
      </c>
      <c r="E98" s="1141">
        <v>2.23E-2</v>
      </c>
      <c r="F98" s="1141">
        <v>0.2</v>
      </c>
    </row>
    <row r="99" spans="1:6" ht="12" customHeight="1">
      <c r="A99" s="1140" t="s">
        <v>1742</v>
      </c>
      <c r="B99" s="1138" t="s">
        <v>1687</v>
      </c>
      <c r="C99" s="1136">
        <v>7.8E-2</v>
      </c>
      <c r="D99" s="1136">
        <v>0.151</v>
      </c>
      <c r="E99" s="1142">
        <v>9.0899999999999995E-2</v>
      </c>
      <c r="F99" s="1142">
        <v>0.125</v>
      </c>
    </row>
    <row r="100" spans="1:6" ht="12" customHeight="1">
      <c r="A100" s="1140" t="s">
        <v>1741</v>
      </c>
      <c r="B100" s="1138" t="s">
        <v>1687</v>
      </c>
      <c r="C100" s="1136">
        <v>7.8E-2</v>
      </c>
      <c r="D100" s="1136">
        <v>0.151</v>
      </c>
      <c r="E100" s="1142">
        <v>9.0899999999999995E-2</v>
      </c>
      <c r="F100" s="1142">
        <v>0.15</v>
      </c>
    </row>
    <row r="101" spans="1:6" ht="12" customHeight="1">
      <c r="A101" s="1140" t="s">
        <v>1740</v>
      </c>
      <c r="B101" s="1138" t="s">
        <v>1667</v>
      </c>
      <c r="C101" s="1136">
        <v>5.3999999999999999E-2</v>
      </c>
      <c r="D101" s="1136">
        <v>0.123</v>
      </c>
      <c r="E101" s="1142">
        <v>6.2899999999999998E-2</v>
      </c>
      <c r="F101" s="1142">
        <v>0.24940000000000001</v>
      </c>
    </row>
    <row r="102" spans="1:6" ht="12" customHeight="1">
      <c r="A102" s="1140" t="s">
        <v>1739</v>
      </c>
      <c r="B102" s="1138" t="s">
        <v>1708</v>
      </c>
      <c r="C102" s="1136">
        <v>2.64E-2</v>
      </c>
      <c r="D102" s="1136">
        <v>9.0800000000000006E-2</v>
      </c>
      <c r="E102" s="1142">
        <v>3.0700000000000002E-2</v>
      </c>
      <c r="F102" s="1142">
        <v>0.2281</v>
      </c>
    </row>
    <row r="103" spans="1:6" ht="12" customHeight="1">
      <c r="A103" s="1140" t="s">
        <v>1738</v>
      </c>
      <c r="B103" s="1138" t="s">
        <v>1723</v>
      </c>
      <c r="C103" s="1136">
        <v>0.03</v>
      </c>
      <c r="D103" s="1136">
        <v>9.5100000000000004E-2</v>
      </c>
      <c r="E103" s="1142">
        <v>3.5000000000000003E-2</v>
      </c>
      <c r="F103" s="1142">
        <v>0.1</v>
      </c>
    </row>
    <row r="104" spans="1:6" ht="12" customHeight="1">
      <c r="A104" s="1139" t="s">
        <v>1737</v>
      </c>
      <c r="B104" s="1138" t="s">
        <v>1736</v>
      </c>
      <c r="C104" s="1137">
        <v>0.108</v>
      </c>
      <c r="D104" s="1136">
        <v>0.186</v>
      </c>
      <c r="E104" s="1141">
        <v>0.12590000000000001</v>
      </c>
      <c r="F104" s="1141">
        <v>0.2</v>
      </c>
    </row>
    <row r="105" spans="1:6" ht="12" customHeight="1">
      <c r="A105" s="1139" t="s">
        <v>1735</v>
      </c>
      <c r="B105" s="1138" t="s">
        <v>1667</v>
      </c>
      <c r="C105" s="1137">
        <v>5.3999999999999999E-2</v>
      </c>
      <c r="D105" s="1136">
        <v>0.123</v>
      </c>
      <c r="E105" s="1141">
        <v>6.2899999999999998E-2</v>
      </c>
      <c r="F105" s="1141">
        <v>0.3</v>
      </c>
    </row>
    <row r="106" spans="1:6" ht="12" customHeight="1">
      <c r="A106" s="1140" t="s">
        <v>1734</v>
      </c>
      <c r="B106" s="1138" t="s">
        <v>1671</v>
      </c>
      <c r="C106" s="1136">
        <v>0</v>
      </c>
      <c r="D106" s="1136">
        <v>6.0100000000000001E-2</v>
      </c>
      <c r="E106" s="1142">
        <v>0</v>
      </c>
      <c r="F106" s="1142">
        <v>0.24</v>
      </c>
    </row>
    <row r="107" spans="1:6" ht="12" customHeight="1">
      <c r="A107" s="1140" t="s">
        <v>1733</v>
      </c>
      <c r="B107" s="1138" t="s">
        <v>1671</v>
      </c>
      <c r="C107" s="1136">
        <v>0</v>
      </c>
      <c r="D107" s="1136">
        <v>6.0100000000000001E-2</v>
      </c>
      <c r="E107" s="1142">
        <v>0</v>
      </c>
      <c r="F107" s="1142">
        <v>0.2281</v>
      </c>
    </row>
    <row r="108" spans="1:6" ht="12" customHeight="1">
      <c r="A108" s="1140" t="s">
        <v>1732</v>
      </c>
      <c r="B108" s="1138" t="s">
        <v>1687</v>
      </c>
      <c r="C108" s="1136">
        <v>7.8E-2</v>
      </c>
      <c r="D108" s="1136">
        <v>0.151</v>
      </c>
      <c r="E108" s="1142">
        <v>9.0899999999999995E-2</v>
      </c>
      <c r="F108" s="1142">
        <v>0.2281</v>
      </c>
    </row>
    <row r="109" spans="1:6" ht="12" customHeight="1">
      <c r="A109" s="1140" t="s">
        <v>1731</v>
      </c>
      <c r="B109" s="1138" t="s">
        <v>1687</v>
      </c>
      <c r="C109" s="1136">
        <v>7.8E-2</v>
      </c>
      <c r="D109" s="1136">
        <v>0.151</v>
      </c>
      <c r="E109" s="1142">
        <v>9.0899999999999995E-2</v>
      </c>
      <c r="F109" s="1142">
        <v>0.35</v>
      </c>
    </row>
    <row r="110" spans="1:6" ht="12" customHeight="1">
      <c r="A110" s="1140" t="s">
        <v>1730</v>
      </c>
      <c r="B110" s="1138" t="s">
        <v>1678</v>
      </c>
      <c r="C110" s="1136">
        <v>6.6000000000000003E-2</v>
      </c>
      <c r="D110" s="1136">
        <v>0.13700000000000001</v>
      </c>
      <c r="E110" s="1142">
        <v>7.6899999999999996E-2</v>
      </c>
      <c r="F110" s="1142">
        <v>0.15</v>
      </c>
    </row>
    <row r="111" spans="1:6" ht="12" customHeight="1">
      <c r="A111" s="1140" t="s">
        <v>1729</v>
      </c>
      <c r="B111" s="1138" t="s">
        <v>1671</v>
      </c>
      <c r="C111" s="1136">
        <v>0</v>
      </c>
      <c r="D111" s="1136">
        <v>6.0100000000000001E-2</v>
      </c>
      <c r="E111" s="1142">
        <v>0</v>
      </c>
      <c r="F111" s="1142">
        <v>0.3</v>
      </c>
    </row>
    <row r="112" spans="1:6" ht="12" customHeight="1">
      <c r="A112" s="1140" t="s">
        <v>1728</v>
      </c>
      <c r="B112" s="1138" t="s">
        <v>1663</v>
      </c>
      <c r="C112" s="1136">
        <v>4.3099999999999999E-2</v>
      </c>
      <c r="D112" s="1136">
        <v>0.1104</v>
      </c>
      <c r="E112" s="1142">
        <v>5.0299999999999997E-2</v>
      </c>
      <c r="F112" s="1142">
        <v>0.12</v>
      </c>
    </row>
    <row r="113" spans="1:6" ht="12" customHeight="1">
      <c r="A113" s="1140" t="s">
        <v>1727</v>
      </c>
      <c r="B113" s="1138" t="s">
        <v>1687</v>
      </c>
      <c r="C113" s="1136">
        <v>7.8E-2</v>
      </c>
      <c r="D113" s="1136">
        <v>0.151</v>
      </c>
      <c r="E113" s="1142">
        <v>9.0899999999999995E-2</v>
      </c>
      <c r="F113" s="1142">
        <v>0.25</v>
      </c>
    </row>
    <row r="114" spans="1:6" ht="12" customHeight="1">
      <c r="A114" s="1140" t="s">
        <v>1726</v>
      </c>
      <c r="B114" s="1138" t="s">
        <v>1669</v>
      </c>
      <c r="C114" s="1136">
        <v>2.2800000000000001E-2</v>
      </c>
      <c r="D114" s="1136">
        <v>8.6699999999999999E-2</v>
      </c>
      <c r="E114" s="1142">
        <v>2.6599999999999999E-2</v>
      </c>
      <c r="F114" s="1142">
        <v>0.09</v>
      </c>
    </row>
    <row r="115" spans="1:6" ht="12" customHeight="1">
      <c r="A115" s="1140" t="s">
        <v>1725</v>
      </c>
      <c r="B115" s="1138" t="s">
        <v>1678</v>
      </c>
      <c r="C115" s="1136">
        <v>6.6000000000000003E-2</v>
      </c>
      <c r="D115" s="1136">
        <v>0.13700000000000001</v>
      </c>
      <c r="E115" s="1142">
        <v>7.6899999999999996E-2</v>
      </c>
      <c r="F115" s="1142">
        <v>0.27179999999999999</v>
      </c>
    </row>
    <row r="116" spans="1:6" ht="12" customHeight="1">
      <c r="A116" s="1140" t="s">
        <v>1724</v>
      </c>
      <c r="B116" s="1138" t="s">
        <v>1723</v>
      </c>
      <c r="C116" s="1136">
        <v>0.03</v>
      </c>
      <c r="D116" s="1136">
        <v>9.5100000000000004E-2</v>
      </c>
      <c r="E116" s="1142">
        <v>3.5000000000000003E-2</v>
      </c>
      <c r="F116" s="1142">
        <v>0.31</v>
      </c>
    </row>
    <row r="117" spans="1:6" ht="12" customHeight="1">
      <c r="A117" s="1139" t="s">
        <v>1722</v>
      </c>
      <c r="B117" s="1138" t="s">
        <v>1680</v>
      </c>
      <c r="C117" s="1137">
        <v>1.9199999999999998E-2</v>
      </c>
      <c r="D117" s="1136">
        <v>8.2400000000000001E-2</v>
      </c>
      <c r="E117" s="1141">
        <v>2.23E-2</v>
      </c>
      <c r="F117" s="1141">
        <v>0.32</v>
      </c>
    </row>
    <row r="118" spans="1:6" ht="12" customHeight="1">
      <c r="A118" s="1140" t="s">
        <v>1721</v>
      </c>
      <c r="B118" s="1138" t="s">
        <v>1669</v>
      </c>
      <c r="C118" s="1136">
        <v>2.2800000000000001E-2</v>
      </c>
      <c r="D118" s="1136">
        <v>8.6699999999999999E-2</v>
      </c>
      <c r="E118" s="1142">
        <v>2.6599999999999999E-2</v>
      </c>
      <c r="F118" s="1142">
        <v>0.25</v>
      </c>
    </row>
    <row r="119" spans="1:6" ht="12" customHeight="1">
      <c r="A119" s="1140" t="s">
        <v>1720</v>
      </c>
      <c r="B119" s="1138" t="s">
        <v>1705</v>
      </c>
      <c r="C119" s="1136">
        <v>1.0200000000000001E-2</v>
      </c>
      <c r="D119" s="1136">
        <v>7.1900000000000006E-2</v>
      </c>
      <c r="E119" s="1142">
        <v>1.18E-2</v>
      </c>
      <c r="F119" s="1142">
        <v>0.32</v>
      </c>
    </row>
    <row r="120" spans="1:6" ht="12" customHeight="1">
      <c r="A120" s="1140" t="s">
        <v>1719</v>
      </c>
      <c r="B120" s="1138" t="s">
        <v>1669</v>
      </c>
      <c r="C120" s="1136">
        <v>2.2800000000000001E-2</v>
      </c>
      <c r="D120" s="1136">
        <v>8.6699999999999999E-2</v>
      </c>
      <c r="E120" s="1142">
        <v>2.6599999999999999E-2</v>
      </c>
      <c r="F120" s="1142">
        <v>0.25</v>
      </c>
    </row>
    <row r="121" spans="1:6" ht="12" customHeight="1">
      <c r="A121" s="1140" t="s">
        <v>1718</v>
      </c>
      <c r="B121" s="1138" t="s">
        <v>1672</v>
      </c>
      <c r="C121" s="1136">
        <v>7.1999999999999998E-3</v>
      </c>
      <c r="D121" s="1136">
        <v>6.8500000000000005E-2</v>
      </c>
      <c r="E121" s="1142">
        <v>8.3999999999999995E-3</v>
      </c>
      <c r="F121" s="1142">
        <v>0.28000000000000003</v>
      </c>
    </row>
    <row r="122" spans="1:6" ht="12" customHeight="1">
      <c r="A122" s="1140" t="s">
        <v>1717</v>
      </c>
      <c r="B122" s="1138" t="s">
        <v>1712</v>
      </c>
      <c r="C122" s="1136">
        <v>8.5000000000000006E-3</v>
      </c>
      <c r="D122" s="1136">
        <v>7.0000000000000007E-2</v>
      </c>
      <c r="E122" s="1142">
        <v>9.9000000000000008E-3</v>
      </c>
      <c r="F122" s="1142">
        <v>0.3</v>
      </c>
    </row>
    <row r="123" spans="1:6" ht="12" customHeight="1">
      <c r="A123" s="1140" t="s">
        <v>1716</v>
      </c>
      <c r="B123" s="1138" t="s">
        <v>1708</v>
      </c>
      <c r="C123" s="1136">
        <v>2.64E-2</v>
      </c>
      <c r="D123" s="1136">
        <v>9.0800000000000006E-2</v>
      </c>
      <c r="E123" s="1142">
        <v>3.0700000000000002E-2</v>
      </c>
      <c r="F123" s="1142">
        <v>0.2281</v>
      </c>
    </row>
    <row r="124" spans="1:6" ht="12" customHeight="1">
      <c r="A124" s="1140" t="s">
        <v>1715</v>
      </c>
      <c r="B124" s="1138" t="s">
        <v>1661</v>
      </c>
      <c r="C124" s="1136">
        <v>0.1439</v>
      </c>
      <c r="D124" s="1136">
        <v>0.22789999999999999</v>
      </c>
      <c r="E124" s="1142">
        <v>0.1678</v>
      </c>
      <c r="F124" s="1142">
        <v>0.3</v>
      </c>
    </row>
    <row r="125" spans="1:6" ht="12" customHeight="1">
      <c r="A125" s="1140" t="s">
        <v>1714</v>
      </c>
      <c r="B125" s="1138" t="s">
        <v>1678</v>
      </c>
      <c r="C125" s="1136">
        <v>6.6000000000000003E-2</v>
      </c>
      <c r="D125" s="1136">
        <v>0.13700000000000001</v>
      </c>
      <c r="E125" s="1142">
        <v>7.6899999999999996E-2</v>
      </c>
      <c r="F125" s="1142">
        <v>0.22</v>
      </c>
    </row>
    <row r="126" spans="1:6" ht="12" customHeight="1">
      <c r="A126" s="1140" t="s">
        <v>1713</v>
      </c>
      <c r="B126" s="1138" t="s">
        <v>1712</v>
      </c>
      <c r="C126" s="1136">
        <v>8.5000000000000006E-3</v>
      </c>
      <c r="D126" s="1136">
        <v>7.0000000000000007E-2</v>
      </c>
      <c r="E126" s="1142">
        <v>9.9000000000000008E-3</v>
      </c>
      <c r="F126" s="1142">
        <v>0.15</v>
      </c>
    </row>
    <row r="127" spans="1:6" ht="12" customHeight="1">
      <c r="A127" s="1140" t="s">
        <v>1711</v>
      </c>
      <c r="B127" s="1138" t="s">
        <v>1663</v>
      </c>
      <c r="C127" s="1136">
        <v>4.3099999999999999E-2</v>
      </c>
      <c r="D127" s="1136">
        <v>0.1104</v>
      </c>
      <c r="E127" s="1142">
        <v>5.0299999999999997E-2</v>
      </c>
      <c r="F127" s="1142">
        <v>0.28999999999999998</v>
      </c>
    </row>
    <row r="128" spans="1:6" ht="12" customHeight="1">
      <c r="A128" s="1140" t="s">
        <v>1710</v>
      </c>
      <c r="B128" s="1138" t="s">
        <v>1685</v>
      </c>
      <c r="C128" s="1136">
        <v>3.61E-2</v>
      </c>
      <c r="D128" s="1136">
        <v>0.1022</v>
      </c>
      <c r="E128" s="1142">
        <v>4.2099999999999999E-2</v>
      </c>
      <c r="F128" s="1142">
        <v>0.25</v>
      </c>
    </row>
    <row r="129" spans="1:6" ht="12" customHeight="1">
      <c r="A129" s="1140" t="s">
        <v>1709</v>
      </c>
      <c r="B129" s="1138" t="s">
        <v>1708</v>
      </c>
      <c r="C129" s="1136">
        <v>2.64E-2</v>
      </c>
      <c r="D129" s="1136">
        <v>9.0800000000000006E-2</v>
      </c>
      <c r="E129" s="1142">
        <v>3.0700000000000002E-2</v>
      </c>
      <c r="F129" s="1142">
        <v>0.3</v>
      </c>
    </row>
    <row r="130" spans="1:6" ht="12" customHeight="1">
      <c r="A130" s="1140" t="s">
        <v>1707</v>
      </c>
      <c r="B130" s="1138" t="s">
        <v>1671</v>
      </c>
      <c r="C130" s="1136">
        <v>0</v>
      </c>
      <c r="D130" s="1136">
        <v>6.0100000000000001E-2</v>
      </c>
      <c r="E130" s="1142">
        <v>0</v>
      </c>
      <c r="F130" s="1142">
        <v>0.1</v>
      </c>
    </row>
    <row r="131" spans="1:6" ht="12" customHeight="1">
      <c r="A131" s="1140" t="s">
        <v>1706</v>
      </c>
      <c r="B131" s="1138" t="s">
        <v>1705</v>
      </c>
      <c r="C131" s="1136">
        <v>1.0200000000000001E-2</v>
      </c>
      <c r="D131" s="1136">
        <v>7.1900000000000006E-2</v>
      </c>
      <c r="E131" s="1142">
        <v>1.18E-2</v>
      </c>
      <c r="F131" s="1142">
        <v>0.29499999999999998</v>
      </c>
    </row>
    <row r="132" spans="1:6" ht="12" customHeight="1">
      <c r="A132" s="1140" t="s">
        <v>1704</v>
      </c>
      <c r="B132" s="1138" t="s">
        <v>1703</v>
      </c>
      <c r="C132" s="1136">
        <v>1.44E-2</v>
      </c>
      <c r="D132" s="1136">
        <v>7.6899999999999996E-2</v>
      </c>
      <c r="E132" s="1142">
        <v>1.6799999999999999E-2</v>
      </c>
      <c r="F132" s="1142">
        <v>0.3</v>
      </c>
    </row>
    <row r="133" spans="1:6" ht="12" customHeight="1">
      <c r="A133" s="1140" t="s">
        <v>1702</v>
      </c>
      <c r="B133" s="1138" t="s">
        <v>1683</v>
      </c>
      <c r="C133" s="1136">
        <v>8.9899999999999994E-2</v>
      </c>
      <c r="D133" s="1136">
        <v>0.16489999999999999</v>
      </c>
      <c r="E133" s="1142">
        <v>0.1048</v>
      </c>
      <c r="F133" s="1142">
        <v>0.19</v>
      </c>
    </row>
    <row r="134" spans="1:6" ht="12" customHeight="1">
      <c r="A134" s="1140" t="s">
        <v>1701</v>
      </c>
      <c r="B134" s="1138" t="s">
        <v>1685</v>
      </c>
      <c r="C134" s="1136">
        <v>3.61E-2</v>
      </c>
      <c r="D134" s="1136">
        <v>0.1022</v>
      </c>
      <c r="E134" s="1142">
        <v>4.2099999999999999E-2</v>
      </c>
      <c r="F134" s="1142">
        <v>0.21</v>
      </c>
    </row>
    <row r="135" spans="1:6" ht="12" customHeight="1">
      <c r="A135" s="1140" t="s">
        <v>1700</v>
      </c>
      <c r="B135" s="1138" t="s">
        <v>1680</v>
      </c>
      <c r="C135" s="1136">
        <v>1.9199999999999998E-2</v>
      </c>
      <c r="D135" s="1136">
        <v>8.2400000000000001E-2</v>
      </c>
      <c r="E135" s="1142">
        <v>2.23E-2</v>
      </c>
      <c r="F135" s="1142">
        <v>0.1</v>
      </c>
    </row>
    <row r="136" spans="1:6" ht="12" customHeight="1">
      <c r="A136" s="1140" t="s">
        <v>1699</v>
      </c>
      <c r="B136" s="1138" t="s">
        <v>1661</v>
      </c>
      <c r="C136" s="1136">
        <v>0.1439</v>
      </c>
      <c r="D136" s="1136">
        <v>0.22789999999999999</v>
      </c>
      <c r="E136" s="1142">
        <v>0.1678</v>
      </c>
      <c r="F136" s="1142">
        <v>0</v>
      </c>
    </row>
    <row r="137" spans="1:6" ht="12" customHeight="1">
      <c r="A137" s="1140" t="s">
        <v>1698</v>
      </c>
      <c r="B137" s="1138" t="s">
        <v>1685</v>
      </c>
      <c r="C137" s="1136">
        <v>3.61E-2</v>
      </c>
      <c r="D137" s="1136">
        <v>0.1022</v>
      </c>
      <c r="E137" s="1142">
        <v>4.2099999999999999E-2</v>
      </c>
      <c r="F137" s="1142">
        <v>0.16</v>
      </c>
    </row>
    <row r="138" spans="1:6" ht="12" customHeight="1">
      <c r="A138" s="1140" t="s">
        <v>1697</v>
      </c>
      <c r="B138" s="1138" t="s">
        <v>1687</v>
      </c>
      <c r="C138" s="1136">
        <v>7.8E-2</v>
      </c>
      <c r="D138" s="1136">
        <v>0.151</v>
      </c>
      <c r="E138" s="1142">
        <v>9.0899999999999995E-2</v>
      </c>
      <c r="F138" s="1142">
        <v>0.2</v>
      </c>
    </row>
    <row r="139" spans="1:6" ht="12" customHeight="1">
      <c r="A139" s="1143" t="s">
        <v>1696</v>
      </c>
      <c r="B139" s="1138" t="s">
        <v>1676</v>
      </c>
      <c r="C139" s="1136">
        <v>0.12</v>
      </c>
      <c r="D139" s="1136">
        <v>0.19989999999999999</v>
      </c>
      <c r="E139" s="1142">
        <v>0.13980000000000001</v>
      </c>
      <c r="F139" s="1142">
        <v>0.3</v>
      </c>
    </row>
    <row r="140" spans="1:6" ht="12" customHeight="1">
      <c r="A140" s="1140" t="s">
        <v>1695</v>
      </c>
      <c r="B140" s="1138" t="s">
        <v>1687</v>
      </c>
      <c r="C140" s="1136">
        <v>7.8E-2</v>
      </c>
      <c r="D140" s="1136">
        <v>0.151</v>
      </c>
      <c r="E140" s="1142">
        <v>9.0899999999999995E-2</v>
      </c>
      <c r="F140" s="1142">
        <v>0.2</v>
      </c>
    </row>
    <row r="141" spans="1:6" ht="12" customHeight="1">
      <c r="A141" s="1140" t="s">
        <v>1694</v>
      </c>
      <c r="B141" s="1138" t="s">
        <v>1671</v>
      </c>
      <c r="C141" s="1136">
        <v>0</v>
      </c>
      <c r="D141" s="1136">
        <v>6.0100000000000001E-2</v>
      </c>
      <c r="E141" s="1142">
        <v>0</v>
      </c>
      <c r="F141" s="1142">
        <v>0.3</v>
      </c>
    </row>
    <row r="142" spans="1:6" ht="12" customHeight="1">
      <c r="A142" s="1140" t="s">
        <v>1693</v>
      </c>
      <c r="B142" s="1138" t="s">
        <v>1671</v>
      </c>
      <c r="C142" s="1136">
        <v>0</v>
      </c>
      <c r="D142" s="1136">
        <v>6.0100000000000001E-2</v>
      </c>
      <c r="E142" s="1142">
        <v>0</v>
      </c>
      <c r="F142" s="1142">
        <v>0.15</v>
      </c>
    </row>
    <row r="143" spans="1:6" ht="12" customHeight="1">
      <c r="A143" s="1140" t="s">
        <v>1692</v>
      </c>
      <c r="B143" s="1138" t="s">
        <v>1672</v>
      </c>
      <c r="C143" s="1136">
        <v>7.1999999999999998E-3</v>
      </c>
      <c r="D143" s="1136">
        <v>6.8500000000000005E-2</v>
      </c>
      <c r="E143" s="1142">
        <v>8.3999999999999995E-3</v>
      </c>
      <c r="F143" s="1142">
        <v>0</v>
      </c>
    </row>
    <row r="144" spans="1:6" ht="12" customHeight="1">
      <c r="A144" s="1139" t="s">
        <v>1691</v>
      </c>
      <c r="B144" s="1138" t="s">
        <v>1687</v>
      </c>
      <c r="C144" s="1137">
        <v>7.8E-2</v>
      </c>
      <c r="D144" s="1136">
        <v>0.151</v>
      </c>
      <c r="E144" s="1141">
        <v>9.0899999999999995E-2</v>
      </c>
      <c r="F144" s="1141">
        <v>0.3</v>
      </c>
    </row>
    <row r="145" spans="1:6" ht="12" customHeight="1">
      <c r="A145" s="1140" t="s">
        <v>1690</v>
      </c>
      <c r="B145" s="1138" t="s">
        <v>1678</v>
      </c>
      <c r="C145" s="1136">
        <v>6.6000000000000003E-2</v>
      </c>
      <c r="D145" s="1136">
        <v>0.13700000000000001</v>
      </c>
      <c r="E145" s="1142">
        <v>7.6899999999999996E-2</v>
      </c>
      <c r="F145" s="1142">
        <v>0.17</v>
      </c>
    </row>
    <row r="146" spans="1:6" ht="12" customHeight="1">
      <c r="A146" s="1140" t="s">
        <v>1689</v>
      </c>
      <c r="B146" s="1138" t="s">
        <v>1680</v>
      </c>
      <c r="C146" s="1136">
        <v>1.9199999999999998E-2</v>
      </c>
      <c r="D146" s="1136">
        <v>8.2400000000000001E-2</v>
      </c>
      <c r="E146" s="1142">
        <v>2.23E-2</v>
      </c>
      <c r="F146" s="1142">
        <v>0.21</v>
      </c>
    </row>
    <row r="147" spans="1:6" ht="12" customHeight="1">
      <c r="A147" s="1140" t="s">
        <v>1688</v>
      </c>
      <c r="B147" s="1138" t="s">
        <v>1687</v>
      </c>
      <c r="C147" s="1136">
        <v>7.8E-2</v>
      </c>
      <c r="D147" s="1136">
        <v>0.151</v>
      </c>
      <c r="E147" s="1142">
        <v>9.0899999999999995E-2</v>
      </c>
      <c r="F147" s="1142">
        <v>0.19</v>
      </c>
    </row>
    <row r="148" spans="1:6" ht="12" customHeight="1">
      <c r="A148" s="1140" t="s">
        <v>1686</v>
      </c>
      <c r="B148" s="1138" t="s">
        <v>1685</v>
      </c>
      <c r="C148" s="1136">
        <v>3.61E-2</v>
      </c>
      <c r="D148" s="1136">
        <v>0.1022</v>
      </c>
      <c r="E148" s="1142">
        <v>4.2099999999999999E-2</v>
      </c>
      <c r="F148" s="1142">
        <v>0.3</v>
      </c>
    </row>
    <row r="149" spans="1:6" ht="12" customHeight="1">
      <c r="A149" s="1139" t="s">
        <v>1684</v>
      </c>
      <c r="B149" s="1138" t="s">
        <v>1683</v>
      </c>
      <c r="C149" s="1137">
        <v>8.9899999999999994E-2</v>
      </c>
      <c r="D149" s="1136">
        <v>0.16489999999999999</v>
      </c>
      <c r="E149" s="1141">
        <v>0.1048</v>
      </c>
      <c r="F149" s="1141">
        <v>0.29149999999999998</v>
      </c>
    </row>
    <row r="150" spans="1:6" ht="12" customHeight="1">
      <c r="A150" s="1140" t="s">
        <v>1682</v>
      </c>
      <c r="B150" s="1138" t="s">
        <v>1678</v>
      </c>
      <c r="C150" s="1136">
        <v>6.6000000000000003E-2</v>
      </c>
      <c r="D150" s="1136">
        <v>0.13700000000000001</v>
      </c>
      <c r="E150" s="1142">
        <v>7.6899999999999996E-2</v>
      </c>
      <c r="F150" s="1142">
        <v>0.28000000000000003</v>
      </c>
    </row>
    <row r="151" spans="1:6" ht="12" customHeight="1">
      <c r="A151" s="1140" t="s">
        <v>1681</v>
      </c>
      <c r="B151" s="1138" t="s">
        <v>1680</v>
      </c>
      <c r="C151" s="1136">
        <v>1.9199999999999998E-2</v>
      </c>
      <c r="D151" s="1136">
        <v>8.2400000000000001E-2</v>
      </c>
      <c r="E151" s="1142">
        <v>2.23E-2</v>
      </c>
      <c r="F151" s="1142">
        <v>0.25</v>
      </c>
    </row>
    <row r="152" spans="1:6" ht="12" customHeight="1">
      <c r="A152" s="1140" t="s">
        <v>1679</v>
      </c>
      <c r="B152" s="1138" t="s">
        <v>1678</v>
      </c>
      <c r="C152" s="1136">
        <v>6.6000000000000003E-2</v>
      </c>
      <c r="D152" s="1136">
        <v>0.13700000000000001</v>
      </c>
      <c r="E152" s="1142">
        <v>7.6899999999999996E-2</v>
      </c>
      <c r="F152" s="1142">
        <v>0.24</v>
      </c>
    </row>
    <row r="153" spans="1:6" ht="12" customHeight="1">
      <c r="A153" s="1140" t="s">
        <v>1677</v>
      </c>
      <c r="B153" s="1138" t="s">
        <v>1676</v>
      </c>
      <c r="C153" s="1136">
        <v>0.12</v>
      </c>
      <c r="D153" s="1136">
        <v>0.19989999999999999</v>
      </c>
      <c r="E153" s="1142">
        <v>0.13980000000000001</v>
      </c>
      <c r="F153" s="1142">
        <v>0.27179999999999999</v>
      </c>
    </row>
    <row r="154" spans="1:6" ht="12" customHeight="1">
      <c r="A154" s="1140" t="s">
        <v>1675</v>
      </c>
      <c r="B154" s="1138" t="s">
        <v>1674</v>
      </c>
      <c r="C154" s="1136">
        <v>5.8999999999999999E-3</v>
      </c>
      <c r="D154" s="1136">
        <v>6.7000000000000004E-2</v>
      </c>
      <c r="E154" s="1142">
        <v>6.8999999999999999E-3</v>
      </c>
      <c r="F154" s="1142">
        <v>0.27179999999999999</v>
      </c>
    </row>
    <row r="155" spans="1:6" ht="12" customHeight="1">
      <c r="A155" s="1140" t="s">
        <v>1673</v>
      </c>
      <c r="B155" s="1138" t="s">
        <v>1672</v>
      </c>
      <c r="C155" s="1136">
        <v>7.1999999999999998E-3</v>
      </c>
      <c r="D155" s="1136">
        <v>6.8500000000000005E-2</v>
      </c>
      <c r="E155" s="1142">
        <v>8.3999999999999995E-3</v>
      </c>
      <c r="F155" s="1142">
        <v>0.35</v>
      </c>
    </row>
    <row r="156" spans="1:6" ht="12" customHeight="1">
      <c r="A156" s="1139" t="s">
        <v>663</v>
      </c>
      <c r="B156" s="1138" t="s">
        <v>1671</v>
      </c>
      <c r="C156" s="1137">
        <v>0</v>
      </c>
      <c r="D156" s="1136">
        <v>6.0100000000000001E-2</v>
      </c>
      <c r="E156" s="1141">
        <v>0</v>
      </c>
      <c r="F156" s="1141">
        <v>0.36</v>
      </c>
    </row>
    <row r="157" spans="1:6" ht="12" customHeight="1">
      <c r="A157" s="1140" t="s">
        <v>1670</v>
      </c>
      <c r="B157" s="1138" t="s">
        <v>1669</v>
      </c>
      <c r="C157" s="1136">
        <v>2.2800000000000001E-2</v>
      </c>
      <c r="D157" s="1136">
        <v>8.6699999999999999E-2</v>
      </c>
      <c r="E157" s="1142">
        <v>2.6599999999999999E-2</v>
      </c>
      <c r="F157" s="1142">
        <v>0.27500000000000002</v>
      </c>
    </row>
    <row r="158" spans="1:6" ht="12" customHeight="1">
      <c r="A158" s="1140" t="s">
        <v>1668</v>
      </c>
      <c r="B158" s="1138" t="s">
        <v>1667</v>
      </c>
      <c r="C158" s="1136">
        <v>5.3999999999999999E-2</v>
      </c>
      <c r="D158" s="1136">
        <v>0.123</v>
      </c>
      <c r="E158" s="1142">
        <v>6.2899999999999998E-2</v>
      </c>
      <c r="F158" s="1142">
        <v>0.20599999999999999</v>
      </c>
    </row>
    <row r="159" spans="1:6" ht="12" customHeight="1">
      <c r="A159" s="1140" t="s">
        <v>1666</v>
      </c>
      <c r="B159" s="1138" t="s">
        <v>1665</v>
      </c>
      <c r="C159" s="1136">
        <v>0.17499999999999999</v>
      </c>
      <c r="D159" s="1136">
        <v>0.2641</v>
      </c>
      <c r="E159" s="1142">
        <v>0.20399999999999999</v>
      </c>
      <c r="F159" s="1142">
        <v>0.14929999999999999</v>
      </c>
    </row>
    <row r="160" spans="1:6" ht="12" customHeight="1">
      <c r="A160" s="1140" t="s">
        <v>1664</v>
      </c>
      <c r="B160" s="1138" t="s">
        <v>1663</v>
      </c>
      <c r="C160" s="1136">
        <v>4.3099999999999999E-2</v>
      </c>
      <c r="D160" s="1136">
        <v>0.1104</v>
      </c>
      <c r="E160" s="1142">
        <v>5.0299999999999997E-2</v>
      </c>
      <c r="F160" s="1142">
        <v>0.28000000000000003</v>
      </c>
    </row>
    <row r="161" spans="1:6" ht="12" customHeight="1">
      <c r="A161" s="1139" t="s">
        <v>1662</v>
      </c>
      <c r="B161" s="1138" t="s">
        <v>1661</v>
      </c>
      <c r="C161" s="1137">
        <v>0.1439</v>
      </c>
      <c r="D161" s="1136">
        <v>0.22789999999999999</v>
      </c>
      <c r="E161" s="1141">
        <v>0.1678</v>
      </c>
      <c r="F161" s="1141">
        <v>0.2</v>
      </c>
    </row>
    <row r="162" spans="1:6" ht="12" customHeight="1">
      <c r="A162" s="1140"/>
      <c r="B162" s="1138"/>
      <c r="C162" s="1136"/>
      <c r="D162" s="1136"/>
      <c r="E162" s="1136"/>
      <c r="F162" s="1136"/>
    </row>
    <row r="163" spans="1:6" ht="12" customHeight="1">
      <c r="A163" s="1140"/>
      <c r="B163" s="1138"/>
      <c r="C163" s="1136"/>
      <c r="D163" s="1136"/>
      <c r="E163" s="1136"/>
      <c r="F163" s="1136"/>
    </row>
    <row r="164" spans="1:6" ht="12" customHeight="1">
      <c r="A164" s="1140"/>
      <c r="B164" s="1138"/>
      <c r="C164" s="1136"/>
      <c r="D164" s="1136"/>
      <c r="E164" s="1136"/>
      <c r="F164" s="1136"/>
    </row>
    <row r="165" spans="1:6" ht="12" customHeight="1">
      <c r="A165" s="1140"/>
      <c r="B165" s="1138"/>
      <c r="C165" s="1136"/>
      <c r="D165" s="1136"/>
      <c r="E165" s="1136"/>
      <c r="F165" s="1136"/>
    </row>
    <row r="166" spans="1:6" ht="12" customHeight="1">
      <c r="A166" s="1140"/>
      <c r="B166" s="1138"/>
      <c r="C166" s="1136"/>
      <c r="D166" s="1136"/>
      <c r="E166" s="1136"/>
      <c r="F166" s="1136"/>
    </row>
    <row r="167" spans="1:6" ht="12" customHeight="1">
      <c r="A167" s="1140"/>
      <c r="B167" s="1138"/>
      <c r="C167" s="1136"/>
      <c r="D167" s="1136"/>
      <c r="E167" s="1136"/>
      <c r="F167" s="1136"/>
    </row>
    <row r="168" spans="1:6" ht="12" customHeight="1">
      <c r="A168" s="1140"/>
      <c r="B168" s="1138"/>
      <c r="C168" s="1136"/>
      <c r="D168" s="1136"/>
      <c r="E168" s="1136"/>
      <c r="F168" s="1136"/>
    </row>
    <row r="169" spans="1:6" ht="12" customHeight="1">
      <c r="A169" s="1140"/>
      <c r="B169" s="1138"/>
      <c r="C169" s="1136"/>
      <c r="D169" s="1136"/>
      <c r="E169" s="1136"/>
      <c r="F169" s="1136"/>
    </row>
    <row r="170" spans="1:6" ht="12" customHeight="1">
      <c r="A170" s="1140"/>
      <c r="B170" s="1138"/>
      <c r="C170" s="1136"/>
      <c r="D170" s="1136"/>
      <c r="E170" s="1136"/>
      <c r="F170" s="1136"/>
    </row>
    <row r="171" spans="1:6" ht="12" customHeight="1">
      <c r="A171" s="1140"/>
      <c r="B171" s="1138"/>
      <c r="C171" s="1136"/>
      <c r="D171" s="1136"/>
      <c r="E171" s="1136"/>
      <c r="F171" s="1136"/>
    </row>
    <row r="172" spans="1:6" ht="12" customHeight="1">
      <c r="A172" s="1140"/>
      <c r="B172" s="1138"/>
      <c r="C172" s="1136"/>
      <c r="D172" s="1136"/>
      <c r="E172" s="1136"/>
      <c r="F172" s="1136"/>
    </row>
    <row r="173" spans="1:6" ht="12" customHeight="1">
      <c r="A173" s="1140"/>
      <c r="B173" s="1138"/>
      <c r="C173" s="1136"/>
      <c r="D173" s="1136"/>
      <c r="E173" s="1136"/>
      <c r="F173" s="1136"/>
    </row>
    <row r="174" spans="1:6" ht="12" customHeight="1">
      <c r="A174" s="1140"/>
      <c r="B174" s="1138"/>
      <c r="C174" s="1136"/>
      <c r="D174" s="1136"/>
      <c r="E174" s="1136"/>
      <c r="F174" s="1136"/>
    </row>
    <row r="175" spans="1:6" ht="12" customHeight="1">
      <c r="A175" s="1140"/>
      <c r="B175" s="1138"/>
      <c r="C175" s="1136"/>
      <c r="D175" s="1136"/>
      <c r="E175" s="1136"/>
      <c r="F175" s="1136"/>
    </row>
    <row r="176" spans="1:6" ht="12" customHeight="1">
      <c r="A176" s="1140"/>
      <c r="B176" s="1138"/>
      <c r="C176" s="1136"/>
      <c r="D176" s="1136"/>
      <c r="E176" s="1136"/>
      <c r="F176" s="1136"/>
    </row>
    <row r="177" spans="1:6" ht="12" customHeight="1">
      <c r="A177" s="1140"/>
      <c r="B177" s="1138"/>
      <c r="C177" s="1136"/>
      <c r="D177" s="1136"/>
      <c r="E177" s="1136"/>
      <c r="F177" s="1136"/>
    </row>
    <row r="178" spans="1:6" ht="12" customHeight="1">
      <c r="A178" s="1140"/>
      <c r="B178" s="1138"/>
      <c r="C178" s="1136"/>
      <c r="D178" s="1136"/>
      <c r="E178" s="1136"/>
      <c r="F178" s="1136"/>
    </row>
    <row r="179" spans="1:6" ht="12" customHeight="1">
      <c r="A179" s="1139"/>
      <c r="B179" s="1138"/>
      <c r="C179" s="1137"/>
      <c r="D179" s="1136"/>
      <c r="E179" s="1135"/>
      <c r="F179" s="1135"/>
    </row>
    <row r="180" spans="1:6" ht="12" customHeight="1">
      <c r="A180" s="1140"/>
      <c r="B180" s="1138"/>
      <c r="C180" s="1136"/>
      <c r="D180" s="1136"/>
      <c r="E180" s="1136"/>
      <c r="F180" s="1136"/>
    </row>
    <row r="181" spans="1:6" ht="12" customHeight="1">
      <c r="A181" s="1139"/>
      <c r="B181" s="1138"/>
      <c r="C181" s="1137"/>
      <c r="D181" s="1136"/>
      <c r="E181" s="1135"/>
      <c r="F181" s="1135"/>
    </row>
    <row r="182" spans="1:6" ht="12" customHeight="1">
      <c r="A182" s="1133"/>
      <c r="B182" s="1133"/>
      <c r="C182" s="1134"/>
      <c r="D182" s="1134"/>
      <c r="E182" s="1134"/>
      <c r="F182" s="1134"/>
    </row>
    <row r="183" spans="1:6" ht="12" customHeight="1">
      <c r="A183" s="1133"/>
      <c r="B183" s="1133"/>
      <c r="C183" s="1134"/>
      <c r="D183" s="1134"/>
      <c r="E183" s="1134"/>
      <c r="F183" s="1134"/>
    </row>
    <row r="184" spans="1:6" ht="12" customHeight="1">
      <c r="A184" s="1133"/>
      <c r="B184" s="1133"/>
      <c r="C184" s="1133"/>
      <c r="D184" s="1133"/>
      <c r="E184" s="1133"/>
      <c r="F184" s="1134"/>
    </row>
    <row r="185" spans="1:6" ht="12" customHeight="1">
      <c r="A185" s="1133"/>
      <c r="B185" s="1133"/>
      <c r="C185" s="1133"/>
      <c r="D185" s="1133"/>
      <c r="E185" s="1133"/>
      <c r="F185" s="1134"/>
    </row>
    <row r="186" spans="1:6" ht="12" customHeight="1">
      <c r="A186" s="1133"/>
      <c r="B186" s="1133"/>
      <c r="C186" s="1133"/>
      <c r="D186" s="1133"/>
      <c r="E186" s="1133"/>
      <c r="F186" s="1134"/>
    </row>
    <row r="187" spans="1:6" ht="12" customHeight="1">
      <c r="A187" s="1133"/>
      <c r="B187" s="1133"/>
      <c r="C187" s="1133"/>
      <c r="D187" s="1133"/>
      <c r="E187" s="1133"/>
      <c r="F187" s="1134"/>
    </row>
    <row r="188" spans="1:6" ht="12" customHeight="1">
      <c r="A188" s="1133"/>
      <c r="B188" s="1133"/>
      <c r="C188" s="1133"/>
      <c r="D188" s="1133"/>
      <c r="E188" s="1133"/>
      <c r="F188" s="1134"/>
    </row>
    <row r="189" spans="1:6" ht="12" customHeight="1">
      <c r="A189" s="1133"/>
      <c r="B189" s="1133"/>
      <c r="C189" s="1133"/>
      <c r="D189" s="1133"/>
      <c r="E189" s="1133"/>
      <c r="F189" s="1134"/>
    </row>
    <row r="190" spans="1:6" ht="12" customHeight="1">
      <c r="A190" s="1133"/>
      <c r="B190" s="1133"/>
      <c r="C190" s="1133"/>
      <c r="D190" s="1133"/>
      <c r="E190" s="1133"/>
      <c r="F190" s="1134"/>
    </row>
    <row r="191" spans="1:6" ht="12" customHeight="1">
      <c r="A191" s="1133"/>
      <c r="B191" s="1133"/>
      <c r="C191" s="1133"/>
      <c r="D191" s="1133"/>
      <c r="E191" s="1133"/>
      <c r="F191" s="1133"/>
    </row>
    <row r="192" spans="1:6" ht="12" customHeight="1">
      <c r="A192" s="1133"/>
      <c r="B192" s="1133"/>
      <c r="C192" s="1133"/>
      <c r="D192" s="1133"/>
      <c r="E192" s="1133"/>
      <c r="F192" s="1133"/>
    </row>
    <row r="193" spans="1:6" ht="12" customHeight="1">
      <c r="A193" s="1133"/>
      <c r="B193" s="1133"/>
      <c r="C193" s="1133"/>
      <c r="D193" s="1133"/>
      <c r="E193" s="1133"/>
      <c r="F193" s="1133"/>
    </row>
    <row r="194" spans="1:6" ht="12" customHeight="1">
      <c r="A194" s="1133"/>
      <c r="B194" s="1133"/>
      <c r="C194" s="1133"/>
      <c r="D194" s="1133"/>
      <c r="E194" s="1133"/>
      <c r="F194" s="1133"/>
    </row>
    <row r="195" spans="1:6" ht="12" customHeight="1">
      <c r="A195" s="1133"/>
      <c r="B195" s="1134"/>
      <c r="C195" s="1134"/>
      <c r="D195" s="1134"/>
      <c r="E195" s="1134"/>
      <c r="F195" s="1133"/>
    </row>
    <row r="196" spans="1:6" ht="12" customHeight="1">
      <c r="A196" s="1133"/>
      <c r="B196" s="1134"/>
      <c r="C196" s="1134"/>
      <c r="D196" s="1134"/>
      <c r="E196" s="1134"/>
      <c r="F196" s="1133"/>
    </row>
    <row r="197" spans="1:6" ht="12" customHeight="1">
      <c r="A197" s="1133"/>
      <c r="B197" s="1134"/>
      <c r="C197" s="1134"/>
      <c r="D197" s="1134"/>
      <c r="E197" s="1134"/>
      <c r="F197" s="1133"/>
    </row>
    <row r="198" spans="1:6" ht="12" customHeight="1">
      <c r="A198" s="1133"/>
      <c r="B198" s="1134"/>
      <c r="C198" s="1134"/>
      <c r="D198" s="1134"/>
      <c r="E198" s="1134"/>
      <c r="F198" s="1133"/>
    </row>
    <row r="199" spans="1:6" ht="12" customHeight="1">
      <c r="A199" s="1133"/>
      <c r="B199" s="1134"/>
      <c r="C199" s="1134"/>
      <c r="D199" s="1134"/>
      <c r="E199" s="1134"/>
      <c r="F199" s="1133"/>
    </row>
    <row r="200" spans="1:6" ht="12" customHeight="1">
      <c r="A200" s="1133"/>
      <c r="B200" s="1134"/>
      <c r="C200" s="1134"/>
      <c r="D200" s="1134"/>
      <c r="E200" s="1134"/>
      <c r="F200" s="1133"/>
    </row>
    <row r="201" spans="1:6" ht="12" customHeight="1">
      <c r="A201" s="1133"/>
      <c r="B201" s="1134"/>
      <c r="C201" s="1134"/>
      <c r="D201" s="1134"/>
      <c r="E201" s="1134"/>
      <c r="F201" s="1133"/>
    </row>
    <row r="202" spans="1:6" ht="12" customHeight="1">
      <c r="A202" s="1133"/>
      <c r="B202" s="1134"/>
      <c r="C202" s="1134"/>
      <c r="D202" s="1134"/>
      <c r="E202" s="1134"/>
      <c r="F202" s="1133"/>
    </row>
    <row r="203" spans="1:6" ht="12" customHeight="1">
      <c r="A203" s="1133"/>
      <c r="B203" s="1133"/>
      <c r="C203" s="1133"/>
      <c r="D203" s="1133"/>
      <c r="E203" s="1133"/>
      <c r="F203" s="1133"/>
    </row>
    <row r="204" spans="1:6" ht="12" customHeight="1">
      <c r="A204" s="1133"/>
      <c r="B204" s="1134"/>
      <c r="C204" s="1134"/>
      <c r="D204" s="1134"/>
      <c r="E204" s="1134"/>
      <c r="F204" s="1133"/>
    </row>
    <row r="205" spans="1:6" ht="12" customHeight="1">
      <c r="A205" s="1133"/>
      <c r="B205" s="1133"/>
      <c r="C205" s="1133"/>
      <c r="D205" s="1133"/>
      <c r="E205" s="1133"/>
      <c r="F205" s="1133"/>
    </row>
    <row r="206" spans="1:6" ht="12" customHeight="1">
      <c r="A206" s="1133"/>
      <c r="B206" s="1133"/>
      <c r="C206" s="1133"/>
      <c r="D206" s="1133"/>
      <c r="E206" s="1133"/>
      <c r="F206" s="1133"/>
    </row>
    <row r="207" spans="1:6" ht="12" customHeight="1">
      <c r="A207" s="1133"/>
      <c r="B207" s="1133"/>
      <c r="C207" s="1133"/>
      <c r="D207" s="1133"/>
      <c r="E207" s="1133"/>
      <c r="F207" s="1133"/>
    </row>
    <row r="208" spans="1:6" ht="12" customHeight="1">
      <c r="A208" s="1133"/>
      <c r="B208" s="1133"/>
      <c r="C208" s="1133"/>
      <c r="D208" s="1133"/>
      <c r="E208" s="1133"/>
      <c r="F208" s="1133"/>
    </row>
    <row r="209" spans="1:6" ht="12" customHeight="1">
      <c r="A209" s="1133"/>
      <c r="B209" s="1133"/>
      <c r="C209" s="1133"/>
      <c r="D209" s="1133"/>
      <c r="E209" s="1133"/>
      <c r="F209" s="1133"/>
    </row>
    <row r="210" spans="1:6" ht="12" customHeight="1">
      <c r="A210" s="1133"/>
      <c r="B210" s="1133"/>
      <c r="C210" s="1133"/>
      <c r="D210" s="1133"/>
      <c r="E210" s="1133"/>
      <c r="F210" s="1133"/>
    </row>
    <row r="211" spans="1:6" ht="12" customHeight="1">
      <c r="A211" s="1133"/>
      <c r="B211" s="1133"/>
      <c r="C211" s="1133"/>
      <c r="D211" s="1133"/>
      <c r="E211" s="1133"/>
      <c r="F211" s="1133"/>
    </row>
    <row r="212" spans="1:6" ht="12" customHeight="1">
      <c r="A212" s="1133"/>
      <c r="B212" s="1133"/>
      <c r="C212" s="1133"/>
      <c r="D212" s="1133"/>
      <c r="E212" s="1133"/>
      <c r="F212" s="1133"/>
    </row>
    <row r="213" spans="1:6" ht="12" customHeight="1">
      <c r="A213" s="1133"/>
      <c r="B213" s="1133"/>
      <c r="C213" s="1133"/>
      <c r="D213" s="1133"/>
      <c r="E213" s="1133"/>
      <c r="F213" s="1133"/>
    </row>
    <row r="214" spans="1:6" ht="12" customHeight="1">
      <c r="A214" s="1133"/>
      <c r="B214" s="1133"/>
      <c r="C214" s="1133"/>
      <c r="D214" s="1133"/>
      <c r="E214" s="1133"/>
      <c r="F214" s="1133"/>
    </row>
    <row r="215" spans="1:6" ht="12" customHeight="1">
      <c r="A215" s="1133"/>
      <c r="B215" s="1133"/>
      <c r="C215" s="1133"/>
      <c r="D215" s="1133"/>
      <c r="E215" s="1133"/>
      <c r="F215" s="1133"/>
    </row>
    <row r="216" spans="1:6" ht="12" customHeight="1">
      <c r="A216" s="1133"/>
      <c r="B216" s="1133"/>
      <c r="C216" s="1133"/>
      <c r="D216" s="1133"/>
      <c r="E216" s="1133"/>
      <c r="F216" s="1133"/>
    </row>
    <row r="217" spans="1:6" ht="12" customHeight="1">
      <c r="A217" s="1133"/>
      <c r="B217" s="1133"/>
      <c r="C217" s="1133"/>
      <c r="D217" s="1133"/>
      <c r="E217" s="1133"/>
      <c r="F217" s="1133"/>
    </row>
    <row r="218" spans="1:6" ht="12" customHeight="1">
      <c r="A218" s="1133"/>
      <c r="B218" s="1133"/>
      <c r="C218" s="1133"/>
      <c r="D218" s="1133"/>
      <c r="E218" s="1133"/>
      <c r="F218" s="1133"/>
    </row>
    <row r="219" spans="1:6" ht="12" customHeight="1">
      <c r="A219" s="1133"/>
      <c r="B219" s="1133"/>
      <c r="C219" s="1133"/>
      <c r="D219" s="1133"/>
      <c r="E219" s="1133"/>
      <c r="F219" s="1133"/>
    </row>
    <row r="220" spans="1:6" ht="12" customHeight="1">
      <c r="A220" s="1133"/>
      <c r="B220" s="1133"/>
      <c r="C220" s="1133"/>
      <c r="D220" s="1133"/>
      <c r="E220" s="1133"/>
      <c r="F220" s="1133"/>
    </row>
    <row r="221" spans="1:6" ht="12" customHeight="1">
      <c r="A221" s="1133"/>
      <c r="B221" s="1133"/>
      <c r="C221" s="1133"/>
      <c r="D221" s="1133"/>
      <c r="E221" s="1133"/>
      <c r="F221" s="1133"/>
    </row>
    <row r="222" spans="1:6" ht="12" customHeight="1">
      <c r="A222" s="1133"/>
      <c r="B222" s="1133"/>
      <c r="C222" s="1133"/>
      <c r="D222" s="1133"/>
      <c r="E222" s="1133"/>
      <c r="F222" s="1133"/>
    </row>
    <row r="223" spans="1:6" ht="12" customHeight="1">
      <c r="A223" s="1133"/>
      <c r="B223" s="1133"/>
      <c r="C223" s="1133"/>
      <c r="D223" s="1133"/>
      <c r="E223" s="1133"/>
      <c r="F223" s="1133"/>
    </row>
    <row r="224" spans="1:6" ht="12" customHeight="1">
      <c r="A224" s="1133"/>
      <c r="B224" s="1133"/>
      <c r="C224" s="1133"/>
      <c r="D224" s="1133"/>
      <c r="E224" s="1133"/>
      <c r="F224" s="1133"/>
    </row>
    <row r="225" spans="1:6" ht="12" customHeight="1">
      <c r="A225" s="1133"/>
      <c r="B225" s="1133"/>
      <c r="C225" s="1133"/>
      <c r="D225" s="1133"/>
      <c r="E225" s="1133"/>
      <c r="F225" s="1133"/>
    </row>
    <row r="226" spans="1:6" ht="12" customHeight="1">
      <c r="A226" s="1133"/>
      <c r="B226" s="1133"/>
      <c r="C226" s="1133"/>
      <c r="D226" s="1133"/>
      <c r="E226" s="1133"/>
      <c r="F226" s="1133"/>
    </row>
    <row r="227" spans="1:6" ht="12" customHeight="1">
      <c r="A227" s="1133"/>
      <c r="B227" s="1133"/>
      <c r="C227" s="1133"/>
      <c r="D227" s="1133"/>
      <c r="E227" s="1133"/>
      <c r="F227" s="1133"/>
    </row>
    <row r="228" spans="1:6" ht="12" customHeight="1">
      <c r="A228" s="1133"/>
      <c r="B228" s="1133"/>
      <c r="C228" s="1133"/>
      <c r="D228" s="1133"/>
      <c r="E228" s="1133"/>
      <c r="F228" s="1133"/>
    </row>
    <row r="229" spans="1:6" ht="12" customHeight="1">
      <c r="A229" s="1133"/>
      <c r="B229" s="1133"/>
      <c r="C229" s="1133"/>
      <c r="D229" s="1133"/>
      <c r="E229" s="1133"/>
      <c r="F229" s="1133"/>
    </row>
    <row r="230" spans="1:6" ht="12" customHeight="1">
      <c r="A230" s="1133"/>
      <c r="B230" s="1133"/>
      <c r="C230" s="1133"/>
      <c r="D230" s="1133"/>
      <c r="E230" s="1133"/>
      <c r="F230" s="1133"/>
    </row>
    <row r="231" spans="1:6" ht="12" customHeight="1">
      <c r="A231" s="1133"/>
      <c r="B231" s="1133"/>
      <c r="C231" s="1133"/>
      <c r="D231" s="1133"/>
      <c r="E231" s="1133"/>
      <c r="F231" s="1133"/>
    </row>
    <row r="232" spans="1:6" ht="12" customHeight="1">
      <c r="A232" s="1133"/>
      <c r="B232" s="1133"/>
      <c r="C232" s="1133"/>
      <c r="D232" s="1133"/>
      <c r="E232" s="1133"/>
      <c r="F232" s="1133"/>
    </row>
    <row r="233" spans="1:6" ht="12" customHeight="1">
      <c r="A233" s="1133"/>
      <c r="B233" s="1133"/>
      <c r="C233" s="1133"/>
      <c r="D233" s="1133"/>
      <c r="E233" s="1133"/>
      <c r="F233" s="1133"/>
    </row>
    <row r="234" spans="1:6" ht="12" customHeight="1">
      <c r="A234" s="1133"/>
      <c r="B234" s="1133"/>
      <c r="C234" s="1133"/>
      <c r="D234" s="1133"/>
      <c r="E234" s="1133"/>
      <c r="F234" s="1133"/>
    </row>
    <row r="235" spans="1:6" ht="12" customHeight="1">
      <c r="A235" s="1133"/>
      <c r="B235" s="1133"/>
      <c r="C235" s="1133"/>
      <c r="D235" s="1133"/>
      <c r="E235" s="1133"/>
      <c r="F235" s="1133"/>
    </row>
    <row r="236" spans="1:6" ht="12" customHeight="1">
      <c r="A236" s="1133"/>
      <c r="B236" s="1133"/>
      <c r="C236" s="1133"/>
      <c r="D236" s="1133"/>
      <c r="E236" s="1133"/>
      <c r="F236" s="1133"/>
    </row>
    <row r="237" spans="1:6" ht="12" customHeight="1">
      <c r="A237" s="1133"/>
      <c r="B237" s="1133"/>
      <c r="C237" s="1133"/>
      <c r="D237" s="1133"/>
      <c r="E237" s="1133"/>
      <c r="F237" s="1133"/>
    </row>
    <row r="238" spans="1:6" ht="12" customHeight="1">
      <c r="A238" s="1133"/>
      <c r="B238" s="1133"/>
      <c r="C238" s="1133"/>
      <c r="D238" s="1133"/>
      <c r="E238" s="1133"/>
      <c r="F238" s="1133"/>
    </row>
    <row r="239" spans="1:6" ht="12" customHeight="1">
      <c r="A239" s="1133"/>
      <c r="B239" s="1133"/>
      <c r="C239" s="1133"/>
      <c r="D239" s="1133"/>
      <c r="E239" s="1133"/>
      <c r="F239" s="1133"/>
    </row>
    <row r="240" spans="1:6" ht="12" customHeight="1">
      <c r="A240" s="1133"/>
      <c r="B240" s="1133"/>
      <c r="C240" s="1133"/>
      <c r="D240" s="1133"/>
      <c r="E240" s="1133"/>
      <c r="F240" s="1133"/>
    </row>
    <row r="241" spans="1:6" ht="12" customHeight="1">
      <c r="A241" s="1133"/>
      <c r="B241" s="1133"/>
      <c r="C241" s="1133"/>
      <c r="D241" s="1133"/>
      <c r="E241" s="1133"/>
      <c r="F241" s="1133"/>
    </row>
    <row r="242" spans="1:6" ht="12" customHeight="1">
      <c r="A242" s="1133"/>
      <c r="B242" s="1133"/>
      <c r="C242" s="1133"/>
      <c r="D242" s="1133"/>
      <c r="E242" s="1133"/>
      <c r="F242" s="1133"/>
    </row>
    <row r="243" spans="1:6" ht="12" customHeight="1">
      <c r="A243" s="1133"/>
      <c r="B243" s="1133"/>
      <c r="C243" s="1133"/>
      <c r="D243" s="1133"/>
      <c r="E243" s="1133"/>
      <c r="F243" s="1133"/>
    </row>
    <row r="244" spans="1:6" ht="12" customHeight="1">
      <c r="A244" s="1133"/>
      <c r="B244" s="1133"/>
      <c r="C244" s="1133"/>
      <c r="D244" s="1133"/>
      <c r="E244" s="1133"/>
      <c r="F244" s="1133"/>
    </row>
    <row r="245" spans="1:6" ht="12" customHeight="1">
      <c r="A245" s="1133"/>
      <c r="B245" s="1133"/>
      <c r="C245" s="1133"/>
      <c r="D245" s="1133"/>
      <c r="E245" s="1133"/>
      <c r="F245" s="1133"/>
    </row>
    <row r="246" spans="1:6" ht="12" customHeight="1">
      <c r="A246" s="1133"/>
      <c r="B246" s="1133"/>
      <c r="C246" s="1133"/>
      <c r="D246" s="1133"/>
      <c r="E246" s="1133"/>
      <c r="F246" s="1133"/>
    </row>
    <row r="247" spans="1:6" ht="12" customHeight="1">
      <c r="A247" s="1133"/>
      <c r="B247" s="1133"/>
      <c r="C247" s="1133"/>
      <c r="D247" s="1133"/>
      <c r="E247" s="1133"/>
      <c r="F247" s="1133"/>
    </row>
    <row r="248" spans="1:6" ht="12" customHeight="1">
      <c r="A248" s="1133"/>
      <c r="B248" s="1133"/>
      <c r="C248" s="1133"/>
      <c r="D248" s="1133"/>
      <c r="E248" s="1133"/>
      <c r="F248" s="1133"/>
    </row>
    <row r="249" spans="1:6" ht="12" customHeight="1">
      <c r="A249" s="1133"/>
      <c r="B249" s="1133"/>
      <c r="C249" s="1133"/>
      <c r="D249" s="1133"/>
      <c r="E249" s="1133"/>
      <c r="F249" s="1133"/>
    </row>
    <row r="250" spans="1:6" ht="12" customHeight="1">
      <c r="A250" s="1133"/>
      <c r="B250" s="1133"/>
      <c r="C250" s="1133"/>
      <c r="D250" s="1133"/>
      <c r="E250" s="1133"/>
      <c r="F250" s="1133"/>
    </row>
    <row r="251" spans="1:6" ht="12" customHeight="1">
      <c r="A251" s="1133"/>
      <c r="B251" s="1133"/>
      <c r="C251" s="1133"/>
      <c r="D251" s="1133"/>
      <c r="E251" s="1133"/>
      <c r="F251" s="1133"/>
    </row>
    <row r="252" spans="1:6" ht="12" customHeight="1">
      <c r="A252" s="1133"/>
      <c r="B252" s="1133"/>
      <c r="C252" s="1133"/>
      <c r="D252" s="1133"/>
      <c r="E252" s="1133"/>
      <c r="F252" s="1133"/>
    </row>
    <row r="253" spans="1:6" ht="12" customHeight="1">
      <c r="A253" s="1133"/>
      <c r="B253" s="1133"/>
      <c r="C253" s="1133"/>
      <c r="D253" s="1133"/>
      <c r="E253" s="1133"/>
      <c r="F253" s="1133"/>
    </row>
    <row r="254" spans="1:6" ht="12" customHeight="1">
      <c r="A254" s="1133"/>
      <c r="B254" s="1133"/>
      <c r="C254" s="1133"/>
      <c r="D254" s="1133"/>
      <c r="E254" s="1133"/>
      <c r="F254" s="1133"/>
    </row>
    <row r="255" spans="1:6" ht="12" customHeight="1">
      <c r="A255" s="1133"/>
      <c r="B255" s="1133"/>
      <c r="C255" s="1133"/>
      <c r="D255" s="1133"/>
      <c r="E255" s="1133"/>
      <c r="F255" s="1133"/>
    </row>
    <row r="256" spans="1:6" ht="12" customHeight="1">
      <c r="A256" s="1133"/>
      <c r="B256" s="1133"/>
      <c r="C256" s="1133"/>
      <c r="D256" s="1133"/>
      <c r="E256" s="1133"/>
      <c r="F256" s="1133"/>
    </row>
    <row r="257" spans="1:6" ht="12" customHeight="1">
      <c r="A257" s="1133"/>
      <c r="B257" s="1133"/>
      <c r="C257" s="1133"/>
      <c r="D257" s="1133"/>
      <c r="E257" s="1133"/>
      <c r="F257" s="1133"/>
    </row>
    <row r="258" spans="1:6" ht="12" customHeight="1">
      <c r="A258" s="1133"/>
      <c r="B258" s="1133"/>
      <c r="C258" s="1133"/>
      <c r="D258" s="1133"/>
      <c r="E258" s="1133"/>
      <c r="F258" s="1133"/>
    </row>
    <row r="259" spans="1:6" ht="12" customHeight="1">
      <c r="A259" s="1133"/>
      <c r="B259" s="1133"/>
      <c r="C259" s="1133"/>
      <c r="D259" s="1133"/>
      <c r="E259" s="1133"/>
      <c r="F259" s="1133"/>
    </row>
    <row r="260" spans="1:6" ht="12" customHeight="1">
      <c r="A260" s="1133"/>
      <c r="B260" s="1133"/>
      <c r="C260" s="1133"/>
      <c r="D260" s="1133"/>
      <c r="E260" s="1133"/>
      <c r="F260" s="1133"/>
    </row>
    <row r="261" spans="1:6" ht="12" customHeight="1">
      <c r="A261" s="1133"/>
      <c r="B261" s="1133"/>
      <c r="C261" s="1133"/>
      <c r="D261" s="1133"/>
      <c r="E261" s="1133"/>
      <c r="F261" s="1133"/>
    </row>
    <row r="262" spans="1:6" ht="12" customHeight="1">
      <c r="A262" s="1133"/>
      <c r="B262" s="1133"/>
      <c r="C262" s="1133"/>
      <c r="D262" s="1133"/>
      <c r="E262" s="1133"/>
      <c r="F262" s="1133"/>
    </row>
    <row r="263" spans="1:6" ht="12" customHeight="1">
      <c r="A263" s="1133"/>
      <c r="B263" s="1133"/>
      <c r="C263" s="1133"/>
      <c r="D263" s="1133"/>
      <c r="E263" s="1133"/>
      <c r="F263" s="1133"/>
    </row>
    <row r="264" spans="1:6" ht="12" customHeight="1">
      <c r="A264" s="1133"/>
      <c r="B264" s="1133"/>
      <c r="C264" s="1133"/>
      <c r="D264" s="1133"/>
      <c r="E264" s="1133"/>
      <c r="F264" s="1133"/>
    </row>
    <row r="265" spans="1:6" ht="12" customHeight="1">
      <c r="A265" s="1133"/>
      <c r="B265" s="1133"/>
      <c r="C265" s="1133"/>
      <c r="D265" s="1133"/>
      <c r="E265" s="1133"/>
      <c r="F265" s="1133"/>
    </row>
    <row r="266" spans="1:6" ht="12" customHeight="1">
      <c r="A266" s="1133"/>
      <c r="B266" s="1133"/>
      <c r="C266" s="1133"/>
      <c r="D266" s="1133"/>
      <c r="E266" s="1133"/>
      <c r="F266" s="1133"/>
    </row>
    <row r="267" spans="1:6" ht="12" customHeight="1">
      <c r="A267" s="1133"/>
      <c r="B267" s="1133"/>
      <c r="C267" s="1133"/>
      <c r="D267" s="1133"/>
      <c r="E267" s="1133"/>
      <c r="F267" s="1133"/>
    </row>
    <row r="268" spans="1:6" ht="12" customHeight="1">
      <c r="A268" s="1133"/>
      <c r="B268" s="1133"/>
      <c r="C268" s="1133"/>
      <c r="D268" s="1133"/>
      <c r="E268" s="1133"/>
      <c r="F268" s="1133"/>
    </row>
    <row r="269" spans="1:6" ht="12" customHeight="1">
      <c r="A269" s="1133"/>
      <c r="B269" s="1133"/>
      <c r="C269" s="1133"/>
      <c r="D269" s="1133"/>
      <c r="E269" s="1133"/>
      <c r="F269" s="1133"/>
    </row>
    <row r="270" spans="1:6" ht="12" customHeight="1">
      <c r="A270" s="1133"/>
      <c r="B270" s="1133"/>
      <c r="C270" s="1133"/>
      <c r="D270" s="1133"/>
      <c r="E270" s="1133"/>
      <c r="F270" s="1133"/>
    </row>
    <row r="271" spans="1:6" ht="12" customHeight="1">
      <c r="A271" s="1133"/>
      <c r="B271" s="1133"/>
      <c r="C271" s="1133"/>
      <c r="D271" s="1133"/>
      <c r="E271" s="1133"/>
      <c r="F271" s="1133"/>
    </row>
    <row r="272" spans="1:6" ht="12" customHeight="1">
      <c r="A272" s="1133"/>
      <c r="B272" s="1133"/>
      <c r="C272" s="1133"/>
      <c r="D272" s="1133"/>
      <c r="E272" s="1133"/>
      <c r="F272" s="1133"/>
    </row>
    <row r="273" spans="1:6" ht="12" customHeight="1">
      <c r="A273" s="1133"/>
      <c r="B273" s="1133"/>
      <c r="C273" s="1133"/>
      <c r="D273" s="1133"/>
      <c r="E273" s="1133"/>
      <c r="F273" s="1133"/>
    </row>
    <row r="274" spans="1:6" ht="12" customHeight="1">
      <c r="A274" s="1133"/>
      <c r="B274" s="1133"/>
      <c r="C274" s="1133"/>
      <c r="D274" s="1133"/>
      <c r="E274" s="1133"/>
      <c r="F274" s="1133"/>
    </row>
    <row r="275" spans="1:6" ht="12" customHeight="1">
      <c r="A275" s="1133"/>
      <c r="B275" s="1133"/>
      <c r="C275" s="1133"/>
      <c r="D275" s="1133"/>
      <c r="E275" s="1133"/>
      <c r="F275" s="1133"/>
    </row>
    <row r="276" spans="1:6" ht="12" customHeight="1">
      <c r="A276" s="1133"/>
      <c r="B276" s="1133"/>
      <c r="C276" s="1133"/>
      <c r="D276" s="1133"/>
      <c r="E276" s="1133"/>
      <c r="F276" s="1133"/>
    </row>
    <row r="277" spans="1:6" ht="12" customHeight="1">
      <c r="A277" s="1133"/>
      <c r="B277" s="1133"/>
      <c r="C277" s="1133"/>
      <c r="D277" s="1133"/>
      <c r="E277" s="1133"/>
      <c r="F277" s="1133"/>
    </row>
    <row r="278" spans="1:6" ht="12" customHeight="1">
      <c r="A278" s="1133"/>
      <c r="B278" s="1133"/>
      <c r="C278" s="1133"/>
      <c r="D278" s="1133"/>
      <c r="E278" s="1133"/>
      <c r="F278" s="1133"/>
    </row>
    <row r="279" spans="1:6" ht="12" customHeight="1">
      <c r="A279" s="1133"/>
      <c r="B279" s="1133"/>
      <c r="C279" s="1133"/>
      <c r="D279" s="1133"/>
      <c r="E279" s="1133"/>
      <c r="F279" s="1133"/>
    </row>
    <row r="280" spans="1:6" ht="12" customHeight="1">
      <c r="A280" s="1133"/>
      <c r="B280" s="1133"/>
      <c r="C280" s="1133"/>
      <c r="D280" s="1133"/>
      <c r="E280" s="1133"/>
      <c r="F280" s="1133"/>
    </row>
    <row r="281" spans="1:6" ht="12" customHeight="1">
      <c r="A281" s="1133"/>
      <c r="B281" s="1133"/>
      <c r="C281" s="1133"/>
      <c r="D281" s="1133"/>
      <c r="E281" s="1133"/>
      <c r="F281" s="1133"/>
    </row>
    <row r="282" spans="1:6" ht="12" customHeight="1">
      <c r="A282" s="1133"/>
      <c r="B282" s="1133"/>
      <c r="C282" s="1133"/>
      <c r="D282" s="1133"/>
      <c r="E282" s="1133"/>
      <c r="F282" s="1133"/>
    </row>
    <row r="283" spans="1:6" ht="12" customHeight="1">
      <c r="A283" s="1133"/>
      <c r="B283" s="1133"/>
      <c r="C283" s="1133"/>
      <c r="D283" s="1133"/>
      <c r="E283" s="1133"/>
      <c r="F283" s="1133"/>
    </row>
    <row r="284" spans="1:6" ht="12" customHeight="1">
      <c r="A284" s="1133"/>
      <c r="B284" s="1133"/>
      <c r="C284" s="1133"/>
      <c r="D284" s="1133"/>
      <c r="E284" s="1133"/>
      <c r="F284" s="1133"/>
    </row>
    <row r="285" spans="1:6" ht="12" customHeight="1">
      <c r="A285" s="1133"/>
      <c r="B285" s="1133"/>
      <c r="C285" s="1133"/>
      <c r="D285" s="1133"/>
      <c r="E285" s="1133"/>
      <c r="F285" s="1133"/>
    </row>
    <row r="286" spans="1:6" ht="12" customHeight="1">
      <c r="A286" s="1133"/>
      <c r="B286" s="1133"/>
      <c r="C286" s="1133"/>
      <c r="D286" s="1133"/>
      <c r="E286" s="1133"/>
      <c r="F286" s="1133"/>
    </row>
    <row r="287" spans="1:6" ht="12" customHeight="1">
      <c r="A287" s="1133"/>
      <c r="B287" s="1133"/>
      <c r="C287" s="1133"/>
      <c r="D287" s="1133"/>
      <c r="E287" s="1133"/>
      <c r="F287" s="1133"/>
    </row>
    <row r="288" spans="1:6" ht="12" customHeight="1">
      <c r="A288" s="1133"/>
      <c r="B288" s="1133"/>
      <c r="C288" s="1133"/>
      <c r="D288" s="1133"/>
      <c r="E288" s="1133"/>
      <c r="F288" s="1133"/>
    </row>
    <row r="289" spans="1:6" ht="12" customHeight="1">
      <c r="A289" s="1133"/>
      <c r="B289" s="1133"/>
      <c r="C289" s="1133"/>
      <c r="D289" s="1133"/>
      <c r="E289" s="1133"/>
      <c r="F289" s="1133"/>
    </row>
    <row r="290" spans="1:6" ht="12" customHeight="1">
      <c r="A290" s="1133"/>
      <c r="B290" s="1133"/>
      <c r="C290" s="1133"/>
      <c r="D290" s="1133"/>
      <c r="E290" s="1133"/>
      <c r="F290" s="1133"/>
    </row>
    <row r="291" spans="1:6" ht="12" customHeight="1">
      <c r="A291" s="1133"/>
      <c r="B291" s="1133"/>
      <c r="C291" s="1133"/>
      <c r="D291" s="1133"/>
      <c r="E291" s="1133"/>
      <c r="F291" s="1133"/>
    </row>
    <row r="292" spans="1:6" ht="12" customHeight="1">
      <c r="A292" s="1133"/>
      <c r="B292" s="1133"/>
      <c r="C292" s="1133"/>
      <c r="D292" s="1133"/>
      <c r="E292" s="1133"/>
      <c r="F292" s="1133"/>
    </row>
    <row r="293" spans="1:6" ht="12" customHeight="1">
      <c r="A293" s="1133"/>
      <c r="B293" s="1133"/>
      <c r="C293" s="1133"/>
      <c r="D293" s="1133"/>
      <c r="E293" s="1133"/>
      <c r="F293" s="1133"/>
    </row>
    <row r="294" spans="1:6" ht="12" customHeight="1">
      <c r="A294" s="1133"/>
      <c r="B294" s="1133"/>
      <c r="C294" s="1133"/>
      <c r="D294" s="1133"/>
      <c r="E294" s="1133"/>
      <c r="F294" s="1133"/>
    </row>
    <row r="295" spans="1:6" ht="12" customHeight="1">
      <c r="A295" s="1133"/>
      <c r="B295" s="1133"/>
      <c r="C295" s="1133"/>
      <c r="D295" s="1133"/>
      <c r="E295" s="1133"/>
      <c r="F295" s="1133"/>
    </row>
    <row r="296" spans="1:6" ht="12" customHeight="1">
      <c r="A296" s="1133"/>
      <c r="B296" s="1133"/>
      <c r="C296" s="1133"/>
      <c r="D296" s="1133"/>
      <c r="E296" s="1133"/>
      <c r="F296" s="1133"/>
    </row>
    <row r="297" spans="1:6" ht="12" customHeight="1">
      <c r="A297" s="1133"/>
      <c r="B297" s="1133"/>
      <c r="C297" s="1133"/>
      <c r="D297" s="1133"/>
      <c r="E297" s="1133"/>
      <c r="F297" s="1133"/>
    </row>
    <row r="298" spans="1:6" ht="12" customHeight="1">
      <c r="A298" s="1133"/>
      <c r="B298" s="1133"/>
      <c r="C298" s="1133"/>
      <c r="D298" s="1133"/>
      <c r="E298" s="1133"/>
      <c r="F298" s="1133"/>
    </row>
    <row r="299" spans="1:6" ht="12" customHeight="1">
      <c r="A299" s="1133"/>
      <c r="B299" s="1133"/>
      <c r="C299" s="1133"/>
      <c r="D299" s="1133"/>
      <c r="E299" s="1133"/>
      <c r="F299" s="1133"/>
    </row>
    <row r="300" spans="1:6" ht="12" customHeight="1">
      <c r="A300" s="1133"/>
      <c r="B300" s="1133"/>
      <c r="C300" s="1133"/>
      <c r="D300" s="1133"/>
      <c r="E300" s="1133"/>
      <c r="F300" s="1133"/>
    </row>
    <row r="301" spans="1:6" ht="12" customHeight="1">
      <c r="A301" s="1133"/>
      <c r="B301" s="1133"/>
      <c r="C301" s="1133"/>
      <c r="D301" s="1133"/>
      <c r="E301" s="1133"/>
      <c r="F301" s="1133"/>
    </row>
    <row r="302" spans="1:6" ht="12" customHeight="1">
      <c r="A302" s="1133"/>
      <c r="B302" s="1133"/>
      <c r="C302" s="1133"/>
      <c r="D302" s="1133"/>
      <c r="E302" s="1133"/>
      <c r="F302" s="1133"/>
    </row>
    <row r="303" spans="1:6" ht="12" customHeight="1">
      <c r="A303" s="1133"/>
      <c r="B303" s="1133"/>
      <c r="C303" s="1133"/>
      <c r="D303" s="1133"/>
      <c r="E303" s="1133"/>
      <c r="F303" s="1133"/>
    </row>
    <row r="304" spans="1:6" ht="12" customHeight="1">
      <c r="A304" s="1133"/>
      <c r="B304" s="1133"/>
      <c r="C304" s="1133"/>
      <c r="D304" s="1133"/>
      <c r="E304" s="1133"/>
      <c r="F304" s="1133"/>
    </row>
    <row r="305" spans="1:6" ht="12" customHeight="1">
      <c r="A305" s="1133"/>
      <c r="B305" s="1133"/>
      <c r="C305" s="1133"/>
      <c r="D305" s="1133"/>
      <c r="E305" s="1133"/>
      <c r="F305" s="1133"/>
    </row>
    <row r="306" spans="1:6" ht="12" customHeight="1">
      <c r="A306" s="1133"/>
      <c r="B306" s="1133"/>
      <c r="C306" s="1133"/>
      <c r="D306" s="1133"/>
      <c r="E306" s="1133"/>
      <c r="F306" s="1133"/>
    </row>
    <row r="307" spans="1:6" ht="12" customHeight="1">
      <c r="A307" s="1133"/>
      <c r="B307" s="1133"/>
      <c r="C307" s="1133"/>
      <c r="D307" s="1133"/>
      <c r="E307" s="1133"/>
      <c r="F307" s="1133"/>
    </row>
    <row r="308" spans="1:6" ht="12" customHeight="1">
      <c r="A308" s="1133"/>
      <c r="B308" s="1133"/>
      <c r="C308" s="1133"/>
      <c r="D308" s="1133"/>
      <c r="E308" s="1133"/>
      <c r="F308" s="1133"/>
    </row>
    <row r="309" spans="1:6" ht="12" customHeight="1">
      <c r="A309" s="1133"/>
      <c r="B309" s="1133"/>
      <c r="C309" s="1133"/>
      <c r="D309" s="1133"/>
      <c r="E309" s="1133"/>
      <c r="F309" s="1133"/>
    </row>
    <row r="310" spans="1:6" ht="12" customHeight="1">
      <c r="A310" s="1133"/>
      <c r="B310" s="1133"/>
      <c r="C310" s="1133"/>
      <c r="D310" s="1133"/>
      <c r="E310" s="1133"/>
      <c r="F310" s="1133"/>
    </row>
    <row r="311" spans="1:6" ht="12" customHeight="1">
      <c r="A311" s="1133"/>
      <c r="B311" s="1133"/>
      <c r="C311" s="1133"/>
      <c r="D311" s="1133"/>
      <c r="E311" s="1133"/>
      <c r="F311" s="1133"/>
    </row>
    <row r="312" spans="1:6" ht="12" customHeight="1">
      <c r="A312" s="1133"/>
      <c r="B312" s="1133"/>
      <c r="C312" s="1133"/>
      <c r="D312" s="1133"/>
      <c r="E312" s="1133"/>
      <c r="F312" s="1133"/>
    </row>
    <row r="313" spans="1:6" ht="12" customHeight="1">
      <c r="A313" s="1133"/>
      <c r="B313" s="1133"/>
      <c r="C313" s="1133"/>
      <c r="D313" s="1133"/>
      <c r="E313" s="1133"/>
      <c r="F313" s="1133"/>
    </row>
    <row r="314" spans="1:6" ht="12" customHeight="1">
      <c r="A314" s="1133"/>
      <c r="B314" s="1133"/>
      <c r="C314" s="1133"/>
      <c r="D314" s="1133"/>
      <c r="E314" s="1133"/>
      <c r="F314" s="1133"/>
    </row>
    <row r="315" spans="1:6" ht="12" customHeight="1">
      <c r="A315" s="1133"/>
      <c r="B315" s="1133"/>
      <c r="C315" s="1133"/>
      <c r="D315" s="1133"/>
      <c r="E315" s="1133"/>
      <c r="F315" s="1133"/>
    </row>
    <row r="316" spans="1:6" ht="12" customHeight="1">
      <c r="A316" s="1133"/>
      <c r="B316" s="1133"/>
      <c r="C316" s="1133"/>
      <c r="D316" s="1133"/>
      <c r="E316" s="1133"/>
      <c r="F316" s="1133"/>
    </row>
    <row r="317" spans="1:6" ht="12" customHeight="1">
      <c r="A317" s="1133"/>
      <c r="B317" s="1133"/>
      <c r="C317" s="1133"/>
      <c r="D317" s="1133"/>
      <c r="E317" s="1133"/>
      <c r="F317" s="1133"/>
    </row>
    <row r="318" spans="1:6" ht="12" customHeight="1">
      <c r="A318" s="1133"/>
      <c r="B318" s="1133"/>
      <c r="C318" s="1133"/>
      <c r="D318" s="1133"/>
      <c r="E318" s="1133"/>
      <c r="F318" s="1133"/>
    </row>
    <row r="319" spans="1:6" ht="12" customHeight="1">
      <c r="A319" s="1133"/>
      <c r="B319" s="1133"/>
      <c r="C319" s="1133"/>
      <c r="D319" s="1133"/>
      <c r="E319" s="1133"/>
      <c r="F319" s="1133"/>
    </row>
    <row r="320" spans="1:6" ht="12" customHeight="1">
      <c r="A320" s="1133"/>
      <c r="B320" s="1133"/>
      <c r="C320" s="1133"/>
      <c r="D320" s="1133"/>
      <c r="E320" s="1133"/>
      <c r="F320" s="1133"/>
    </row>
    <row r="321" spans="1:6" ht="12" customHeight="1">
      <c r="A321" s="1133"/>
      <c r="B321" s="1133"/>
      <c r="C321" s="1133"/>
      <c r="D321" s="1133"/>
      <c r="E321" s="1133"/>
      <c r="F321" s="1133"/>
    </row>
    <row r="322" spans="1:6" ht="12" customHeight="1">
      <c r="A322" s="1133"/>
      <c r="B322" s="1133"/>
      <c r="C322" s="1133"/>
      <c r="D322" s="1133"/>
      <c r="E322" s="1133"/>
      <c r="F322" s="1133"/>
    </row>
    <row r="323" spans="1:6" ht="12" customHeight="1">
      <c r="A323" s="1133"/>
      <c r="B323" s="1133"/>
      <c r="C323" s="1133"/>
      <c r="D323" s="1133"/>
      <c r="E323" s="1133"/>
      <c r="F323" s="1133"/>
    </row>
    <row r="324" spans="1:6" ht="12" customHeight="1">
      <c r="A324" s="1133"/>
      <c r="B324" s="1133"/>
      <c r="C324" s="1133"/>
      <c r="D324" s="1133"/>
      <c r="E324" s="1133"/>
      <c r="F324" s="1133"/>
    </row>
    <row r="325" spans="1:6" ht="12" customHeight="1">
      <c r="A325" s="1133"/>
      <c r="B325" s="1133"/>
      <c r="C325" s="1133"/>
      <c r="D325" s="1133"/>
      <c r="E325" s="1133"/>
      <c r="F325" s="1133"/>
    </row>
    <row r="326" spans="1:6" ht="12" customHeight="1">
      <c r="A326" s="1133"/>
      <c r="B326" s="1133"/>
      <c r="C326" s="1133"/>
      <c r="D326" s="1133"/>
      <c r="E326" s="1133"/>
      <c r="F326" s="1133"/>
    </row>
    <row r="327" spans="1:6" ht="12" customHeight="1">
      <c r="A327" s="1133"/>
      <c r="B327" s="1133"/>
      <c r="C327" s="1133"/>
      <c r="D327" s="1133"/>
      <c r="E327" s="1133"/>
      <c r="F327" s="1133"/>
    </row>
    <row r="328" spans="1:6" ht="12" customHeight="1">
      <c r="A328" s="1133"/>
      <c r="B328" s="1133"/>
      <c r="C328" s="1133"/>
      <c r="D328" s="1133"/>
      <c r="E328" s="1133"/>
      <c r="F328" s="1133"/>
    </row>
    <row r="329" spans="1:6" ht="12" customHeight="1">
      <c r="A329" s="1133"/>
      <c r="B329" s="1133"/>
      <c r="C329" s="1133"/>
      <c r="D329" s="1133"/>
      <c r="E329" s="1133"/>
      <c r="F329" s="1133"/>
    </row>
    <row r="330" spans="1:6" ht="12" customHeight="1">
      <c r="A330" s="1133"/>
      <c r="B330" s="1133"/>
      <c r="C330" s="1133"/>
      <c r="D330" s="1133"/>
      <c r="E330" s="1133"/>
      <c r="F330" s="1133"/>
    </row>
    <row r="331" spans="1:6" ht="12" customHeight="1">
      <c r="A331" s="1133"/>
      <c r="B331" s="1133"/>
      <c r="C331" s="1133"/>
      <c r="D331" s="1133"/>
      <c r="E331" s="1133"/>
      <c r="F331" s="1133"/>
    </row>
    <row r="332" spans="1:6" ht="12" customHeight="1">
      <c r="A332" s="1133"/>
      <c r="B332" s="1133"/>
      <c r="C332" s="1133"/>
      <c r="D332" s="1133"/>
      <c r="E332" s="1133"/>
      <c r="F332" s="1133"/>
    </row>
    <row r="333" spans="1:6" ht="12" customHeight="1">
      <c r="A333" s="1133"/>
      <c r="B333" s="1133"/>
      <c r="C333" s="1133"/>
      <c r="D333" s="1133"/>
      <c r="E333" s="1133"/>
      <c r="F333" s="1133"/>
    </row>
    <row r="334" spans="1:6" ht="12" customHeight="1">
      <c r="A334" s="1133"/>
      <c r="B334" s="1133"/>
      <c r="C334" s="1133"/>
      <c r="D334" s="1133"/>
      <c r="E334" s="1133"/>
      <c r="F334" s="1133"/>
    </row>
    <row r="335" spans="1:6" ht="12" customHeight="1">
      <c r="A335" s="1133"/>
      <c r="B335" s="1133"/>
      <c r="C335" s="1133"/>
      <c r="D335" s="1133"/>
      <c r="E335" s="1133"/>
      <c r="F335" s="1133"/>
    </row>
    <row r="336" spans="1:6" ht="12" customHeight="1">
      <c r="A336" s="1133"/>
      <c r="B336" s="1133"/>
      <c r="C336" s="1133"/>
      <c r="D336" s="1133"/>
      <c r="E336" s="1133"/>
      <c r="F336" s="1133"/>
    </row>
    <row r="337" spans="1:6" ht="12" customHeight="1">
      <c r="A337" s="1133"/>
      <c r="B337" s="1133"/>
      <c r="C337" s="1133"/>
      <c r="D337" s="1133"/>
      <c r="E337" s="1133"/>
      <c r="F337" s="1133"/>
    </row>
    <row r="338" spans="1:6" ht="12" customHeight="1">
      <c r="A338" s="1133"/>
      <c r="B338" s="1133"/>
      <c r="C338" s="1133"/>
      <c r="D338" s="1133"/>
      <c r="E338" s="1133"/>
      <c r="F338" s="1133"/>
    </row>
    <row r="339" spans="1:6" ht="12" customHeight="1">
      <c r="A339" s="1133"/>
      <c r="B339" s="1133"/>
      <c r="C339" s="1133"/>
      <c r="D339" s="1133"/>
      <c r="E339" s="1133"/>
      <c r="F339" s="1133"/>
    </row>
    <row r="340" spans="1:6" ht="12" customHeight="1">
      <c r="A340" s="1133"/>
      <c r="B340" s="1133"/>
      <c r="C340" s="1133"/>
      <c r="D340" s="1133"/>
      <c r="E340" s="1133"/>
      <c r="F340" s="1133"/>
    </row>
    <row r="341" spans="1:6" ht="12" customHeight="1">
      <c r="A341" s="1133"/>
      <c r="B341" s="1133"/>
      <c r="C341" s="1133"/>
      <c r="D341" s="1133"/>
      <c r="E341" s="1133"/>
      <c r="F341" s="1133"/>
    </row>
    <row r="342" spans="1:6" ht="12" customHeight="1">
      <c r="A342" s="1133"/>
      <c r="B342" s="1133"/>
      <c r="C342" s="1133"/>
      <c r="D342" s="1133"/>
      <c r="E342" s="1133"/>
      <c r="F342" s="1133"/>
    </row>
    <row r="343" spans="1:6" ht="12" customHeight="1">
      <c r="A343" s="1133"/>
      <c r="B343" s="1133"/>
      <c r="C343" s="1133"/>
      <c r="D343" s="1133"/>
      <c r="E343" s="1133"/>
      <c r="F343" s="1133"/>
    </row>
    <row r="344" spans="1:6" ht="12" customHeight="1">
      <c r="A344" s="1133"/>
      <c r="B344" s="1133"/>
      <c r="C344" s="1133"/>
      <c r="D344" s="1133"/>
      <c r="E344" s="1133"/>
      <c r="F344" s="1133"/>
    </row>
    <row r="345" spans="1:6" ht="12" customHeight="1">
      <c r="A345" s="1133"/>
      <c r="B345" s="1133"/>
      <c r="C345" s="1133"/>
      <c r="D345" s="1133"/>
      <c r="E345" s="1133"/>
      <c r="F345" s="1133"/>
    </row>
    <row r="346" spans="1:6" ht="12" customHeight="1">
      <c r="A346" s="1133"/>
      <c r="B346" s="1133"/>
      <c r="C346" s="1133"/>
      <c r="D346" s="1133"/>
      <c r="E346" s="1133"/>
      <c r="F346" s="1133"/>
    </row>
    <row r="347" spans="1:6" ht="12" customHeight="1">
      <c r="A347" s="1133"/>
      <c r="B347" s="1133"/>
      <c r="C347" s="1133"/>
      <c r="D347" s="1133"/>
      <c r="E347" s="1133"/>
      <c r="F347" s="1133"/>
    </row>
    <row r="348" spans="1:6" ht="12" customHeight="1">
      <c r="A348" s="1133"/>
      <c r="B348" s="1133"/>
      <c r="C348" s="1133"/>
      <c r="D348" s="1133"/>
      <c r="E348" s="1133"/>
      <c r="F348" s="1133"/>
    </row>
    <row r="349" spans="1:6" ht="12" customHeight="1">
      <c r="A349" s="1133"/>
      <c r="B349" s="1133"/>
      <c r="C349" s="1133"/>
      <c r="D349" s="1133"/>
      <c r="E349" s="1133"/>
      <c r="F349" s="1133"/>
    </row>
    <row r="350" spans="1:6" ht="12" customHeight="1">
      <c r="A350" s="1133"/>
      <c r="B350" s="1133"/>
      <c r="C350" s="1133"/>
      <c r="D350" s="1133"/>
      <c r="E350" s="1133"/>
      <c r="F350" s="1133"/>
    </row>
    <row r="351" spans="1:6" ht="12" customHeight="1">
      <c r="A351" s="1133"/>
      <c r="B351" s="1133"/>
      <c r="C351" s="1133"/>
      <c r="D351" s="1133"/>
      <c r="E351" s="1133"/>
      <c r="F351" s="1133"/>
    </row>
    <row r="352" spans="1:6" ht="12" customHeight="1">
      <c r="A352" s="1133"/>
      <c r="B352" s="1133"/>
      <c r="C352" s="1133"/>
      <c r="D352" s="1133"/>
      <c r="E352" s="1133"/>
      <c r="F352" s="1133"/>
    </row>
    <row r="353" spans="1:6" ht="12" customHeight="1">
      <c r="A353" s="1133"/>
      <c r="B353" s="1133"/>
      <c r="C353" s="1133"/>
      <c r="D353" s="1133"/>
      <c r="E353" s="1133"/>
      <c r="F353" s="1133"/>
    </row>
    <row r="354" spans="1:6" ht="12" customHeight="1">
      <c r="A354" s="1133"/>
      <c r="B354" s="1133"/>
      <c r="C354" s="1133"/>
      <c r="D354" s="1133"/>
      <c r="E354" s="1133"/>
      <c r="F354" s="1133"/>
    </row>
    <row r="355" spans="1:6" ht="12" customHeight="1">
      <c r="A355" s="1133"/>
      <c r="B355" s="1133"/>
      <c r="C355" s="1133"/>
      <c r="D355" s="1133"/>
      <c r="E355" s="1133"/>
      <c r="F355" s="1133"/>
    </row>
    <row r="356" spans="1:6" ht="12" customHeight="1">
      <c r="A356" s="1133"/>
      <c r="B356" s="1133"/>
      <c r="C356" s="1133"/>
      <c r="D356" s="1133"/>
      <c r="E356" s="1133"/>
      <c r="F356" s="1133"/>
    </row>
    <row r="357" spans="1:6" ht="12" customHeight="1">
      <c r="A357" s="1133"/>
      <c r="B357" s="1133"/>
      <c r="C357" s="1133"/>
      <c r="D357" s="1133"/>
      <c r="E357" s="1133"/>
      <c r="F357" s="1133"/>
    </row>
    <row r="358" spans="1:6" ht="12" customHeight="1">
      <c r="A358" s="1133"/>
      <c r="B358" s="1133"/>
      <c r="C358" s="1133"/>
      <c r="D358" s="1133"/>
      <c r="E358" s="1133"/>
      <c r="F358" s="1133"/>
    </row>
    <row r="359" spans="1:6" ht="12" customHeight="1">
      <c r="A359" s="1133"/>
      <c r="B359" s="1133"/>
      <c r="C359" s="1133"/>
      <c r="D359" s="1133"/>
      <c r="E359" s="1133"/>
      <c r="F359" s="1133"/>
    </row>
    <row r="360" spans="1:6" ht="12" customHeight="1">
      <c r="A360" s="1133"/>
      <c r="B360" s="1133"/>
      <c r="C360" s="1133"/>
      <c r="D360" s="1133"/>
      <c r="E360" s="1133"/>
      <c r="F360" s="1133"/>
    </row>
    <row r="361" spans="1:6" ht="12" customHeight="1">
      <c r="A361" s="1133"/>
      <c r="B361" s="1133"/>
      <c r="C361" s="1133"/>
      <c r="D361" s="1133"/>
      <c r="E361" s="1133"/>
      <c r="F361" s="1133"/>
    </row>
    <row r="362" spans="1:6" ht="15.75" customHeight="1"/>
    <row r="363" spans="1:6" ht="15.75" customHeight="1"/>
    <row r="364" spans="1:6" ht="15.75" customHeight="1"/>
    <row r="365" spans="1:6" ht="15.75" customHeight="1"/>
    <row r="366" spans="1:6" ht="15.75" customHeight="1"/>
    <row r="367" spans="1:6" ht="15.75" customHeight="1"/>
    <row r="368" spans="1:6" ht="15.75" customHeight="1"/>
    <row r="369" s="1118" customFormat="1" ht="15.75" customHeight="1"/>
    <row r="370" s="1118" customFormat="1" ht="15.75" customHeight="1"/>
    <row r="371" s="1118" customFormat="1" ht="15.75" customHeight="1"/>
    <row r="372" s="1118" customFormat="1" ht="15.75" customHeight="1"/>
    <row r="373" s="1118" customFormat="1" ht="15.75" customHeight="1"/>
    <row r="374" s="1118" customFormat="1" ht="15.75" customHeight="1"/>
    <row r="375" s="1118" customFormat="1" ht="15.75" customHeight="1"/>
    <row r="376" s="1118" customFormat="1" ht="15.75" customHeight="1"/>
    <row r="377" s="1118" customFormat="1" ht="15.75" customHeight="1"/>
    <row r="378" s="1118" customFormat="1" ht="15.75" customHeight="1"/>
    <row r="379" s="1118" customFormat="1" ht="15.75" customHeight="1"/>
    <row r="380" s="1118" customFormat="1" ht="15.75" customHeight="1"/>
    <row r="381" s="1118" customFormat="1" ht="15.75" customHeight="1"/>
    <row r="382" s="1118" customFormat="1" ht="15.75" customHeight="1"/>
    <row r="383" s="1118" customFormat="1" ht="15.75" customHeight="1"/>
    <row r="384" s="1118" customFormat="1" ht="15.75" customHeight="1"/>
    <row r="385" s="1118" customFormat="1" ht="15.75" customHeight="1"/>
    <row r="386" s="1118" customFormat="1" ht="15.75" customHeight="1"/>
    <row r="387" s="1118" customFormat="1" ht="15.75" customHeight="1"/>
    <row r="388" s="1118" customFormat="1" ht="15.75" customHeight="1"/>
    <row r="389" s="1118" customFormat="1" ht="15.75" customHeight="1"/>
    <row r="390" s="1118" customFormat="1" ht="15.75" customHeight="1"/>
    <row r="391" s="1118" customFormat="1" ht="15.75" customHeight="1"/>
    <row r="392" s="1118" customFormat="1" ht="15.75" customHeight="1"/>
    <row r="393" s="1118" customFormat="1" ht="15.75" customHeight="1"/>
    <row r="394" s="1118" customFormat="1" ht="15.75" customHeight="1"/>
    <row r="395" s="1118" customFormat="1" ht="15.75" customHeight="1"/>
    <row r="396" s="1118" customFormat="1" ht="15.75" customHeight="1"/>
    <row r="397" s="1118" customFormat="1" ht="15.75" customHeight="1"/>
    <row r="398" s="1118" customFormat="1" ht="15.75" customHeight="1"/>
    <row r="399" s="1118" customFormat="1" ht="15.75" customHeight="1"/>
    <row r="400" s="1118" customFormat="1" ht="15.75" customHeight="1"/>
    <row r="401" s="1118" customFormat="1" ht="15.75" customHeight="1"/>
    <row r="402" s="1118" customFormat="1" ht="15.75" customHeight="1"/>
    <row r="403" s="1118" customFormat="1" ht="15.75" customHeight="1"/>
    <row r="404" s="1118" customFormat="1" ht="15.75" customHeight="1"/>
    <row r="405" s="1118" customFormat="1" ht="15.75" customHeight="1"/>
    <row r="406" s="1118" customFormat="1" ht="15.75" customHeight="1"/>
    <row r="407" s="1118" customFormat="1" ht="15.75" customHeight="1"/>
    <row r="408" s="1118" customFormat="1" ht="15.75" customHeight="1"/>
    <row r="409" s="1118" customFormat="1" ht="15.75" customHeight="1"/>
    <row r="410" s="1118" customFormat="1" ht="15.75" customHeight="1"/>
    <row r="411" s="1118" customFormat="1" ht="15.75" customHeight="1"/>
    <row r="412" s="1118" customFormat="1" ht="15.75" customHeight="1"/>
    <row r="413" s="1118" customFormat="1" ht="15.75" customHeight="1"/>
    <row r="414" s="1118" customFormat="1" ht="15.75" customHeight="1"/>
    <row r="415" s="1118" customFormat="1" ht="15.75" customHeight="1"/>
    <row r="416" s="1118" customFormat="1" ht="15.75" customHeight="1"/>
    <row r="417" s="1118" customFormat="1" ht="15.75" customHeight="1"/>
    <row r="418" s="1118" customFormat="1" ht="15.75" customHeight="1"/>
    <row r="419" s="1118" customFormat="1" ht="15.75" customHeight="1"/>
    <row r="420" s="1118" customFormat="1" ht="15.75" customHeight="1"/>
    <row r="421" s="1118" customFormat="1" ht="15.75" customHeight="1"/>
    <row r="422" s="1118" customFormat="1" ht="15.75" customHeight="1"/>
    <row r="423" s="1118" customFormat="1" ht="15.75" customHeight="1"/>
    <row r="424" s="1118" customFormat="1" ht="15.75" customHeight="1"/>
    <row r="425" s="1118" customFormat="1" ht="15.75" customHeight="1"/>
    <row r="426" s="1118" customFormat="1" ht="15.75" customHeight="1"/>
    <row r="427" s="1118" customFormat="1" ht="15.75" customHeight="1"/>
    <row r="428" s="1118" customFormat="1" ht="15.75" customHeight="1"/>
    <row r="429" s="1118" customFormat="1" ht="15.75" customHeight="1"/>
    <row r="430" s="1118" customFormat="1" ht="15.75" customHeight="1"/>
    <row r="431" s="1118" customFormat="1" ht="15.75" customHeight="1"/>
    <row r="432" s="1118" customFormat="1" ht="15.75" customHeight="1"/>
    <row r="433" s="1118" customFormat="1" ht="15.75" customHeight="1"/>
    <row r="434" s="1118" customFormat="1" ht="15.75" customHeight="1"/>
    <row r="435" s="1118" customFormat="1" ht="15.75" customHeight="1"/>
    <row r="436" s="1118" customFormat="1" ht="15.75" customHeight="1"/>
    <row r="437" s="1118" customFormat="1" ht="15.75" customHeight="1"/>
    <row r="438" s="1118" customFormat="1" ht="15.75" customHeight="1"/>
    <row r="439" s="1118" customFormat="1" ht="15.75" customHeight="1"/>
    <row r="440" s="1118" customFormat="1" ht="15.75" customHeight="1"/>
    <row r="441" s="1118" customFormat="1" ht="15.75" customHeight="1"/>
    <row r="442" s="1118" customFormat="1" ht="15.75" customHeight="1"/>
    <row r="443" s="1118" customFormat="1" ht="15.75" customHeight="1"/>
    <row r="444" s="1118" customFormat="1" ht="15.75" customHeight="1"/>
    <row r="445" s="1118" customFormat="1" ht="15.75" customHeight="1"/>
    <row r="446" s="1118" customFormat="1" ht="15.75" customHeight="1"/>
    <row r="447" s="1118" customFormat="1" ht="15.75" customHeight="1"/>
    <row r="448" s="1118" customFormat="1" ht="15.75" customHeight="1"/>
    <row r="449" s="1118" customFormat="1" ht="15.75" customHeight="1"/>
    <row r="450" s="1118" customFormat="1" ht="15.75" customHeight="1"/>
    <row r="451" s="1118" customFormat="1" ht="15.75" customHeight="1"/>
    <row r="452" s="1118" customFormat="1" ht="15.75" customHeight="1"/>
    <row r="453" s="1118" customFormat="1" ht="15.75" customHeight="1"/>
    <row r="454" s="1118" customFormat="1" ht="15.75" customHeight="1"/>
    <row r="455" s="1118" customFormat="1" ht="15.75" customHeight="1"/>
    <row r="456" s="1118" customFormat="1" ht="15.75" customHeight="1"/>
    <row r="457" s="1118" customFormat="1" ht="15.75" customHeight="1"/>
    <row r="458" s="1118" customFormat="1" ht="15.75" customHeight="1"/>
    <row r="459" s="1118" customFormat="1" ht="15.75" customHeight="1"/>
    <row r="460" s="1118" customFormat="1" ht="15.75" customHeight="1"/>
    <row r="461" s="1118" customFormat="1" ht="15.75" customHeight="1"/>
    <row r="462" s="1118" customFormat="1" ht="15.75" customHeight="1"/>
    <row r="463" s="1118" customFormat="1" ht="15.75" customHeight="1"/>
    <row r="464" s="1118" customFormat="1" ht="15.75" customHeight="1"/>
    <row r="465" s="1118" customFormat="1" ht="15.75" customHeight="1"/>
    <row r="466" s="1118" customFormat="1" ht="15.75" customHeight="1"/>
    <row r="467" s="1118" customFormat="1" ht="15.75" customHeight="1"/>
    <row r="468" s="1118" customFormat="1" ht="15.75" customHeight="1"/>
    <row r="469" s="1118" customFormat="1" ht="15.75" customHeight="1"/>
    <row r="470" s="1118" customFormat="1" ht="15.75" customHeight="1"/>
    <row r="471" s="1118" customFormat="1" ht="15.75" customHeight="1"/>
    <row r="472" s="1118" customFormat="1" ht="15.75" customHeight="1"/>
    <row r="473" s="1118" customFormat="1" ht="15.75" customHeight="1"/>
    <row r="474" s="1118" customFormat="1" ht="15.75" customHeight="1"/>
    <row r="475" s="1118" customFormat="1" ht="15.75" customHeight="1"/>
    <row r="476" s="1118" customFormat="1" ht="15.75" customHeight="1"/>
    <row r="477" s="1118" customFormat="1" ht="15.75" customHeight="1"/>
    <row r="478" s="1118" customFormat="1" ht="15.75" customHeight="1"/>
    <row r="479" s="1118" customFormat="1" ht="15.75" customHeight="1"/>
    <row r="480" s="1118" customFormat="1" ht="15.75" customHeight="1"/>
    <row r="481" s="1118" customFormat="1" ht="15.75" customHeight="1"/>
    <row r="482" s="1118" customFormat="1" ht="15.75" customHeight="1"/>
    <row r="483" s="1118" customFormat="1" ht="15.75" customHeight="1"/>
    <row r="484" s="1118" customFormat="1" ht="15.75" customHeight="1"/>
    <row r="485" s="1118" customFormat="1" ht="15.75" customHeight="1"/>
    <row r="486" s="1118" customFormat="1" ht="15.75" customHeight="1"/>
    <row r="487" s="1118" customFormat="1" ht="15.75" customHeight="1"/>
    <row r="488" s="1118" customFormat="1" ht="15.75" customHeight="1"/>
    <row r="489" s="1118" customFormat="1" ht="15.75" customHeight="1"/>
    <row r="490" s="1118" customFormat="1" ht="15.75" customHeight="1"/>
    <row r="491" s="1118" customFormat="1" ht="15.75" customHeight="1"/>
    <row r="492" s="1118" customFormat="1" ht="15.75" customHeight="1"/>
    <row r="493" s="1118" customFormat="1" ht="15.75" customHeight="1"/>
    <row r="494" s="1118" customFormat="1" ht="15.75" customHeight="1"/>
    <row r="495" s="1118" customFormat="1" ht="15.75" customHeight="1"/>
    <row r="496" s="1118" customFormat="1" ht="15.75" customHeight="1"/>
    <row r="497" s="1118" customFormat="1" ht="15.75" customHeight="1"/>
    <row r="498" s="1118" customFormat="1" ht="15.75" customHeight="1"/>
    <row r="499" s="1118" customFormat="1" ht="15.75" customHeight="1"/>
    <row r="500" s="1118" customFormat="1" ht="15.75" customHeight="1"/>
    <row r="501" s="1118" customFormat="1" ht="15.75" customHeight="1"/>
    <row r="502" s="1118" customFormat="1" ht="15.75" customHeight="1"/>
    <row r="503" s="1118" customFormat="1" ht="15.75" customHeight="1"/>
    <row r="504" s="1118" customFormat="1" ht="15.75" customHeight="1"/>
    <row r="505" s="1118" customFormat="1" ht="15.75" customHeight="1"/>
    <row r="506" s="1118" customFormat="1" ht="15.75" customHeight="1"/>
    <row r="507" s="1118" customFormat="1" ht="15.75" customHeight="1"/>
    <row r="508" s="1118" customFormat="1" ht="15.75" customHeight="1"/>
    <row r="509" s="1118" customFormat="1" ht="15.75" customHeight="1"/>
    <row r="510" s="1118" customFormat="1" ht="15.75" customHeight="1"/>
    <row r="511" s="1118" customFormat="1" ht="15.75" customHeight="1"/>
    <row r="512" s="1118" customFormat="1" ht="15.75" customHeight="1"/>
    <row r="513" s="1118" customFormat="1" ht="15.75" customHeight="1"/>
    <row r="514" s="1118" customFormat="1" ht="15.75" customHeight="1"/>
    <row r="515" s="1118" customFormat="1" ht="15.75" customHeight="1"/>
    <row r="516" s="1118" customFormat="1" ht="15.75" customHeight="1"/>
    <row r="517" s="1118" customFormat="1" ht="15.75" customHeight="1"/>
    <row r="518" s="1118" customFormat="1" ht="15.75" customHeight="1"/>
    <row r="519" s="1118" customFormat="1" ht="15.75" customHeight="1"/>
    <row r="520" s="1118" customFormat="1" ht="15.75" customHeight="1"/>
    <row r="521" s="1118" customFormat="1" ht="15.75" customHeight="1"/>
    <row r="522" s="1118" customFormat="1" ht="15.75" customHeight="1"/>
    <row r="523" s="1118" customFormat="1" ht="15.75" customHeight="1"/>
    <row r="524" s="1118" customFormat="1" ht="15.75" customHeight="1"/>
    <row r="525" s="1118" customFormat="1" ht="15.75" customHeight="1"/>
    <row r="526" s="1118" customFormat="1" ht="15.75" customHeight="1"/>
    <row r="527" s="1118" customFormat="1" ht="15.75" customHeight="1"/>
    <row r="528" s="1118" customFormat="1" ht="15.75" customHeight="1"/>
    <row r="529" s="1118" customFormat="1" ht="15.75" customHeight="1"/>
    <row r="530" s="1118" customFormat="1" ht="15.75" customHeight="1"/>
    <row r="531" s="1118" customFormat="1" ht="15.75" customHeight="1"/>
    <row r="532" s="1118" customFormat="1" ht="15.75" customHeight="1"/>
    <row r="533" s="1118" customFormat="1" ht="15.75" customHeight="1"/>
    <row r="534" s="1118" customFormat="1" ht="15.75" customHeight="1"/>
    <row r="535" s="1118" customFormat="1" ht="15.75" customHeight="1"/>
    <row r="536" s="1118" customFormat="1" ht="15.75" customHeight="1"/>
    <row r="537" s="1118" customFormat="1" ht="15.75" customHeight="1"/>
    <row r="538" s="1118" customFormat="1" ht="15.75" customHeight="1"/>
    <row r="539" s="1118" customFormat="1" ht="15.75" customHeight="1"/>
    <row r="540" s="1118" customFormat="1" ht="15.75" customHeight="1"/>
    <row r="541" s="1118" customFormat="1" ht="15.75" customHeight="1"/>
    <row r="542" s="1118" customFormat="1" ht="15.75" customHeight="1"/>
    <row r="543" s="1118" customFormat="1" ht="15.75" customHeight="1"/>
    <row r="544" s="1118" customFormat="1" ht="15.75" customHeight="1"/>
    <row r="545" s="1118" customFormat="1" ht="15.75" customHeight="1"/>
    <row r="546" s="1118" customFormat="1" ht="15.75" customHeight="1"/>
    <row r="547" s="1118" customFormat="1" ht="15.75" customHeight="1"/>
    <row r="548" s="1118" customFormat="1" ht="15.75" customHeight="1"/>
    <row r="549" s="1118" customFormat="1" ht="15.75" customHeight="1"/>
    <row r="550" s="1118" customFormat="1" ht="15.75" customHeight="1"/>
    <row r="551" s="1118" customFormat="1" ht="15.75" customHeight="1"/>
    <row r="552" s="1118" customFormat="1" ht="15.75" customHeight="1"/>
    <row r="553" s="1118" customFormat="1" ht="15.75" customHeight="1"/>
    <row r="554" s="1118" customFormat="1" ht="15.75" customHeight="1"/>
    <row r="555" s="1118" customFormat="1" ht="15.75" customHeight="1"/>
    <row r="556" s="1118" customFormat="1" ht="15.75" customHeight="1"/>
    <row r="557" s="1118" customFormat="1" ht="15.75" customHeight="1"/>
    <row r="558" s="1118" customFormat="1" ht="15.75" customHeight="1"/>
    <row r="559" s="1118" customFormat="1" ht="15.75" customHeight="1"/>
    <row r="560" s="1118" customFormat="1" ht="15.75" customHeight="1"/>
    <row r="561" s="1118" customFormat="1" ht="15.75" customHeight="1"/>
    <row r="562" s="1118" customFormat="1" ht="15.75" customHeight="1"/>
    <row r="563" s="1118" customFormat="1" ht="15.75" customHeight="1"/>
    <row r="564" s="1118" customFormat="1" ht="15.75" customHeight="1"/>
    <row r="565" s="1118" customFormat="1" ht="15.75" customHeight="1"/>
    <row r="566" s="1118" customFormat="1" ht="15.75" customHeight="1"/>
    <row r="567" s="1118" customFormat="1" ht="15.75" customHeight="1"/>
    <row r="568" s="1118" customFormat="1" ht="15.75" customHeight="1"/>
    <row r="569" s="1118" customFormat="1" ht="15.75" customHeight="1"/>
    <row r="570" s="1118" customFormat="1" ht="15.75" customHeight="1"/>
    <row r="571" s="1118" customFormat="1" ht="15.75" customHeight="1"/>
    <row r="572" s="1118" customFormat="1" ht="15.75" customHeight="1"/>
    <row r="573" s="1118" customFormat="1" ht="15.75" customHeight="1"/>
    <row r="574" s="1118" customFormat="1" ht="15.75" customHeight="1"/>
    <row r="575" s="1118" customFormat="1" ht="15.75" customHeight="1"/>
    <row r="576" s="1118" customFormat="1" ht="15.75" customHeight="1"/>
    <row r="577" s="1118" customFormat="1" ht="15.75" customHeight="1"/>
    <row r="578" s="1118" customFormat="1" ht="15.75" customHeight="1"/>
    <row r="579" s="1118" customFormat="1" ht="15.75" customHeight="1"/>
    <row r="580" s="1118" customFormat="1" ht="15.75" customHeight="1"/>
    <row r="581" s="1118" customFormat="1" ht="15.75" customHeight="1"/>
    <row r="582" s="1118" customFormat="1" ht="15.75" customHeight="1"/>
    <row r="583" s="1118" customFormat="1" ht="15.75" customHeight="1"/>
    <row r="584" s="1118" customFormat="1" ht="15.75" customHeight="1"/>
    <row r="585" s="1118" customFormat="1" ht="15.75" customHeight="1"/>
    <row r="586" s="1118" customFormat="1" ht="15.75" customHeight="1"/>
    <row r="587" s="1118" customFormat="1" ht="15.75" customHeight="1"/>
    <row r="588" s="1118" customFormat="1" ht="15.75" customHeight="1"/>
    <row r="589" s="1118" customFormat="1" ht="15.75" customHeight="1"/>
    <row r="590" s="1118" customFormat="1" ht="15.75" customHeight="1"/>
    <row r="591" s="1118" customFormat="1" ht="15.75" customHeight="1"/>
    <row r="592" s="1118" customFormat="1" ht="15.75" customHeight="1"/>
    <row r="593" s="1118" customFormat="1" ht="15.75" customHeight="1"/>
    <row r="594" s="1118" customFormat="1" ht="15.75" customHeight="1"/>
    <row r="595" s="1118" customFormat="1" ht="15.75" customHeight="1"/>
    <row r="596" s="1118" customFormat="1" ht="15.75" customHeight="1"/>
    <row r="597" s="1118" customFormat="1" ht="15.75" customHeight="1"/>
    <row r="598" s="1118" customFormat="1" ht="15.75" customHeight="1"/>
    <row r="599" s="1118" customFormat="1" ht="15.75" customHeight="1"/>
    <row r="600" s="1118" customFormat="1" ht="15.75" customHeight="1"/>
    <row r="601" s="1118" customFormat="1" ht="15.75" customHeight="1"/>
    <row r="602" s="1118" customFormat="1" ht="15.75" customHeight="1"/>
    <row r="603" s="1118" customFormat="1" ht="15.75" customHeight="1"/>
    <row r="604" s="1118" customFormat="1" ht="15.75" customHeight="1"/>
    <row r="605" s="1118" customFormat="1" ht="15.75" customHeight="1"/>
    <row r="606" s="1118" customFormat="1" ht="15.75" customHeight="1"/>
    <row r="607" s="1118" customFormat="1" ht="15.75" customHeight="1"/>
    <row r="608" s="1118" customFormat="1" ht="15.75" customHeight="1"/>
    <row r="609" s="1118" customFormat="1" ht="15.75" customHeight="1"/>
    <row r="610" s="1118" customFormat="1" ht="15.75" customHeight="1"/>
    <row r="611" s="1118" customFormat="1" ht="15.75" customHeight="1"/>
    <row r="612" s="1118" customFormat="1" ht="15.75" customHeight="1"/>
    <row r="613" s="1118" customFormat="1" ht="15.75" customHeight="1"/>
    <row r="614" s="1118" customFormat="1" ht="15.75" customHeight="1"/>
    <row r="615" s="1118" customFormat="1" ht="15.75" customHeight="1"/>
    <row r="616" s="1118" customFormat="1" ht="15.75" customHeight="1"/>
    <row r="617" s="1118" customFormat="1" ht="15.75" customHeight="1"/>
    <row r="618" s="1118" customFormat="1" ht="15.75" customHeight="1"/>
    <row r="619" s="1118" customFormat="1" ht="15.75" customHeight="1"/>
    <row r="620" s="1118" customFormat="1" ht="15.75" customHeight="1"/>
    <row r="621" s="1118" customFormat="1" ht="15.75" customHeight="1"/>
    <row r="622" s="1118" customFormat="1" ht="15.75" customHeight="1"/>
    <row r="623" s="1118" customFormat="1" ht="15.75" customHeight="1"/>
    <row r="624" s="1118" customFormat="1" ht="15.75" customHeight="1"/>
    <row r="625" s="1118" customFormat="1" ht="15.75" customHeight="1"/>
    <row r="626" s="1118" customFormat="1" ht="15.75" customHeight="1"/>
    <row r="627" s="1118" customFormat="1" ht="15.75" customHeight="1"/>
    <row r="628" s="1118" customFormat="1" ht="15.75" customHeight="1"/>
    <row r="629" s="1118" customFormat="1" ht="15.75" customHeight="1"/>
    <row r="630" s="1118" customFormat="1" ht="15.75" customHeight="1"/>
    <row r="631" s="1118" customFormat="1" ht="15.75" customHeight="1"/>
    <row r="632" s="1118" customFormat="1" ht="15.75" customHeight="1"/>
    <row r="633" s="1118" customFormat="1" ht="15.75" customHeight="1"/>
    <row r="634" s="1118" customFormat="1" ht="15.75" customHeight="1"/>
    <row r="635" s="1118" customFormat="1" ht="15.75" customHeight="1"/>
    <row r="636" s="1118" customFormat="1" ht="15.75" customHeight="1"/>
    <row r="637" s="1118" customFormat="1" ht="15.75" customHeight="1"/>
    <row r="638" s="1118" customFormat="1" ht="15.75" customHeight="1"/>
    <row r="639" s="1118" customFormat="1" ht="15.75" customHeight="1"/>
    <row r="640" s="1118" customFormat="1" ht="15.75" customHeight="1"/>
    <row r="641" s="1118" customFormat="1" ht="15.75" customHeight="1"/>
    <row r="642" s="1118" customFormat="1" ht="15.75" customHeight="1"/>
    <row r="643" s="1118" customFormat="1" ht="15.75" customHeight="1"/>
    <row r="644" s="1118" customFormat="1" ht="15.75" customHeight="1"/>
    <row r="645" s="1118" customFormat="1" ht="15.75" customHeight="1"/>
    <row r="646" s="1118" customFormat="1" ht="15.75" customHeight="1"/>
    <row r="647" s="1118" customFormat="1" ht="15.75" customHeight="1"/>
    <row r="648" s="1118" customFormat="1" ht="15.75" customHeight="1"/>
    <row r="649" s="1118" customFormat="1" ht="15.75" customHeight="1"/>
    <row r="650" s="1118" customFormat="1" ht="15.75" customHeight="1"/>
    <row r="651" s="1118" customFormat="1" ht="15.75" customHeight="1"/>
    <row r="652" s="1118" customFormat="1" ht="15.75" customHeight="1"/>
    <row r="653" s="1118" customFormat="1" ht="15.75" customHeight="1"/>
    <row r="654" s="1118" customFormat="1" ht="15.75" customHeight="1"/>
    <row r="655" s="1118" customFormat="1" ht="15.75" customHeight="1"/>
    <row r="656" s="1118" customFormat="1" ht="15.75" customHeight="1"/>
    <row r="657" s="1118" customFormat="1" ht="15.75" customHeight="1"/>
    <row r="658" s="1118" customFormat="1" ht="15.75" customHeight="1"/>
    <row r="659" s="1118" customFormat="1" ht="15.75" customHeight="1"/>
    <row r="660" s="1118" customFormat="1" ht="15.75" customHeight="1"/>
    <row r="661" s="1118" customFormat="1" ht="15.75" customHeight="1"/>
    <row r="662" s="1118" customFormat="1" ht="15.75" customHeight="1"/>
    <row r="663" s="1118" customFormat="1" ht="15.75" customHeight="1"/>
    <row r="664" s="1118" customFormat="1" ht="15.75" customHeight="1"/>
    <row r="665" s="1118" customFormat="1" ht="15.75" customHeight="1"/>
    <row r="666" s="1118" customFormat="1" ht="15.75" customHeight="1"/>
    <row r="667" s="1118" customFormat="1" ht="15.75" customHeight="1"/>
    <row r="668" s="1118" customFormat="1" ht="15.75" customHeight="1"/>
    <row r="669" s="1118" customFormat="1" ht="15.75" customHeight="1"/>
    <row r="670" s="1118" customFormat="1" ht="15.75" customHeight="1"/>
    <row r="671" s="1118" customFormat="1" ht="15.75" customHeight="1"/>
    <row r="672" s="1118" customFormat="1" ht="15.75" customHeight="1"/>
    <row r="673" s="1118" customFormat="1" ht="15.75" customHeight="1"/>
    <row r="674" s="1118" customFormat="1" ht="15.75" customHeight="1"/>
    <row r="675" s="1118" customFormat="1" ht="15.75" customHeight="1"/>
    <row r="676" s="1118" customFormat="1" ht="15.75" customHeight="1"/>
    <row r="677" s="1118" customFormat="1" ht="15.75" customHeight="1"/>
    <row r="678" s="1118" customFormat="1" ht="15.75" customHeight="1"/>
    <row r="679" s="1118" customFormat="1" ht="15.75" customHeight="1"/>
    <row r="680" s="1118" customFormat="1" ht="15.75" customHeight="1"/>
    <row r="681" s="1118" customFormat="1" ht="15.75" customHeight="1"/>
    <row r="682" s="1118" customFormat="1" ht="15.75" customHeight="1"/>
    <row r="683" s="1118" customFormat="1" ht="15.75" customHeight="1"/>
    <row r="684" s="1118" customFormat="1" ht="15.75" customHeight="1"/>
    <row r="685" s="1118" customFormat="1" ht="15.75" customHeight="1"/>
    <row r="686" s="1118" customFormat="1" ht="15.75" customHeight="1"/>
    <row r="687" s="1118" customFormat="1" ht="15.75" customHeight="1"/>
    <row r="688" s="1118" customFormat="1" ht="15.75" customHeight="1"/>
    <row r="689" s="1118" customFormat="1" ht="15.75" customHeight="1"/>
    <row r="690" s="1118" customFormat="1" ht="15.75" customHeight="1"/>
    <row r="691" s="1118" customFormat="1" ht="15.75" customHeight="1"/>
    <row r="692" s="1118" customFormat="1" ht="15.75" customHeight="1"/>
    <row r="693" s="1118" customFormat="1" ht="15.75" customHeight="1"/>
    <row r="694" s="1118" customFormat="1" ht="15.75" customHeight="1"/>
    <row r="695" s="1118" customFormat="1" ht="15.75" customHeight="1"/>
    <row r="696" s="1118" customFormat="1" ht="15.75" customHeight="1"/>
    <row r="697" s="1118" customFormat="1" ht="15.75" customHeight="1"/>
    <row r="698" s="1118" customFormat="1" ht="15.75" customHeight="1"/>
    <row r="699" s="1118" customFormat="1" ht="15.75" customHeight="1"/>
    <row r="700" s="1118" customFormat="1" ht="15.75" customHeight="1"/>
    <row r="701" s="1118" customFormat="1" ht="15.75" customHeight="1"/>
    <row r="702" s="1118" customFormat="1" ht="15.75" customHeight="1"/>
    <row r="703" s="1118" customFormat="1" ht="15.75" customHeight="1"/>
    <row r="704" s="1118" customFormat="1" ht="15.75" customHeight="1"/>
    <row r="705" s="1118" customFormat="1" ht="15.75" customHeight="1"/>
    <row r="706" s="1118" customFormat="1" ht="15.75" customHeight="1"/>
    <row r="707" s="1118" customFormat="1" ht="15.75" customHeight="1"/>
    <row r="708" s="1118" customFormat="1" ht="15.75" customHeight="1"/>
    <row r="709" s="1118" customFormat="1" ht="15.75" customHeight="1"/>
    <row r="710" s="1118" customFormat="1" ht="15.75" customHeight="1"/>
    <row r="711" s="1118" customFormat="1" ht="15.75" customHeight="1"/>
    <row r="712" s="1118" customFormat="1" ht="15.75" customHeight="1"/>
    <row r="713" s="1118" customFormat="1" ht="15.75" customHeight="1"/>
    <row r="714" s="1118" customFormat="1" ht="15.75" customHeight="1"/>
    <row r="715" s="1118" customFormat="1" ht="15.75" customHeight="1"/>
    <row r="716" s="1118" customFormat="1" ht="15.75" customHeight="1"/>
    <row r="717" s="1118" customFormat="1" ht="15.75" customHeight="1"/>
    <row r="718" s="1118" customFormat="1" ht="15.75" customHeight="1"/>
    <row r="719" s="1118" customFormat="1" ht="15.75" customHeight="1"/>
    <row r="720" s="1118" customFormat="1" ht="15.75" customHeight="1"/>
    <row r="721" s="1118" customFormat="1" ht="15.75" customHeight="1"/>
    <row r="722" s="1118" customFormat="1" ht="15.75" customHeight="1"/>
    <row r="723" s="1118" customFormat="1" ht="15.75" customHeight="1"/>
    <row r="724" s="1118" customFormat="1" ht="15.75" customHeight="1"/>
    <row r="725" s="1118" customFormat="1" ht="15.75" customHeight="1"/>
    <row r="726" s="1118" customFormat="1" ht="15.75" customHeight="1"/>
    <row r="727" s="1118" customFormat="1" ht="15.75" customHeight="1"/>
    <row r="728" s="1118" customFormat="1" ht="15.75" customHeight="1"/>
    <row r="729" s="1118" customFormat="1" ht="15.75" customHeight="1"/>
    <row r="730" s="1118" customFormat="1" ht="15.75" customHeight="1"/>
    <row r="731" s="1118" customFormat="1" ht="15.75" customHeight="1"/>
    <row r="732" s="1118" customFormat="1" ht="15.75" customHeight="1"/>
    <row r="733" s="1118" customFormat="1" ht="15.75" customHeight="1"/>
    <row r="734" s="1118" customFormat="1" ht="15.75" customHeight="1"/>
    <row r="735" s="1118" customFormat="1" ht="15.75" customHeight="1"/>
    <row r="736" s="1118" customFormat="1" ht="15.75" customHeight="1"/>
    <row r="737" s="1118" customFormat="1" ht="15.75" customHeight="1"/>
    <row r="738" s="1118" customFormat="1" ht="15.75" customHeight="1"/>
    <row r="739" s="1118" customFormat="1" ht="15.75" customHeight="1"/>
    <row r="740" s="1118" customFormat="1" ht="15.75" customHeight="1"/>
    <row r="741" s="1118" customFormat="1" ht="15.75" customHeight="1"/>
    <row r="742" s="1118" customFormat="1" ht="15.75" customHeight="1"/>
    <row r="743" s="1118" customFormat="1" ht="15.75" customHeight="1"/>
    <row r="744" s="1118" customFormat="1" ht="15.75" customHeight="1"/>
    <row r="745" s="1118" customFormat="1" ht="15.75" customHeight="1"/>
    <row r="746" s="1118" customFormat="1" ht="15.75" customHeight="1"/>
    <row r="747" s="1118" customFormat="1" ht="15.75" customHeight="1"/>
    <row r="748" s="1118" customFormat="1" ht="15.75" customHeight="1"/>
    <row r="749" s="1118" customFormat="1" ht="15.75" customHeight="1"/>
    <row r="750" s="1118" customFormat="1" ht="15.75" customHeight="1"/>
    <row r="751" s="1118" customFormat="1" ht="15.75" customHeight="1"/>
    <row r="752" s="1118" customFormat="1" ht="15.75" customHeight="1"/>
    <row r="753" s="1118" customFormat="1" ht="15.75" customHeight="1"/>
    <row r="754" s="1118" customFormat="1" ht="15.75" customHeight="1"/>
    <row r="755" s="1118" customFormat="1" ht="15.75" customHeight="1"/>
    <row r="756" s="1118" customFormat="1" ht="15.75" customHeight="1"/>
    <row r="757" s="1118" customFormat="1" ht="15.75" customHeight="1"/>
    <row r="758" s="1118" customFormat="1" ht="15.75" customHeight="1"/>
    <row r="759" s="1118" customFormat="1" ht="15.75" customHeight="1"/>
    <row r="760" s="1118" customFormat="1" ht="15.75" customHeight="1"/>
    <row r="761" s="1118" customFormat="1" ht="15.75" customHeight="1"/>
    <row r="762" s="1118" customFormat="1" ht="15.75" customHeight="1"/>
    <row r="763" s="1118" customFormat="1" ht="15.75" customHeight="1"/>
    <row r="764" s="1118" customFormat="1" ht="15.75" customHeight="1"/>
    <row r="765" s="1118" customFormat="1" ht="15.75" customHeight="1"/>
    <row r="766" s="1118" customFormat="1" ht="15.75" customHeight="1"/>
    <row r="767" s="1118" customFormat="1" ht="15.75" customHeight="1"/>
    <row r="768" s="1118" customFormat="1" ht="15.75" customHeight="1"/>
    <row r="769" s="1118" customFormat="1" ht="15.75" customHeight="1"/>
    <row r="770" s="1118" customFormat="1" ht="15.75" customHeight="1"/>
    <row r="771" s="1118" customFormat="1" ht="15.75" customHeight="1"/>
    <row r="772" s="1118" customFormat="1" ht="15.75" customHeight="1"/>
    <row r="773" s="1118" customFormat="1" ht="15.75" customHeight="1"/>
    <row r="774" s="1118" customFormat="1" ht="15.75" customHeight="1"/>
    <row r="775" s="1118" customFormat="1" ht="15.75" customHeight="1"/>
    <row r="776" s="1118" customFormat="1" ht="15.75" customHeight="1"/>
    <row r="777" s="1118" customFormat="1" ht="15.75" customHeight="1"/>
    <row r="778" s="1118" customFormat="1" ht="15.75" customHeight="1"/>
    <row r="779" s="1118" customFormat="1" ht="15.75" customHeight="1"/>
    <row r="780" s="1118" customFormat="1" ht="15.75" customHeight="1"/>
    <row r="781" s="1118" customFormat="1" ht="15.75" customHeight="1"/>
    <row r="782" s="1118" customFormat="1" ht="15.75" customHeight="1"/>
    <row r="783" s="1118" customFormat="1" ht="15.75" customHeight="1"/>
    <row r="784" s="1118" customFormat="1" ht="15.75" customHeight="1"/>
    <row r="785" s="1118" customFormat="1" ht="15.75" customHeight="1"/>
    <row r="786" s="1118" customFormat="1" ht="15.75" customHeight="1"/>
    <row r="787" s="1118" customFormat="1" ht="15.75" customHeight="1"/>
    <row r="788" s="1118" customFormat="1" ht="15.75" customHeight="1"/>
    <row r="789" s="1118" customFormat="1" ht="15.75" customHeight="1"/>
    <row r="790" s="1118" customFormat="1" ht="15.75" customHeight="1"/>
    <row r="791" s="1118" customFormat="1" ht="15.75" customHeight="1"/>
    <row r="792" s="1118" customFormat="1" ht="15.75" customHeight="1"/>
    <row r="793" s="1118" customFormat="1" ht="15.75" customHeight="1"/>
    <row r="794" s="1118" customFormat="1" ht="15.75" customHeight="1"/>
    <row r="795" s="1118" customFormat="1" ht="15.75" customHeight="1"/>
    <row r="796" s="1118" customFormat="1" ht="15.75" customHeight="1"/>
    <row r="797" s="1118" customFormat="1" ht="15.75" customHeight="1"/>
    <row r="798" s="1118" customFormat="1" ht="15.75" customHeight="1"/>
    <row r="799" s="1118" customFormat="1" ht="15.75" customHeight="1"/>
    <row r="800" s="1118" customFormat="1" ht="15.75" customHeight="1"/>
    <row r="801" s="1118" customFormat="1" ht="15.75" customHeight="1"/>
    <row r="802" s="1118" customFormat="1" ht="15.75" customHeight="1"/>
    <row r="803" s="1118" customFormat="1" ht="15.75" customHeight="1"/>
    <row r="804" s="1118" customFormat="1" ht="15.75" customHeight="1"/>
    <row r="805" s="1118" customFormat="1" ht="15.75" customHeight="1"/>
    <row r="806" s="1118" customFormat="1" ht="15.75" customHeight="1"/>
    <row r="807" s="1118" customFormat="1" ht="15.75" customHeight="1"/>
    <row r="808" s="1118" customFormat="1" ht="15.75" customHeight="1"/>
    <row r="809" s="1118" customFormat="1" ht="15.75" customHeight="1"/>
    <row r="810" s="1118" customFormat="1" ht="15.75" customHeight="1"/>
    <row r="811" s="1118" customFormat="1" ht="15.75" customHeight="1"/>
    <row r="812" s="1118" customFormat="1" ht="15.75" customHeight="1"/>
    <row r="813" s="1118" customFormat="1" ht="15.75" customHeight="1"/>
    <row r="814" s="1118" customFormat="1" ht="15.75" customHeight="1"/>
    <row r="815" s="1118" customFormat="1" ht="15.75" customHeight="1"/>
    <row r="816" s="1118" customFormat="1" ht="15.75" customHeight="1"/>
    <row r="817" s="1118" customFormat="1" ht="15.75" customHeight="1"/>
    <row r="818" s="1118" customFormat="1" ht="15.75" customHeight="1"/>
    <row r="819" s="1118" customFormat="1" ht="15.75" customHeight="1"/>
    <row r="820" s="1118" customFormat="1" ht="15.75" customHeight="1"/>
    <row r="821" s="1118" customFormat="1" ht="15.75" customHeight="1"/>
    <row r="822" s="1118" customFormat="1" ht="15.75" customHeight="1"/>
    <row r="823" s="1118" customFormat="1" ht="15.75" customHeight="1"/>
    <row r="824" s="1118" customFormat="1" ht="15.75" customHeight="1"/>
    <row r="825" s="1118" customFormat="1" ht="15.75" customHeight="1"/>
    <row r="826" s="1118" customFormat="1" ht="15.75" customHeight="1"/>
    <row r="827" s="1118" customFormat="1" ht="15.75" customHeight="1"/>
    <row r="828" s="1118" customFormat="1" ht="15.75" customHeight="1"/>
    <row r="829" s="1118" customFormat="1" ht="15.75" customHeight="1"/>
    <row r="830" s="1118" customFormat="1" ht="15.75" customHeight="1"/>
    <row r="831" s="1118" customFormat="1" ht="15.75" customHeight="1"/>
    <row r="832" s="1118" customFormat="1" ht="15.75" customHeight="1"/>
    <row r="833" s="1118" customFormat="1" ht="15.75" customHeight="1"/>
    <row r="834" s="1118" customFormat="1" ht="15.75" customHeight="1"/>
    <row r="835" s="1118" customFormat="1" ht="15.75" customHeight="1"/>
    <row r="836" s="1118" customFormat="1" ht="15.75" customHeight="1"/>
    <row r="837" s="1118" customFormat="1" ht="15.75" customHeight="1"/>
    <row r="838" s="1118" customFormat="1" ht="15.75" customHeight="1"/>
    <row r="839" s="1118" customFormat="1" ht="15.75" customHeight="1"/>
    <row r="840" s="1118" customFormat="1" ht="15.75" customHeight="1"/>
    <row r="841" s="1118" customFormat="1" ht="15.75" customHeight="1"/>
    <row r="842" s="1118" customFormat="1" ht="15.75" customHeight="1"/>
    <row r="843" s="1118" customFormat="1" ht="15.75" customHeight="1"/>
    <row r="844" s="1118" customFormat="1" ht="15.75" customHeight="1"/>
    <row r="845" s="1118" customFormat="1" ht="15.75" customHeight="1"/>
    <row r="846" s="1118" customFormat="1" ht="15.75" customHeight="1"/>
    <row r="847" s="1118" customFormat="1" ht="15.75" customHeight="1"/>
    <row r="848" s="1118" customFormat="1" ht="15.75" customHeight="1"/>
    <row r="849" s="1118" customFormat="1" ht="15.75" customHeight="1"/>
    <row r="850" s="1118" customFormat="1" ht="15.75" customHeight="1"/>
    <row r="851" s="1118" customFormat="1" ht="15.75" customHeight="1"/>
    <row r="852" s="1118" customFormat="1" ht="15.75" customHeight="1"/>
    <row r="853" s="1118" customFormat="1" ht="15.75" customHeight="1"/>
    <row r="854" s="1118" customFormat="1" ht="15.75" customHeight="1"/>
    <row r="855" s="1118" customFormat="1" ht="15.75" customHeight="1"/>
    <row r="856" s="1118" customFormat="1" ht="15.75" customHeight="1"/>
    <row r="857" s="1118" customFormat="1" ht="15.75" customHeight="1"/>
    <row r="858" s="1118" customFormat="1" ht="15.75" customHeight="1"/>
    <row r="859" s="1118" customFormat="1" ht="15.75" customHeight="1"/>
    <row r="860" s="1118" customFormat="1" ht="15.75" customHeight="1"/>
    <row r="861" s="1118" customFormat="1" ht="15.75" customHeight="1"/>
    <row r="862" s="1118" customFormat="1" ht="15.75" customHeight="1"/>
    <row r="863" s="1118" customFormat="1" ht="15.75" customHeight="1"/>
    <row r="864" s="1118" customFormat="1" ht="15.75" customHeight="1"/>
    <row r="865" s="1118" customFormat="1" ht="15.75" customHeight="1"/>
    <row r="866" s="1118" customFormat="1" ht="15.75" customHeight="1"/>
    <row r="867" s="1118" customFormat="1" ht="15.75" customHeight="1"/>
    <row r="868" s="1118" customFormat="1" ht="15.75" customHeight="1"/>
    <row r="869" s="1118" customFormat="1" ht="15.75" customHeight="1"/>
    <row r="870" s="1118" customFormat="1" ht="15.75" customHeight="1"/>
    <row r="871" s="1118" customFormat="1" ht="15.75" customHeight="1"/>
    <row r="872" s="1118" customFormat="1" ht="15.75" customHeight="1"/>
    <row r="873" s="1118" customFormat="1" ht="15.75" customHeight="1"/>
    <row r="874" s="1118" customFormat="1" ht="15.75" customHeight="1"/>
    <row r="875" s="1118" customFormat="1" ht="15.75" customHeight="1"/>
    <row r="876" s="1118" customFormat="1" ht="15.75" customHeight="1"/>
    <row r="877" s="1118" customFormat="1" ht="15.75" customHeight="1"/>
    <row r="878" s="1118" customFormat="1" ht="15.75" customHeight="1"/>
    <row r="879" s="1118" customFormat="1" ht="15.75" customHeight="1"/>
    <row r="880" s="1118" customFormat="1" ht="15.75" customHeight="1"/>
    <row r="881" s="1118" customFormat="1" ht="15.75" customHeight="1"/>
    <row r="882" s="1118" customFormat="1" ht="15.75" customHeight="1"/>
    <row r="883" s="1118" customFormat="1" ht="15.75" customHeight="1"/>
    <row r="884" s="1118" customFormat="1" ht="15.75" customHeight="1"/>
    <row r="885" s="1118" customFormat="1" ht="15.75" customHeight="1"/>
    <row r="886" s="1118" customFormat="1" ht="15.75" customHeight="1"/>
    <row r="887" s="1118" customFormat="1" ht="15.75" customHeight="1"/>
    <row r="888" s="1118" customFormat="1" ht="15.75" customHeight="1"/>
    <row r="889" s="1118" customFormat="1" ht="15.75" customHeight="1"/>
    <row r="890" s="1118" customFormat="1" ht="15.75" customHeight="1"/>
    <row r="891" s="1118" customFormat="1" ht="15.75" customHeight="1"/>
    <row r="892" s="1118" customFormat="1" ht="15.75" customHeight="1"/>
    <row r="893" s="1118" customFormat="1" ht="15.75" customHeight="1"/>
    <row r="894" s="1118" customFormat="1" ht="15.75" customHeight="1"/>
    <row r="895" s="1118" customFormat="1" ht="15.75" customHeight="1"/>
    <row r="896" s="1118" customFormat="1" ht="15.75" customHeight="1"/>
    <row r="897" s="1118" customFormat="1" ht="15.75" customHeight="1"/>
    <row r="898" s="1118" customFormat="1" ht="15.75" customHeight="1"/>
    <row r="899" s="1118" customFormat="1" ht="15.75" customHeight="1"/>
    <row r="900" s="1118" customFormat="1" ht="15.75" customHeight="1"/>
    <row r="901" s="1118" customFormat="1" ht="15.75" customHeight="1"/>
    <row r="902" s="1118" customFormat="1" ht="15.75" customHeight="1"/>
    <row r="903" s="1118" customFormat="1" ht="15.75" customHeight="1"/>
    <row r="904" s="1118" customFormat="1" ht="15.75" customHeight="1"/>
    <row r="905" s="1118" customFormat="1" ht="15.75" customHeight="1"/>
    <row r="906" s="1118" customFormat="1" ht="15.75" customHeight="1"/>
    <row r="907" s="1118" customFormat="1" ht="15.75" customHeight="1"/>
    <row r="908" s="1118" customFormat="1" ht="15.75" customHeight="1"/>
    <row r="909" s="1118" customFormat="1" ht="15.75" customHeight="1"/>
    <row r="910" s="1118" customFormat="1" ht="15.75" customHeight="1"/>
    <row r="911" s="1118" customFormat="1" ht="15.75" customHeight="1"/>
    <row r="912" s="1118" customFormat="1" ht="15.75" customHeight="1"/>
    <row r="913" s="1118" customFormat="1" ht="15.75" customHeight="1"/>
    <row r="914" s="1118" customFormat="1" ht="15.75" customHeight="1"/>
    <row r="915" s="1118" customFormat="1" ht="15.75" customHeight="1"/>
    <row r="916" s="1118" customFormat="1" ht="15.75" customHeight="1"/>
    <row r="917" s="1118" customFormat="1" ht="15.75" customHeight="1"/>
    <row r="918" s="1118" customFormat="1" ht="15.75" customHeight="1"/>
    <row r="919" s="1118" customFormat="1" ht="15.75" customHeight="1"/>
    <row r="920" s="1118" customFormat="1" ht="15.75" customHeight="1"/>
    <row r="921" s="1118" customFormat="1" ht="15.75" customHeight="1"/>
    <row r="922" s="1118" customFormat="1" ht="15.75" customHeight="1"/>
    <row r="923" s="1118" customFormat="1" ht="15.75" customHeight="1"/>
    <row r="924" s="1118" customFormat="1" ht="15.75" customHeight="1"/>
    <row r="925" s="1118" customFormat="1" ht="15.75" customHeight="1"/>
    <row r="926" s="1118" customFormat="1" ht="15.75" customHeight="1"/>
    <row r="927" s="1118" customFormat="1" ht="15.75" customHeight="1"/>
    <row r="928" s="1118" customFormat="1" ht="15.75" customHeight="1"/>
    <row r="929" s="1118" customFormat="1" ht="15.75" customHeight="1"/>
    <row r="930" s="1118" customFormat="1" ht="15.75" customHeight="1"/>
    <row r="931" s="1118" customFormat="1" ht="15.75" customHeight="1"/>
    <row r="932" s="1118" customFormat="1" ht="15.75" customHeight="1"/>
    <row r="933" s="1118" customFormat="1" ht="15.75" customHeight="1"/>
    <row r="934" s="1118" customFormat="1" ht="15.75" customHeight="1"/>
    <row r="935" s="1118" customFormat="1" ht="15.75" customHeight="1"/>
    <row r="936" s="1118" customFormat="1" ht="15.75" customHeight="1"/>
    <row r="937" s="1118" customFormat="1" ht="15.75" customHeight="1"/>
    <row r="938" s="1118" customFormat="1" ht="15.75" customHeight="1"/>
    <row r="939" s="1118" customFormat="1" ht="15.75" customHeight="1"/>
    <row r="940" s="1118" customFormat="1" ht="15.75" customHeight="1"/>
    <row r="941" s="1118" customFormat="1" ht="15.75" customHeight="1"/>
    <row r="942" s="1118" customFormat="1" ht="15.75" customHeight="1"/>
    <row r="943" s="1118" customFormat="1" ht="15.75" customHeight="1"/>
    <row r="944" s="1118" customFormat="1" ht="15.75" customHeight="1"/>
    <row r="945" s="1118" customFormat="1" ht="15.75" customHeight="1"/>
    <row r="946" s="1118" customFormat="1" ht="15.75" customHeight="1"/>
    <row r="947" s="1118" customFormat="1" ht="15.75" customHeight="1"/>
    <row r="948" s="1118" customFormat="1" ht="15.75" customHeight="1"/>
    <row r="949" s="1118" customFormat="1" ht="15.75" customHeight="1"/>
    <row r="950" s="1118" customFormat="1" ht="15.75" customHeight="1"/>
    <row r="951" s="1118" customFormat="1" ht="15.75" customHeight="1"/>
    <row r="952" s="1118" customFormat="1" ht="15.75" customHeight="1"/>
    <row r="953" s="1118" customFormat="1" ht="15.75" customHeight="1"/>
    <row r="954" s="1118" customFormat="1" ht="15.75" customHeight="1"/>
    <row r="955" s="1118" customFormat="1" ht="15.75" customHeight="1"/>
    <row r="956" s="1118" customFormat="1" ht="15.75" customHeight="1"/>
    <row r="957" s="1118" customFormat="1" ht="15.75" customHeight="1"/>
    <row r="958" s="1118" customFormat="1" ht="15.75" customHeight="1"/>
    <row r="959" s="1118" customFormat="1" ht="15.75" customHeight="1"/>
    <row r="960" s="1118" customFormat="1" ht="15.75" customHeight="1"/>
    <row r="961" s="1118" customFormat="1" ht="15.75" customHeight="1"/>
    <row r="962" s="1118" customFormat="1" ht="15.75" customHeight="1"/>
    <row r="963" s="1118" customFormat="1" ht="15.75" customHeight="1"/>
    <row r="964" s="1118" customFormat="1" ht="15.75" customHeight="1"/>
    <row r="965" s="1118" customFormat="1" ht="15.75" customHeight="1"/>
    <row r="966" s="1118" customFormat="1" ht="15.75" customHeight="1"/>
    <row r="967" s="1118" customFormat="1" ht="15.75" customHeight="1"/>
    <row r="968" s="1118" customFormat="1" ht="15.75" customHeight="1"/>
    <row r="969" s="1118" customFormat="1" ht="15.75" customHeight="1"/>
    <row r="970" s="1118" customFormat="1" ht="15.75" customHeight="1"/>
    <row r="971" s="1118" customFormat="1" ht="15.75" customHeight="1"/>
    <row r="972" s="1118" customFormat="1" ht="15.75" customHeight="1"/>
    <row r="973" s="1118" customFormat="1" ht="15.75" customHeight="1"/>
    <row r="974" s="1118" customFormat="1" ht="15.75" customHeight="1"/>
    <row r="975" s="1118" customFormat="1" ht="15.75" customHeight="1"/>
    <row r="976" s="1118" customFormat="1" ht="15.75" customHeight="1"/>
    <row r="977" s="1118" customFormat="1" ht="15.75" customHeight="1"/>
    <row r="978" s="1118" customFormat="1" ht="15.75" customHeight="1"/>
    <row r="979" s="1118" customFormat="1" ht="15.75" customHeight="1"/>
    <row r="980" s="1118" customFormat="1" ht="15.75" customHeight="1"/>
    <row r="981" s="1118" customFormat="1" ht="15.75" customHeight="1"/>
    <row r="982" s="1118" customFormat="1" ht="15.75" customHeight="1"/>
    <row r="983" s="1118" customFormat="1" ht="15.75" customHeight="1"/>
    <row r="984" s="1118" customFormat="1" ht="15.75" customHeight="1"/>
    <row r="985" s="1118" customFormat="1" ht="15.75" customHeight="1"/>
    <row r="986" s="1118" customFormat="1" ht="15.75" customHeight="1"/>
    <row r="987" s="1118" customFormat="1" ht="15.75" customHeight="1"/>
    <row r="988" s="1118" customFormat="1" ht="15.75" customHeight="1"/>
    <row r="989" s="1118" customFormat="1" ht="15.75" customHeight="1"/>
    <row r="990" s="1118" customFormat="1" ht="15.75" customHeight="1"/>
    <row r="991" s="1118" customFormat="1" ht="15.75" customHeight="1"/>
    <row r="992" s="1118" customFormat="1" ht="15.75" customHeight="1"/>
    <row r="993" s="1118" customFormat="1" ht="15.75" customHeight="1"/>
    <row r="994" s="1118" customFormat="1" ht="15.75" customHeight="1"/>
    <row r="995" s="1118" customFormat="1" ht="15.75" customHeight="1"/>
    <row r="996" s="1118" customFormat="1" ht="15.75" customHeight="1"/>
    <row r="997" s="1118" customFormat="1" ht="15.75" customHeight="1"/>
    <row r="998" s="1118" customFormat="1" ht="15.75" customHeight="1"/>
    <row r="999" s="1118" customFormat="1" ht="15.75" customHeight="1"/>
    <row r="1000" s="1118" customFormat="1" ht="15.75" customHeight="1"/>
  </sheetData>
  <hyperlinks>
    <hyperlink ref="D1" r:id="rId1" location="discrate" xr:uid="{B8C2978F-F1A0-4EB7-A37F-F2DFEA353E63}"/>
  </hyperlinks>
  <pageMargins left="0.75" right="0.75" top="1" bottom="1" header="0" footer="0"/>
  <pageSetup orientation="portrait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18205-A7B9-43EC-B7E0-9D29489B2044}">
  <sheetPr>
    <tabColor rgb="FFB7B7B7"/>
  </sheetPr>
  <dimension ref="A1:Z1000"/>
  <sheetViews>
    <sheetView workbookViewId="0">
      <selection activeCell="A32" sqref="A32"/>
    </sheetView>
  </sheetViews>
  <sheetFormatPr defaultColWidth="12.42578125" defaultRowHeight="15" customHeight="1"/>
  <cols>
    <col min="1" max="1" width="44.5703125" style="1118" bestFit="1" customWidth="1"/>
    <col min="2" max="2" width="5.7109375" style="1118" bestFit="1" customWidth="1"/>
    <col min="3" max="3" width="10" style="1118" bestFit="1" customWidth="1"/>
    <col min="4" max="4" width="22.5703125" style="1118" bestFit="1" customWidth="1"/>
    <col min="5" max="5" width="8.85546875" style="1118" bestFit="1" customWidth="1"/>
    <col min="6" max="6" width="6.5703125" style="1118" bestFit="1" customWidth="1"/>
    <col min="7" max="26" width="9.140625" style="1118" customWidth="1"/>
    <col min="27" max="16384" width="12.42578125" style="1118"/>
  </cols>
  <sheetData>
    <row r="1" spans="1:26" ht="12" customHeight="1">
      <c r="A1" s="1178" t="s">
        <v>1885</v>
      </c>
      <c r="B1" s="1178"/>
      <c r="C1" s="1177"/>
      <c r="D1" s="1177"/>
      <c r="E1" s="1177"/>
      <c r="F1" s="1177"/>
      <c r="G1" s="1177"/>
      <c r="H1" s="1177"/>
      <c r="I1" s="1177"/>
      <c r="J1" s="1177"/>
      <c r="K1" s="1177"/>
      <c r="L1" s="1177"/>
      <c r="M1" s="1177"/>
      <c r="N1" s="1177"/>
      <c r="O1" s="1177"/>
      <c r="P1" s="1177"/>
      <c r="Q1" s="1177"/>
      <c r="R1" s="1177"/>
      <c r="S1" s="1177"/>
      <c r="T1" s="1177"/>
      <c r="U1" s="1177"/>
      <c r="V1" s="1177"/>
      <c r="W1" s="1177"/>
      <c r="X1" s="1177"/>
      <c r="Y1" s="1177"/>
      <c r="Z1" s="1177"/>
    </row>
    <row r="2" spans="1:26" ht="12" customHeight="1">
      <c r="A2" s="1157" t="s">
        <v>1884</v>
      </c>
      <c r="B2" s="1157"/>
      <c r="D2" s="1176">
        <v>50</v>
      </c>
    </row>
    <row r="3" spans="1:26" ht="12" customHeight="1">
      <c r="A3" s="1157" t="s">
        <v>1883</v>
      </c>
      <c r="B3" s="1157"/>
      <c r="D3" s="1176">
        <v>1626.13</v>
      </c>
    </row>
    <row r="4" spans="1:26" ht="12" customHeight="1">
      <c r="A4" s="1157" t="s">
        <v>1882</v>
      </c>
      <c r="B4" s="1157"/>
      <c r="D4" s="1171">
        <v>2.5</v>
      </c>
    </row>
    <row r="5" spans="1:26" ht="12" customHeight="1">
      <c r="A5" s="1157" t="s">
        <v>1881</v>
      </c>
      <c r="B5" s="1157"/>
      <c r="D5" s="1162">
        <v>0.44779999999999998</v>
      </c>
      <c r="E5" s="1157" t="s">
        <v>1880</v>
      </c>
    </row>
    <row r="6" spans="1:26" ht="12" customHeight="1">
      <c r="A6" s="1157" t="s">
        <v>1879</v>
      </c>
      <c r="B6" s="1157"/>
      <c r="D6" s="1162">
        <v>0</v>
      </c>
    </row>
    <row r="7" spans="1:26" ht="12" customHeight="1">
      <c r="A7" s="1157" t="s">
        <v>1878</v>
      </c>
      <c r="B7" s="1157"/>
      <c r="D7" s="1162">
        <v>3.8200000000000005E-2</v>
      </c>
    </row>
    <row r="8" spans="1:26" ht="12" customHeight="1">
      <c r="A8" s="1157" t="s">
        <v>1877</v>
      </c>
      <c r="B8" s="1157"/>
      <c r="D8" s="1171">
        <v>16.899999999999999</v>
      </c>
    </row>
    <row r="9" spans="1:26" ht="12" customHeight="1">
      <c r="A9" s="1157" t="s">
        <v>1876</v>
      </c>
      <c r="B9" s="1157"/>
      <c r="D9" s="1175">
        <v>5186.0797439999997</v>
      </c>
    </row>
    <row r="10" spans="1:26" ht="12" customHeight="1">
      <c r="A10" s="1157"/>
      <c r="B10" s="1157"/>
    </row>
    <row r="11" spans="1:26" ht="12" customHeight="1">
      <c r="A11" s="1174" t="s">
        <v>1875</v>
      </c>
      <c r="B11" s="1173"/>
      <c r="C11" s="1172"/>
      <c r="D11" s="1172"/>
      <c r="E11" s="1172"/>
      <c r="F11" s="1172"/>
      <c r="G11" s="1172"/>
      <c r="H11" s="1172"/>
      <c r="I11" s="1172"/>
      <c r="J11" s="1172"/>
      <c r="K11" s="1172"/>
      <c r="L11" s="1172"/>
      <c r="M11" s="1172"/>
      <c r="N11" s="1172"/>
      <c r="O11" s="1172"/>
      <c r="P11" s="1172"/>
      <c r="Q11" s="1172"/>
      <c r="R11" s="1172"/>
      <c r="S11" s="1172"/>
      <c r="T11" s="1172"/>
      <c r="U11" s="1172"/>
      <c r="V11" s="1172"/>
      <c r="W11" s="1172"/>
      <c r="X11" s="1172"/>
      <c r="Y11" s="1172"/>
      <c r="Z11" s="1172"/>
    </row>
    <row r="12" spans="1:26" ht="12" customHeight="1">
      <c r="A12" s="1163" t="s">
        <v>1874</v>
      </c>
      <c r="B12" s="1157"/>
      <c r="C12" s="1157"/>
      <c r="D12" s="1157"/>
      <c r="E12" s="1157"/>
      <c r="F12" s="1157"/>
      <c r="G12" s="1157"/>
      <c r="H12" s="1157"/>
      <c r="I12" s="1157"/>
      <c r="J12" s="1157"/>
      <c r="K12" s="1157"/>
      <c r="L12" s="1157"/>
      <c r="M12" s="1157"/>
      <c r="N12" s="1157"/>
      <c r="O12" s="1157"/>
      <c r="P12" s="1157"/>
      <c r="Q12" s="1157"/>
      <c r="R12" s="1157"/>
      <c r="S12" s="1157"/>
      <c r="T12" s="1157"/>
      <c r="U12" s="1157"/>
      <c r="V12" s="1157"/>
      <c r="W12" s="1157"/>
      <c r="X12" s="1157"/>
      <c r="Y12" s="1157"/>
      <c r="Z12" s="1157"/>
    </row>
    <row r="13" spans="1:26" ht="12" customHeight="1">
      <c r="A13" s="1157" t="s">
        <v>1873</v>
      </c>
      <c r="B13" s="1157"/>
      <c r="C13" s="1167">
        <f>D2</f>
        <v>50</v>
      </c>
      <c r="D13" s="1157" t="s">
        <v>1872</v>
      </c>
      <c r="E13" s="1157"/>
      <c r="F13" s="1171">
        <f>D8</f>
        <v>16.899999999999999</v>
      </c>
      <c r="G13" s="1169"/>
      <c r="H13" s="1157"/>
      <c r="I13" s="1157"/>
      <c r="J13" s="1157"/>
      <c r="K13" s="1157"/>
      <c r="L13" s="1157"/>
      <c r="M13" s="1157"/>
      <c r="N13" s="1157"/>
      <c r="O13" s="1157"/>
      <c r="P13" s="1157"/>
      <c r="Q13" s="1157"/>
      <c r="R13" s="1157"/>
      <c r="S13" s="1157"/>
      <c r="T13" s="1157"/>
      <c r="U13" s="1157"/>
      <c r="V13" s="1157"/>
      <c r="W13" s="1157"/>
      <c r="X13" s="1157"/>
      <c r="Y13" s="1157"/>
      <c r="Z13" s="1157"/>
    </row>
    <row r="14" spans="1:26" ht="12" customHeight="1">
      <c r="A14" s="1157" t="s">
        <v>1871</v>
      </c>
      <c r="B14" s="1157"/>
      <c r="C14" s="1167">
        <f>D3</f>
        <v>1626.13</v>
      </c>
      <c r="D14" s="1157" t="s">
        <v>1870</v>
      </c>
      <c r="E14" s="1157"/>
      <c r="F14" s="1170">
        <f>D9</f>
        <v>5186.0797439999997</v>
      </c>
      <c r="G14" s="1169"/>
      <c r="H14" s="1157"/>
      <c r="I14" s="1157"/>
      <c r="J14" s="1157"/>
      <c r="K14" s="1157"/>
      <c r="L14" s="1157"/>
      <c r="M14" s="1157"/>
      <c r="N14" s="1157"/>
      <c r="O14" s="1157"/>
      <c r="P14" s="1157"/>
      <c r="Q14" s="1157"/>
      <c r="R14" s="1157"/>
      <c r="S14" s="1157"/>
      <c r="T14" s="1157"/>
      <c r="U14" s="1157"/>
      <c r="V14" s="1157"/>
      <c r="W14" s="1157"/>
      <c r="X14" s="1157"/>
      <c r="Y14" s="1157"/>
      <c r="Z14" s="1157"/>
    </row>
    <row r="15" spans="1:26" ht="12" customHeight="1">
      <c r="A15" s="1157" t="s">
        <v>1869</v>
      </c>
      <c r="B15" s="1157"/>
      <c r="C15" s="1168" t="e">
        <f ca="1">(C13*F14+C26*F13)/(F14+F13)</f>
        <v>#VALUE!</v>
      </c>
      <c r="D15" s="1157" t="s">
        <v>1868</v>
      </c>
      <c r="E15" s="1157"/>
      <c r="F15" s="1164">
        <f>D7</f>
        <v>3.8200000000000005E-2</v>
      </c>
      <c r="G15" s="1157"/>
      <c r="H15" s="1157"/>
      <c r="I15" s="1157"/>
      <c r="J15" s="1157"/>
      <c r="K15" s="1157"/>
      <c r="L15" s="1157"/>
      <c r="M15" s="1157"/>
      <c r="N15" s="1157"/>
      <c r="O15" s="1157"/>
      <c r="P15" s="1157"/>
      <c r="Q15" s="1157"/>
      <c r="R15" s="1157"/>
      <c r="S15" s="1157"/>
      <c r="T15" s="1157"/>
      <c r="U15" s="1157"/>
      <c r="V15" s="1157"/>
      <c r="W15" s="1157"/>
      <c r="X15" s="1157"/>
      <c r="Y15" s="1157"/>
      <c r="Z15" s="1157"/>
    </row>
    <row r="16" spans="1:26" ht="12" customHeight="1">
      <c r="A16" s="1157" t="s">
        <v>1867</v>
      </c>
      <c r="B16" s="1157"/>
      <c r="C16" s="1167">
        <f>C14</f>
        <v>1626.13</v>
      </c>
      <c r="D16" s="1157" t="s">
        <v>1866</v>
      </c>
      <c r="E16" s="1157"/>
      <c r="F16" s="1166">
        <f>D5^2</f>
        <v>0.20052483999999998</v>
      </c>
      <c r="G16" s="1157"/>
      <c r="H16" s="1157"/>
      <c r="I16" s="1157"/>
      <c r="J16" s="1157"/>
      <c r="K16" s="1157"/>
      <c r="L16" s="1157"/>
      <c r="M16" s="1157"/>
      <c r="N16" s="1157"/>
      <c r="O16" s="1157"/>
      <c r="P16" s="1157"/>
      <c r="Q16" s="1157"/>
      <c r="R16" s="1157"/>
      <c r="S16" s="1157"/>
      <c r="T16" s="1157"/>
      <c r="U16" s="1157"/>
      <c r="V16" s="1157"/>
      <c r="W16" s="1157"/>
      <c r="X16" s="1157"/>
      <c r="Y16" s="1157"/>
      <c r="Z16" s="1157"/>
    </row>
    <row r="17" spans="1:26" ht="12" customHeight="1">
      <c r="A17" s="1157" t="s">
        <v>1865</v>
      </c>
      <c r="B17" s="1157"/>
      <c r="C17" s="1165">
        <f>D4</f>
        <v>2.5</v>
      </c>
      <c r="D17" s="1157" t="s">
        <v>1864</v>
      </c>
      <c r="E17" s="1157"/>
      <c r="F17" s="1164">
        <f>D6</f>
        <v>0</v>
      </c>
      <c r="G17" s="1157"/>
      <c r="H17" s="1157"/>
      <c r="I17" s="1157"/>
      <c r="J17" s="1157"/>
      <c r="K17" s="1157"/>
      <c r="L17" s="1157"/>
      <c r="M17" s="1157"/>
      <c r="N17" s="1157"/>
      <c r="O17" s="1157"/>
      <c r="P17" s="1157"/>
      <c r="Q17" s="1157"/>
      <c r="R17" s="1157"/>
      <c r="S17" s="1157"/>
      <c r="T17" s="1157"/>
      <c r="U17" s="1157"/>
      <c r="V17" s="1157"/>
      <c r="W17" s="1157"/>
      <c r="X17" s="1157"/>
      <c r="Y17" s="1157"/>
      <c r="Z17" s="1157"/>
    </row>
    <row r="18" spans="1:26" ht="12" customHeight="1">
      <c r="A18" s="1157"/>
      <c r="B18" s="1157"/>
      <c r="C18" s="1163"/>
      <c r="D18" s="1157" t="s">
        <v>1863</v>
      </c>
      <c r="E18" s="1157"/>
      <c r="F18" s="1162">
        <f>F15-F17</f>
        <v>3.8200000000000005E-2</v>
      </c>
      <c r="G18" s="1157"/>
      <c r="H18" s="1157"/>
      <c r="I18" s="1157"/>
      <c r="J18" s="1157"/>
      <c r="K18" s="1157"/>
      <c r="L18" s="1157"/>
      <c r="M18" s="1157"/>
      <c r="N18" s="1157"/>
      <c r="O18" s="1157"/>
      <c r="P18" s="1157"/>
      <c r="Q18" s="1157"/>
      <c r="R18" s="1157"/>
      <c r="S18" s="1157"/>
      <c r="T18" s="1157"/>
      <c r="U18" s="1157"/>
      <c r="V18" s="1157"/>
      <c r="W18" s="1157"/>
      <c r="X18" s="1157"/>
      <c r="Y18" s="1157"/>
      <c r="Z18" s="1157"/>
    </row>
    <row r="19" spans="1:26" ht="12" customHeight="1">
      <c r="A19" s="1157"/>
      <c r="B19" s="1157"/>
      <c r="C19" s="1157"/>
      <c r="D19" s="1157"/>
      <c r="E19" s="1157"/>
      <c r="F19" s="1157"/>
      <c r="G19" s="1157"/>
      <c r="H19" s="1157"/>
      <c r="I19" s="1157"/>
      <c r="J19" s="1157"/>
      <c r="K19" s="1157"/>
      <c r="L19" s="1157"/>
      <c r="M19" s="1157"/>
      <c r="N19" s="1157"/>
      <c r="O19" s="1157"/>
      <c r="P19" s="1157"/>
      <c r="Q19" s="1157"/>
      <c r="R19" s="1157"/>
      <c r="S19" s="1157"/>
      <c r="T19" s="1157"/>
      <c r="U19" s="1157"/>
      <c r="V19" s="1157"/>
      <c r="W19" s="1157"/>
      <c r="X19" s="1157"/>
      <c r="Y19" s="1157"/>
      <c r="Z19" s="1157"/>
    </row>
    <row r="20" spans="1:26" ht="12" customHeight="1">
      <c r="A20" s="1157" t="s">
        <v>1862</v>
      </c>
      <c r="B20" s="1161" t="e">
        <f ca="1">(LN(C15/C16)+(F18+(F16/2))*C17)/(((F16)^(0.5))*(C17^0.5))</f>
        <v>#VALUE!</v>
      </c>
      <c r="C20" s="1157"/>
      <c r="D20" s="1157"/>
      <c r="E20" s="1157"/>
      <c r="F20" s="1157"/>
      <c r="G20" s="1157"/>
      <c r="H20" s="1157"/>
      <c r="I20" s="1157"/>
      <c r="J20" s="1157"/>
      <c r="K20" s="1157"/>
      <c r="L20" s="1157"/>
      <c r="M20" s="1157"/>
      <c r="N20" s="1157"/>
      <c r="O20" s="1157"/>
      <c r="P20" s="1157"/>
      <c r="Q20" s="1157"/>
      <c r="R20" s="1157"/>
      <c r="S20" s="1157"/>
      <c r="T20" s="1157"/>
      <c r="U20" s="1157"/>
      <c r="V20" s="1157"/>
      <c r="W20" s="1157"/>
      <c r="X20" s="1157"/>
      <c r="Y20" s="1157"/>
      <c r="Z20" s="1157"/>
    </row>
    <row r="21" spans="1:26" ht="12" customHeight="1">
      <c r="A21" s="1157" t="s">
        <v>1861</v>
      </c>
      <c r="B21" s="1161" t="e">
        <f ca="1">NORMSDIST(B20)</f>
        <v>#VALUE!</v>
      </c>
      <c r="C21" s="1157"/>
      <c r="D21" s="1157"/>
      <c r="E21" s="1157"/>
      <c r="F21" s="1157"/>
      <c r="G21" s="1157"/>
      <c r="H21" s="1157"/>
      <c r="I21" s="1157"/>
      <c r="J21" s="1157"/>
      <c r="K21" s="1157"/>
      <c r="L21" s="1157"/>
      <c r="M21" s="1157"/>
      <c r="N21" s="1157"/>
      <c r="O21" s="1157"/>
      <c r="P21" s="1157"/>
      <c r="Q21" s="1157"/>
      <c r="R21" s="1157"/>
      <c r="S21" s="1157"/>
      <c r="T21" s="1157"/>
      <c r="U21" s="1157"/>
      <c r="V21" s="1157"/>
      <c r="W21" s="1157"/>
      <c r="X21" s="1157"/>
      <c r="Y21" s="1157"/>
      <c r="Z21" s="1157"/>
    </row>
    <row r="22" spans="1:26" ht="12" customHeight="1">
      <c r="A22" s="1157"/>
      <c r="B22" s="1157"/>
      <c r="C22" s="1157"/>
      <c r="D22" s="1157"/>
      <c r="E22" s="1157"/>
      <c r="F22" s="1157"/>
      <c r="G22" s="1157"/>
      <c r="H22" s="1157"/>
      <c r="I22" s="1157"/>
      <c r="J22" s="1157"/>
      <c r="K22" s="1157"/>
      <c r="L22" s="1157"/>
      <c r="M22" s="1157"/>
      <c r="N22" s="1157"/>
      <c r="O22" s="1157"/>
      <c r="P22" s="1157"/>
      <c r="Q22" s="1157"/>
      <c r="R22" s="1157"/>
      <c r="S22" s="1157"/>
      <c r="T22" s="1157"/>
      <c r="U22" s="1157"/>
      <c r="V22" s="1157"/>
      <c r="W22" s="1157"/>
      <c r="X22" s="1157"/>
      <c r="Y22" s="1157"/>
      <c r="Z22" s="1157"/>
    </row>
    <row r="23" spans="1:26" ht="15.75" customHeight="1">
      <c r="A23" s="1157" t="s">
        <v>1860</v>
      </c>
      <c r="B23" s="1161" t="e">
        <f ca="1">B20-((F16^0.5)*(C17^(0.5)))</f>
        <v>#VALUE!</v>
      </c>
      <c r="C23" s="1157"/>
      <c r="D23" s="1157"/>
      <c r="E23" s="1157"/>
      <c r="F23" s="1157"/>
      <c r="G23" s="1157"/>
      <c r="H23" s="1157"/>
      <c r="I23" s="1157"/>
      <c r="J23" s="1157"/>
      <c r="K23" s="1157"/>
      <c r="L23" s="1157"/>
      <c r="M23" s="1157"/>
      <c r="N23" s="1157"/>
      <c r="O23" s="1157"/>
      <c r="P23" s="1157"/>
      <c r="Q23" s="1157"/>
      <c r="R23" s="1157"/>
      <c r="S23" s="1157"/>
      <c r="T23" s="1157"/>
      <c r="U23" s="1157"/>
      <c r="V23" s="1157"/>
      <c r="W23" s="1157"/>
      <c r="X23" s="1157"/>
      <c r="Y23" s="1157"/>
      <c r="Z23" s="1157"/>
    </row>
    <row r="24" spans="1:26" ht="12" customHeight="1">
      <c r="A24" s="1157" t="s">
        <v>1859</v>
      </c>
      <c r="B24" s="1161" t="e">
        <f ca="1">NORMSDIST(B23)</f>
        <v>#VALUE!</v>
      </c>
      <c r="C24" s="1157"/>
      <c r="D24" s="1157"/>
      <c r="E24" s="1157"/>
      <c r="F24" s="1157"/>
      <c r="G24" s="1157"/>
      <c r="H24" s="1157"/>
      <c r="I24" s="1157"/>
      <c r="J24" s="1157"/>
      <c r="K24" s="1157"/>
      <c r="L24" s="1157"/>
      <c r="M24" s="1157"/>
      <c r="N24" s="1157"/>
      <c r="O24" s="1157"/>
      <c r="P24" s="1157"/>
      <c r="Q24" s="1157"/>
      <c r="R24" s="1157"/>
      <c r="S24" s="1157"/>
      <c r="T24" s="1157"/>
      <c r="U24" s="1157"/>
      <c r="V24" s="1157"/>
      <c r="W24" s="1157"/>
      <c r="X24" s="1157"/>
      <c r="Y24" s="1157"/>
      <c r="Z24" s="1157"/>
    </row>
    <row r="25" spans="1:26" ht="12" customHeight="1" thickBot="1">
      <c r="A25" s="1157"/>
      <c r="B25" s="1157"/>
    </row>
    <row r="26" spans="1:26" ht="12" customHeight="1" thickBot="1">
      <c r="A26" s="1157" t="s">
        <v>1858</v>
      </c>
      <c r="B26" s="1157"/>
      <c r="C26" s="1160" t="e">
        <f ca="1">((EXP((0-F17)*C17))*C15*B21-C16*(EXP((0-F15)*C17))*B24)</f>
        <v>#VALUE!</v>
      </c>
      <c r="D26" s="1157"/>
      <c r="E26" s="1157"/>
      <c r="F26" s="1157"/>
      <c r="G26" s="1159"/>
      <c r="H26" s="1157"/>
      <c r="I26" s="1157"/>
      <c r="J26" s="1157"/>
      <c r="K26" s="1157"/>
      <c r="L26" s="1157"/>
      <c r="M26" s="1157"/>
      <c r="N26" s="1157"/>
      <c r="O26" s="1157"/>
      <c r="P26" s="1157"/>
      <c r="Q26" s="1157"/>
      <c r="R26" s="1157"/>
      <c r="S26" s="1157"/>
      <c r="T26" s="1157"/>
      <c r="U26" s="1157"/>
      <c r="V26" s="1157"/>
      <c r="W26" s="1157"/>
      <c r="X26" s="1157"/>
      <c r="Y26" s="1157"/>
      <c r="Z26" s="1157"/>
    </row>
    <row r="27" spans="1:26" ht="12" customHeight="1" thickBot="1">
      <c r="A27" s="1157" t="s">
        <v>1857</v>
      </c>
      <c r="B27" s="1157"/>
      <c r="C27" s="1157"/>
      <c r="D27" s="1158" t="e">
        <f ca="1">C26*D8</f>
        <v>#VALUE!</v>
      </c>
      <c r="E27" s="1157"/>
      <c r="F27" s="1157"/>
      <c r="G27" s="1157"/>
      <c r="H27" s="1157"/>
      <c r="I27" s="1157"/>
      <c r="J27" s="1157"/>
      <c r="K27" s="1157"/>
      <c r="L27" s="1157"/>
      <c r="M27" s="1157"/>
      <c r="N27" s="1157"/>
      <c r="O27" s="1157"/>
      <c r="P27" s="1157"/>
      <c r="Q27" s="1157"/>
      <c r="R27" s="1157"/>
      <c r="S27" s="1157"/>
      <c r="T27" s="1157"/>
      <c r="U27" s="1157"/>
      <c r="V27" s="1157"/>
      <c r="W27" s="1157"/>
      <c r="X27" s="1157"/>
      <c r="Y27" s="1157"/>
      <c r="Z27" s="1157"/>
    </row>
    <row r="28" spans="1:26" ht="12" customHeight="1"/>
    <row r="29" spans="1:26" ht="12" customHeight="1">
      <c r="A29" s="1179" t="s">
        <v>1886</v>
      </c>
      <c r="B29" s="1180" t="s">
        <v>1887</v>
      </c>
      <c r="C29" s="1181" t="s">
        <v>1888</v>
      </c>
      <c r="D29" s="1181"/>
      <c r="E29" s="1179"/>
      <c r="F29" s="1179"/>
    </row>
    <row r="30" spans="1:26" ht="12" customHeight="1">
      <c r="A30" s="1179" t="s">
        <v>1889</v>
      </c>
      <c r="B30" s="1182">
        <v>16.899999999999999</v>
      </c>
      <c r="C30" s="1183"/>
      <c r="D30" s="1181"/>
      <c r="E30" s="1179"/>
      <c r="F30" s="1179"/>
    </row>
    <row r="31" spans="1:26" ht="12" customHeight="1">
      <c r="A31" s="1179" t="s">
        <v>1890</v>
      </c>
      <c r="B31" s="1184">
        <v>1626.13</v>
      </c>
      <c r="C31" s="1181" t="s">
        <v>1891</v>
      </c>
      <c r="D31" s="1181"/>
      <c r="E31" s="1179"/>
      <c r="F31" s="1179"/>
    </row>
    <row r="32" spans="1:26" ht="12" customHeight="1">
      <c r="A32" s="1179" t="s">
        <v>1892</v>
      </c>
      <c r="B32" s="1182">
        <v>2.5</v>
      </c>
      <c r="C32" s="1183"/>
      <c r="D32" s="1179"/>
      <c r="E32" s="1185"/>
      <c r="F32" s="1185"/>
    </row>
    <row r="33" s="1118" customFormat="1" ht="12" customHeight="1"/>
    <row r="34" s="1118" customFormat="1" ht="12" customHeight="1"/>
    <row r="35" s="1118" customFormat="1" ht="12" customHeight="1"/>
    <row r="36" s="1118" customFormat="1" ht="12" customHeight="1"/>
    <row r="37" s="1118" customFormat="1" ht="12" customHeight="1"/>
    <row r="38" s="1118" customFormat="1" ht="12" customHeight="1"/>
    <row r="39" s="1118" customFormat="1" ht="12" customHeight="1"/>
    <row r="40" s="1118" customFormat="1" ht="12" customHeight="1"/>
    <row r="41" s="1118" customFormat="1" ht="12" customHeight="1"/>
    <row r="42" s="1118" customFormat="1" ht="12" customHeight="1"/>
    <row r="43" s="1118" customFormat="1" ht="12" customHeight="1"/>
    <row r="44" s="1118" customFormat="1" ht="12" customHeight="1"/>
    <row r="45" s="1118" customFormat="1" ht="12" customHeight="1"/>
    <row r="46" s="1118" customFormat="1" ht="12" customHeight="1"/>
    <row r="47" s="1118" customFormat="1" ht="12" customHeight="1"/>
    <row r="48" s="1118" customFormat="1" ht="12" customHeight="1"/>
    <row r="49" s="1118" customFormat="1" ht="12" customHeight="1"/>
    <row r="50" s="1118" customFormat="1" ht="12" customHeight="1"/>
    <row r="51" s="1118" customFormat="1" ht="12" customHeight="1"/>
    <row r="52" s="1118" customFormat="1" ht="12" customHeight="1"/>
    <row r="53" s="1118" customFormat="1" ht="12" customHeight="1"/>
    <row r="54" s="1118" customFormat="1" ht="12" customHeight="1"/>
    <row r="55" s="1118" customFormat="1" ht="12" customHeight="1"/>
    <row r="56" s="1118" customFormat="1" ht="12" customHeight="1"/>
    <row r="57" s="1118" customFormat="1" ht="12" customHeight="1"/>
    <row r="58" s="1118" customFormat="1" ht="12" customHeight="1"/>
    <row r="59" s="1118" customFormat="1" ht="12" customHeight="1"/>
    <row r="60" s="1118" customFormat="1" ht="12" customHeight="1"/>
    <row r="61" s="1118" customFormat="1" ht="12" customHeight="1"/>
    <row r="62" s="1118" customFormat="1" ht="12" customHeight="1"/>
    <row r="63" s="1118" customFormat="1" ht="12" customHeight="1"/>
    <row r="64" s="1118" customFormat="1" ht="12" customHeight="1"/>
    <row r="65" s="1118" customFormat="1" ht="12" customHeight="1"/>
    <row r="66" s="1118" customFormat="1" ht="12" customHeight="1"/>
    <row r="67" s="1118" customFormat="1" ht="12" customHeight="1"/>
    <row r="68" s="1118" customFormat="1" ht="12" customHeight="1"/>
    <row r="69" s="1118" customFormat="1" ht="12" customHeight="1"/>
    <row r="70" s="1118" customFormat="1" ht="12" customHeight="1"/>
    <row r="71" s="1118" customFormat="1" ht="12" customHeight="1"/>
    <row r="72" s="1118" customFormat="1" ht="12" customHeight="1"/>
    <row r="73" s="1118" customFormat="1" ht="12" customHeight="1"/>
    <row r="74" s="1118" customFormat="1" ht="12" customHeight="1"/>
    <row r="75" s="1118" customFormat="1" ht="12" customHeight="1"/>
    <row r="76" s="1118" customFormat="1" ht="12" customHeight="1"/>
    <row r="77" s="1118" customFormat="1" ht="12" customHeight="1"/>
    <row r="78" s="1118" customFormat="1" ht="12" customHeight="1"/>
    <row r="79" s="1118" customFormat="1" ht="12" customHeight="1"/>
    <row r="80" s="1118" customFormat="1" ht="12" customHeight="1"/>
    <row r="81" s="1118" customFormat="1" ht="12" customHeight="1"/>
    <row r="82" s="1118" customFormat="1" ht="12" customHeight="1"/>
    <row r="83" s="1118" customFormat="1" ht="12" customHeight="1"/>
    <row r="84" s="1118" customFormat="1" ht="12" customHeight="1"/>
    <row r="85" s="1118" customFormat="1" ht="12" customHeight="1"/>
    <row r="86" s="1118" customFormat="1" ht="12" customHeight="1"/>
    <row r="87" s="1118" customFormat="1" ht="12" customHeight="1"/>
    <row r="88" s="1118" customFormat="1" ht="12" customHeight="1"/>
    <row r="89" s="1118" customFormat="1" ht="12" customHeight="1"/>
    <row r="90" s="1118" customFormat="1" ht="12" customHeight="1"/>
    <row r="91" s="1118" customFormat="1" ht="12" customHeight="1"/>
    <row r="92" s="1118" customFormat="1" ht="12" customHeight="1"/>
    <row r="93" s="1118" customFormat="1" ht="12" customHeight="1"/>
    <row r="94" s="1118" customFormat="1" ht="12" customHeight="1"/>
    <row r="95" s="1118" customFormat="1" ht="12" customHeight="1"/>
    <row r="96" s="1118" customFormat="1" ht="12" customHeight="1"/>
    <row r="97" s="1118" customFormat="1" ht="12" customHeight="1"/>
    <row r="98" s="1118" customFormat="1" ht="12" customHeight="1"/>
    <row r="99" s="1118" customFormat="1" ht="12" customHeight="1"/>
    <row r="100" s="1118" customFormat="1" ht="12" customHeight="1"/>
    <row r="101" s="1118" customFormat="1" ht="12" customHeight="1"/>
    <row r="102" s="1118" customFormat="1" ht="12" customHeight="1"/>
    <row r="103" s="1118" customFormat="1" ht="12" customHeight="1"/>
    <row r="104" s="1118" customFormat="1" ht="12" customHeight="1"/>
    <row r="105" s="1118" customFormat="1" ht="12" customHeight="1"/>
    <row r="106" s="1118" customFormat="1" ht="12" customHeight="1"/>
    <row r="107" s="1118" customFormat="1" ht="12" customHeight="1"/>
    <row r="108" s="1118" customFormat="1" ht="12" customHeight="1"/>
    <row r="109" s="1118" customFormat="1" ht="12" customHeight="1"/>
    <row r="110" s="1118" customFormat="1" ht="12" customHeight="1"/>
    <row r="111" s="1118" customFormat="1" ht="12" customHeight="1"/>
    <row r="112" s="1118" customFormat="1" ht="12" customHeight="1"/>
    <row r="113" s="1118" customFormat="1" ht="12" customHeight="1"/>
    <row r="114" s="1118" customFormat="1" ht="12" customHeight="1"/>
    <row r="115" s="1118" customFormat="1" ht="12" customHeight="1"/>
    <row r="116" s="1118" customFormat="1" ht="12" customHeight="1"/>
    <row r="117" s="1118" customFormat="1" ht="12" customHeight="1"/>
    <row r="118" s="1118" customFormat="1" ht="12" customHeight="1"/>
    <row r="119" s="1118" customFormat="1" ht="12" customHeight="1"/>
    <row r="120" s="1118" customFormat="1" ht="12" customHeight="1"/>
    <row r="121" s="1118" customFormat="1" ht="12" customHeight="1"/>
    <row r="122" s="1118" customFormat="1" ht="12" customHeight="1"/>
    <row r="123" s="1118" customFormat="1" ht="12" customHeight="1"/>
    <row r="124" s="1118" customFormat="1" ht="12" customHeight="1"/>
    <row r="125" s="1118" customFormat="1" ht="12" customHeight="1"/>
    <row r="126" s="1118" customFormat="1" ht="12" customHeight="1"/>
    <row r="127" s="1118" customFormat="1" ht="12" customHeight="1"/>
    <row r="128" s="1118" customFormat="1" ht="12" customHeight="1"/>
    <row r="129" s="1118" customFormat="1" ht="12" customHeight="1"/>
    <row r="130" s="1118" customFormat="1" ht="12" customHeight="1"/>
    <row r="131" s="1118" customFormat="1" ht="12" customHeight="1"/>
    <row r="132" s="1118" customFormat="1" ht="12" customHeight="1"/>
    <row r="133" s="1118" customFormat="1" ht="12" customHeight="1"/>
    <row r="134" s="1118" customFormat="1" ht="12" customHeight="1"/>
    <row r="135" s="1118" customFormat="1" ht="12" customHeight="1"/>
    <row r="136" s="1118" customFormat="1" ht="12" customHeight="1"/>
    <row r="137" s="1118" customFormat="1" ht="12" customHeight="1"/>
    <row r="138" s="1118" customFormat="1" ht="12" customHeight="1"/>
    <row r="139" s="1118" customFormat="1" ht="12" customHeight="1"/>
    <row r="140" s="1118" customFormat="1" ht="12" customHeight="1"/>
    <row r="141" s="1118" customFormat="1" ht="12" customHeight="1"/>
    <row r="142" s="1118" customFormat="1" ht="12" customHeight="1"/>
    <row r="143" s="1118" customFormat="1" ht="12" customHeight="1"/>
    <row r="144" s="1118" customFormat="1" ht="12" customHeight="1"/>
    <row r="145" s="1118" customFormat="1" ht="12" customHeight="1"/>
    <row r="146" s="1118" customFormat="1" ht="12" customHeight="1"/>
    <row r="147" s="1118" customFormat="1" ht="12" customHeight="1"/>
    <row r="148" s="1118" customFormat="1" ht="12" customHeight="1"/>
    <row r="149" s="1118" customFormat="1" ht="12" customHeight="1"/>
    <row r="150" s="1118" customFormat="1" ht="12" customHeight="1"/>
    <row r="151" s="1118" customFormat="1" ht="12" customHeight="1"/>
    <row r="152" s="1118" customFormat="1" ht="12" customHeight="1"/>
    <row r="153" s="1118" customFormat="1" ht="12" customHeight="1"/>
    <row r="154" s="1118" customFormat="1" ht="12" customHeight="1"/>
    <row r="155" s="1118" customFormat="1" ht="12" customHeight="1"/>
    <row r="156" s="1118" customFormat="1" ht="12" customHeight="1"/>
    <row r="157" s="1118" customFormat="1" ht="12" customHeight="1"/>
    <row r="158" s="1118" customFormat="1" ht="12" customHeight="1"/>
    <row r="159" s="1118" customFormat="1" ht="12" customHeight="1"/>
    <row r="160" s="1118" customFormat="1" ht="12" customHeight="1"/>
    <row r="161" s="1118" customFormat="1" ht="12" customHeight="1"/>
    <row r="162" s="1118" customFormat="1" ht="12" customHeight="1"/>
    <row r="163" s="1118" customFormat="1" ht="12" customHeight="1"/>
    <row r="164" s="1118" customFormat="1" ht="12" customHeight="1"/>
    <row r="165" s="1118" customFormat="1" ht="12" customHeight="1"/>
    <row r="166" s="1118" customFormat="1" ht="12" customHeight="1"/>
    <row r="167" s="1118" customFormat="1" ht="12" customHeight="1"/>
    <row r="168" s="1118" customFormat="1" ht="12" customHeight="1"/>
    <row r="169" s="1118" customFormat="1" ht="12" customHeight="1"/>
    <row r="170" s="1118" customFormat="1" ht="12" customHeight="1"/>
    <row r="171" s="1118" customFormat="1" ht="12" customHeight="1"/>
    <row r="172" s="1118" customFormat="1" ht="12" customHeight="1"/>
    <row r="173" s="1118" customFormat="1" ht="12" customHeight="1"/>
    <row r="174" s="1118" customFormat="1" ht="12" customHeight="1"/>
    <row r="175" s="1118" customFormat="1" ht="12" customHeight="1"/>
    <row r="176" s="1118" customFormat="1" ht="12" customHeight="1"/>
    <row r="177" s="1118" customFormat="1" ht="12" customHeight="1"/>
    <row r="178" s="1118" customFormat="1" ht="12" customHeight="1"/>
    <row r="179" s="1118" customFormat="1" ht="12" customHeight="1"/>
    <row r="180" s="1118" customFormat="1" ht="12" customHeight="1"/>
    <row r="181" s="1118" customFormat="1" ht="12" customHeight="1"/>
    <row r="182" s="1118" customFormat="1" ht="12" customHeight="1"/>
    <row r="183" s="1118" customFormat="1" ht="12" customHeight="1"/>
    <row r="184" s="1118" customFormat="1" ht="12" customHeight="1"/>
    <row r="185" s="1118" customFormat="1" ht="12" customHeight="1"/>
    <row r="186" s="1118" customFormat="1" ht="12" customHeight="1"/>
    <row r="187" s="1118" customFormat="1" ht="12" customHeight="1"/>
    <row r="188" s="1118" customFormat="1" ht="12" customHeight="1"/>
    <row r="189" s="1118" customFormat="1" ht="12" customHeight="1"/>
    <row r="190" s="1118" customFormat="1" ht="12" customHeight="1"/>
    <row r="191" s="1118" customFormat="1" ht="12" customHeight="1"/>
    <row r="192" s="1118" customFormat="1" ht="12" customHeight="1"/>
    <row r="193" s="1118" customFormat="1" ht="12" customHeight="1"/>
    <row r="194" s="1118" customFormat="1" ht="12" customHeight="1"/>
    <row r="195" s="1118" customFormat="1" ht="12" customHeight="1"/>
    <row r="196" s="1118" customFormat="1" ht="12" customHeight="1"/>
    <row r="197" s="1118" customFormat="1" ht="12" customHeight="1"/>
    <row r="198" s="1118" customFormat="1" ht="12" customHeight="1"/>
    <row r="199" s="1118" customFormat="1" ht="12" customHeight="1"/>
    <row r="200" s="1118" customFormat="1" ht="12" customHeight="1"/>
    <row r="201" s="1118" customFormat="1" ht="12" customHeight="1"/>
    <row r="202" s="1118" customFormat="1" ht="12" customHeight="1"/>
    <row r="203" s="1118" customFormat="1" ht="12" customHeight="1"/>
    <row r="204" s="1118" customFormat="1" ht="12" customHeight="1"/>
    <row r="205" s="1118" customFormat="1" ht="12" customHeight="1"/>
    <row r="206" s="1118" customFormat="1" ht="12" customHeight="1"/>
    <row r="207" s="1118" customFormat="1" ht="12" customHeight="1"/>
    <row r="208" s="1118" customFormat="1" ht="12" customHeight="1"/>
    <row r="209" s="1118" customFormat="1" ht="12" customHeight="1"/>
    <row r="210" s="1118" customFormat="1" ht="12" customHeight="1"/>
    <row r="211" s="1118" customFormat="1" ht="12" customHeight="1"/>
    <row r="212" s="1118" customFormat="1" ht="12" customHeight="1"/>
    <row r="213" s="1118" customFormat="1" ht="12" customHeight="1"/>
    <row r="214" s="1118" customFormat="1" ht="12" customHeight="1"/>
    <row r="215" s="1118" customFormat="1" ht="12" customHeight="1"/>
    <row r="216" s="1118" customFormat="1" ht="12" customHeight="1"/>
    <row r="217" s="1118" customFormat="1" ht="12" customHeight="1"/>
    <row r="218" s="1118" customFormat="1" ht="12" customHeight="1"/>
    <row r="219" s="1118" customFormat="1" ht="12" customHeight="1"/>
    <row r="220" s="1118" customFormat="1" ht="12" customHeight="1"/>
    <row r="221" s="1118" customFormat="1" ht="12" customHeight="1"/>
    <row r="222" s="1118" customFormat="1" ht="12" customHeight="1"/>
    <row r="223" s="1118" customFormat="1" ht="12" customHeight="1"/>
    <row r="224" s="1118" customFormat="1" ht="12" customHeight="1"/>
    <row r="225" s="1118" customFormat="1" ht="12" customHeight="1"/>
    <row r="226" s="1118" customFormat="1" ht="12" customHeight="1"/>
    <row r="227" s="1118" customFormat="1" ht="12" customHeight="1"/>
    <row r="228" s="1118" customFormat="1" ht="15.75" customHeight="1"/>
    <row r="229" s="1118" customFormat="1" ht="15.75" customHeight="1"/>
    <row r="230" s="1118" customFormat="1" ht="15.75" customHeight="1"/>
    <row r="231" s="1118" customFormat="1" ht="15.75" customHeight="1"/>
    <row r="232" s="1118" customFormat="1" ht="15.75" customHeight="1"/>
    <row r="233" s="1118" customFormat="1" ht="15.75" customHeight="1"/>
    <row r="234" s="1118" customFormat="1" ht="15.75" customHeight="1"/>
    <row r="235" s="1118" customFormat="1" ht="15.75" customHeight="1"/>
    <row r="236" s="1118" customFormat="1" ht="15.75" customHeight="1"/>
    <row r="237" s="1118" customFormat="1" ht="15.75" customHeight="1"/>
    <row r="238" s="1118" customFormat="1" ht="15.75" customHeight="1"/>
    <row r="239" s="1118" customFormat="1" ht="15.75" customHeight="1"/>
    <row r="240" s="1118" customFormat="1" ht="15.75" customHeight="1"/>
    <row r="241" s="1118" customFormat="1" ht="15.75" customHeight="1"/>
    <row r="242" s="1118" customFormat="1" ht="15.75" customHeight="1"/>
    <row r="243" s="1118" customFormat="1" ht="15.75" customHeight="1"/>
    <row r="244" s="1118" customFormat="1" ht="15.75" customHeight="1"/>
    <row r="245" s="1118" customFormat="1" ht="15.75" customHeight="1"/>
    <row r="246" s="1118" customFormat="1" ht="15.75" customHeight="1"/>
    <row r="247" s="1118" customFormat="1" ht="15.75" customHeight="1"/>
    <row r="248" s="1118" customFormat="1" ht="15.75" customHeight="1"/>
    <row r="249" s="1118" customFormat="1" ht="15.75" customHeight="1"/>
    <row r="250" s="1118" customFormat="1" ht="15.75" customHeight="1"/>
    <row r="251" s="1118" customFormat="1" ht="15.75" customHeight="1"/>
    <row r="252" s="1118" customFormat="1" ht="15.75" customHeight="1"/>
    <row r="253" s="1118" customFormat="1" ht="15.75" customHeight="1"/>
    <row r="254" s="1118" customFormat="1" ht="15.75" customHeight="1"/>
    <row r="255" s="1118" customFormat="1" ht="15.75" customHeight="1"/>
    <row r="256" s="1118" customFormat="1" ht="15.75" customHeight="1"/>
    <row r="257" s="1118" customFormat="1" ht="15.75" customHeight="1"/>
    <row r="258" s="1118" customFormat="1" ht="15.75" customHeight="1"/>
    <row r="259" s="1118" customFormat="1" ht="15.75" customHeight="1"/>
    <row r="260" s="1118" customFormat="1" ht="15.75" customHeight="1"/>
    <row r="261" s="1118" customFormat="1" ht="15.75" customHeight="1"/>
    <row r="262" s="1118" customFormat="1" ht="15.75" customHeight="1"/>
    <row r="263" s="1118" customFormat="1" ht="15.75" customHeight="1"/>
    <row r="264" s="1118" customFormat="1" ht="15.75" customHeight="1"/>
    <row r="265" s="1118" customFormat="1" ht="15.75" customHeight="1"/>
    <row r="266" s="1118" customFormat="1" ht="15.75" customHeight="1"/>
    <row r="267" s="1118" customFormat="1" ht="15.75" customHeight="1"/>
    <row r="268" s="1118" customFormat="1" ht="15.75" customHeight="1"/>
    <row r="269" s="1118" customFormat="1" ht="15.75" customHeight="1"/>
    <row r="270" s="1118" customFormat="1" ht="15.75" customHeight="1"/>
    <row r="271" s="1118" customFormat="1" ht="15.75" customHeight="1"/>
    <row r="272" s="1118" customFormat="1" ht="15.75" customHeight="1"/>
    <row r="273" s="1118" customFormat="1" ht="15.75" customHeight="1"/>
    <row r="274" s="1118" customFormat="1" ht="15.75" customHeight="1"/>
    <row r="275" s="1118" customFormat="1" ht="15.75" customHeight="1"/>
    <row r="276" s="1118" customFormat="1" ht="15.75" customHeight="1"/>
    <row r="277" s="1118" customFormat="1" ht="15.75" customHeight="1"/>
    <row r="278" s="1118" customFormat="1" ht="15.75" customHeight="1"/>
    <row r="279" s="1118" customFormat="1" ht="15.75" customHeight="1"/>
    <row r="280" s="1118" customFormat="1" ht="15.75" customHeight="1"/>
    <row r="281" s="1118" customFormat="1" ht="15.75" customHeight="1"/>
    <row r="282" s="1118" customFormat="1" ht="15.75" customHeight="1"/>
    <row r="283" s="1118" customFormat="1" ht="15.75" customHeight="1"/>
    <row r="284" s="1118" customFormat="1" ht="15.75" customHeight="1"/>
    <row r="285" s="1118" customFormat="1" ht="15.75" customHeight="1"/>
    <row r="286" s="1118" customFormat="1" ht="15.75" customHeight="1"/>
    <row r="287" s="1118" customFormat="1" ht="15.75" customHeight="1"/>
    <row r="288" s="1118" customFormat="1" ht="15.75" customHeight="1"/>
    <row r="289" s="1118" customFormat="1" ht="15.75" customHeight="1"/>
    <row r="290" s="1118" customFormat="1" ht="15.75" customHeight="1"/>
    <row r="291" s="1118" customFormat="1" ht="15.75" customHeight="1"/>
    <row r="292" s="1118" customFormat="1" ht="15.75" customHeight="1"/>
    <row r="293" s="1118" customFormat="1" ht="15.75" customHeight="1"/>
    <row r="294" s="1118" customFormat="1" ht="15.75" customHeight="1"/>
    <row r="295" s="1118" customFormat="1" ht="15.75" customHeight="1"/>
    <row r="296" s="1118" customFormat="1" ht="15.75" customHeight="1"/>
    <row r="297" s="1118" customFormat="1" ht="15.75" customHeight="1"/>
    <row r="298" s="1118" customFormat="1" ht="15.75" customHeight="1"/>
    <row r="299" s="1118" customFormat="1" ht="15.75" customHeight="1"/>
    <row r="300" s="1118" customFormat="1" ht="15.75" customHeight="1"/>
    <row r="301" s="1118" customFormat="1" ht="15.75" customHeight="1"/>
    <row r="302" s="1118" customFormat="1" ht="15.75" customHeight="1"/>
    <row r="303" s="1118" customFormat="1" ht="15.75" customHeight="1"/>
    <row r="304" s="1118" customFormat="1" ht="15.75" customHeight="1"/>
    <row r="305" s="1118" customFormat="1" ht="15.75" customHeight="1"/>
    <row r="306" s="1118" customFormat="1" ht="15.75" customHeight="1"/>
    <row r="307" s="1118" customFormat="1" ht="15.75" customHeight="1"/>
    <row r="308" s="1118" customFormat="1" ht="15.75" customHeight="1"/>
    <row r="309" s="1118" customFormat="1" ht="15.75" customHeight="1"/>
    <row r="310" s="1118" customFormat="1" ht="15.75" customHeight="1"/>
    <row r="311" s="1118" customFormat="1" ht="15.75" customHeight="1"/>
    <row r="312" s="1118" customFormat="1" ht="15.75" customHeight="1"/>
    <row r="313" s="1118" customFormat="1" ht="15.75" customHeight="1"/>
    <row r="314" s="1118" customFormat="1" ht="15.75" customHeight="1"/>
    <row r="315" s="1118" customFormat="1" ht="15.75" customHeight="1"/>
    <row r="316" s="1118" customFormat="1" ht="15.75" customHeight="1"/>
    <row r="317" s="1118" customFormat="1" ht="15.75" customHeight="1"/>
    <row r="318" s="1118" customFormat="1" ht="15.75" customHeight="1"/>
    <row r="319" s="1118" customFormat="1" ht="15.75" customHeight="1"/>
    <row r="320" s="1118" customFormat="1" ht="15.75" customHeight="1"/>
    <row r="321" s="1118" customFormat="1" ht="15.75" customHeight="1"/>
    <row r="322" s="1118" customFormat="1" ht="15.75" customHeight="1"/>
    <row r="323" s="1118" customFormat="1" ht="15.75" customHeight="1"/>
    <row r="324" s="1118" customFormat="1" ht="15.75" customHeight="1"/>
    <row r="325" s="1118" customFormat="1" ht="15.75" customHeight="1"/>
    <row r="326" s="1118" customFormat="1" ht="15.75" customHeight="1"/>
    <row r="327" s="1118" customFormat="1" ht="15.75" customHeight="1"/>
    <row r="328" s="1118" customFormat="1" ht="15.75" customHeight="1"/>
    <row r="329" s="1118" customFormat="1" ht="15.75" customHeight="1"/>
    <row r="330" s="1118" customFormat="1" ht="15.75" customHeight="1"/>
    <row r="331" s="1118" customFormat="1" ht="15.75" customHeight="1"/>
    <row r="332" s="1118" customFormat="1" ht="15.75" customHeight="1"/>
    <row r="333" s="1118" customFormat="1" ht="15.75" customHeight="1"/>
    <row r="334" s="1118" customFormat="1" ht="15.75" customHeight="1"/>
    <row r="335" s="1118" customFormat="1" ht="15.75" customHeight="1"/>
    <row r="336" s="1118" customFormat="1" ht="15.75" customHeight="1"/>
    <row r="337" s="1118" customFormat="1" ht="15.75" customHeight="1"/>
    <row r="338" s="1118" customFormat="1" ht="15.75" customHeight="1"/>
    <row r="339" s="1118" customFormat="1" ht="15.75" customHeight="1"/>
    <row r="340" s="1118" customFormat="1" ht="15.75" customHeight="1"/>
    <row r="341" s="1118" customFormat="1" ht="15.75" customHeight="1"/>
    <row r="342" s="1118" customFormat="1" ht="15.75" customHeight="1"/>
    <row r="343" s="1118" customFormat="1" ht="15.75" customHeight="1"/>
    <row r="344" s="1118" customFormat="1" ht="15.75" customHeight="1"/>
    <row r="345" s="1118" customFormat="1" ht="15.75" customHeight="1"/>
    <row r="346" s="1118" customFormat="1" ht="15.75" customHeight="1"/>
    <row r="347" s="1118" customFormat="1" ht="15.75" customHeight="1"/>
    <row r="348" s="1118" customFormat="1" ht="15.75" customHeight="1"/>
    <row r="349" s="1118" customFormat="1" ht="15.75" customHeight="1"/>
    <row r="350" s="1118" customFormat="1" ht="15.75" customHeight="1"/>
    <row r="351" s="1118" customFormat="1" ht="15.75" customHeight="1"/>
    <row r="352" s="1118" customFormat="1" ht="15.75" customHeight="1"/>
    <row r="353" s="1118" customFormat="1" ht="15.75" customHeight="1"/>
    <row r="354" s="1118" customFormat="1" ht="15.75" customHeight="1"/>
    <row r="355" s="1118" customFormat="1" ht="15.75" customHeight="1"/>
    <row r="356" s="1118" customFormat="1" ht="15.75" customHeight="1"/>
    <row r="357" s="1118" customFormat="1" ht="15.75" customHeight="1"/>
    <row r="358" s="1118" customFormat="1" ht="15.75" customHeight="1"/>
    <row r="359" s="1118" customFormat="1" ht="15.75" customHeight="1"/>
    <row r="360" s="1118" customFormat="1" ht="15.75" customHeight="1"/>
    <row r="361" s="1118" customFormat="1" ht="15.75" customHeight="1"/>
    <row r="362" s="1118" customFormat="1" ht="15.75" customHeight="1"/>
    <row r="363" s="1118" customFormat="1" ht="15.75" customHeight="1"/>
    <row r="364" s="1118" customFormat="1" ht="15.75" customHeight="1"/>
    <row r="365" s="1118" customFormat="1" ht="15.75" customHeight="1"/>
    <row r="366" s="1118" customFormat="1" ht="15.75" customHeight="1"/>
    <row r="367" s="1118" customFormat="1" ht="15.75" customHeight="1"/>
    <row r="368" s="1118" customFormat="1" ht="15.75" customHeight="1"/>
    <row r="369" s="1118" customFormat="1" ht="15.75" customHeight="1"/>
    <row r="370" s="1118" customFormat="1" ht="15.75" customHeight="1"/>
    <row r="371" s="1118" customFormat="1" ht="15.75" customHeight="1"/>
    <row r="372" s="1118" customFormat="1" ht="15.75" customHeight="1"/>
    <row r="373" s="1118" customFormat="1" ht="15.75" customHeight="1"/>
    <row r="374" s="1118" customFormat="1" ht="15.75" customHeight="1"/>
    <row r="375" s="1118" customFormat="1" ht="15.75" customHeight="1"/>
    <row r="376" s="1118" customFormat="1" ht="15.75" customHeight="1"/>
    <row r="377" s="1118" customFormat="1" ht="15.75" customHeight="1"/>
    <row r="378" s="1118" customFormat="1" ht="15.75" customHeight="1"/>
    <row r="379" s="1118" customFormat="1" ht="15.75" customHeight="1"/>
    <row r="380" s="1118" customFormat="1" ht="15.75" customHeight="1"/>
    <row r="381" s="1118" customFormat="1" ht="15.75" customHeight="1"/>
    <row r="382" s="1118" customFormat="1" ht="15.75" customHeight="1"/>
    <row r="383" s="1118" customFormat="1" ht="15.75" customHeight="1"/>
    <row r="384" s="1118" customFormat="1" ht="15.75" customHeight="1"/>
    <row r="385" s="1118" customFormat="1" ht="15.75" customHeight="1"/>
    <row r="386" s="1118" customFormat="1" ht="15.75" customHeight="1"/>
    <row r="387" s="1118" customFormat="1" ht="15.75" customHeight="1"/>
    <row r="388" s="1118" customFormat="1" ht="15.75" customHeight="1"/>
    <row r="389" s="1118" customFormat="1" ht="15.75" customHeight="1"/>
    <row r="390" s="1118" customFormat="1" ht="15.75" customHeight="1"/>
    <row r="391" s="1118" customFormat="1" ht="15.75" customHeight="1"/>
    <row r="392" s="1118" customFormat="1" ht="15.75" customHeight="1"/>
    <row r="393" s="1118" customFormat="1" ht="15.75" customHeight="1"/>
    <row r="394" s="1118" customFormat="1" ht="15.75" customHeight="1"/>
    <row r="395" s="1118" customFormat="1" ht="15.75" customHeight="1"/>
    <row r="396" s="1118" customFormat="1" ht="15.75" customHeight="1"/>
    <row r="397" s="1118" customFormat="1" ht="15.75" customHeight="1"/>
    <row r="398" s="1118" customFormat="1" ht="15.75" customHeight="1"/>
    <row r="399" s="1118" customFormat="1" ht="15.75" customHeight="1"/>
    <row r="400" s="1118" customFormat="1" ht="15.75" customHeight="1"/>
    <row r="401" s="1118" customFormat="1" ht="15.75" customHeight="1"/>
    <row r="402" s="1118" customFormat="1" ht="15.75" customHeight="1"/>
    <row r="403" s="1118" customFormat="1" ht="15.75" customHeight="1"/>
    <row r="404" s="1118" customFormat="1" ht="15.75" customHeight="1"/>
    <row r="405" s="1118" customFormat="1" ht="15.75" customHeight="1"/>
    <row r="406" s="1118" customFormat="1" ht="15.75" customHeight="1"/>
    <row r="407" s="1118" customFormat="1" ht="15.75" customHeight="1"/>
    <row r="408" s="1118" customFormat="1" ht="15.75" customHeight="1"/>
    <row r="409" s="1118" customFormat="1" ht="15.75" customHeight="1"/>
    <row r="410" s="1118" customFormat="1" ht="15.75" customHeight="1"/>
    <row r="411" s="1118" customFormat="1" ht="15.75" customHeight="1"/>
    <row r="412" s="1118" customFormat="1" ht="15.75" customHeight="1"/>
    <row r="413" s="1118" customFormat="1" ht="15.75" customHeight="1"/>
    <row r="414" s="1118" customFormat="1" ht="15.75" customHeight="1"/>
    <row r="415" s="1118" customFormat="1" ht="15.75" customHeight="1"/>
    <row r="416" s="1118" customFormat="1" ht="15.75" customHeight="1"/>
    <row r="417" s="1118" customFormat="1" ht="15.75" customHeight="1"/>
    <row r="418" s="1118" customFormat="1" ht="15.75" customHeight="1"/>
    <row r="419" s="1118" customFormat="1" ht="15.75" customHeight="1"/>
    <row r="420" s="1118" customFormat="1" ht="15.75" customHeight="1"/>
    <row r="421" s="1118" customFormat="1" ht="15.75" customHeight="1"/>
    <row r="422" s="1118" customFormat="1" ht="15.75" customHeight="1"/>
    <row r="423" s="1118" customFormat="1" ht="15.75" customHeight="1"/>
    <row r="424" s="1118" customFormat="1" ht="15.75" customHeight="1"/>
    <row r="425" s="1118" customFormat="1" ht="15.75" customHeight="1"/>
    <row r="426" s="1118" customFormat="1" ht="15.75" customHeight="1"/>
    <row r="427" s="1118" customFormat="1" ht="15.75" customHeight="1"/>
    <row r="428" s="1118" customFormat="1" ht="15.75" customHeight="1"/>
    <row r="429" s="1118" customFormat="1" ht="15.75" customHeight="1"/>
    <row r="430" s="1118" customFormat="1" ht="15.75" customHeight="1"/>
    <row r="431" s="1118" customFormat="1" ht="15.75" customHeight="1"/>
    <row r="432" s="1118" customFormat="1" ht="15.75" customHeight="1"/>
    <row r="433" s="1118" customFormat="1" ht="15.75" customHeight="1"/>
    <row r="434" s="1118" customFormat="1" ht="15.75" customHeight="1"/>
    <row r="435" s="1118" customFormat="1" ht="15.75" customHeight="1"/>
    <row r="436" s="1118" customFormat="1" ht="15.75" customHeight="1"/>
    <row r="437" s="1118" customFormat="1" ht="15.75" customHeight="1"/>
    <row r="438" s="1118" customFormat="1" ht="15.75" customHeight="1"/>
    <row r="439" s="1118" customFormat="1" ht="15.75" customHeight="1"/>
    <row r="440" s="1118" customFormat="1" ht="15.75" customHeight="1"/>
    <row r="441" s="1118" customFormat="1" ht="15.75" customHeight="1"/>
    <row r="442" s="1118" customFormat="1" ht="15.75" customHeight="1"/>
    <row r="443" s="1118" customFormat="1" ht="15.75" customHeight="1"/>
    <row r="444" s="1118" customFormat="1" ht="15.75" customHeight="1"/>
    <row r="445" s="1118" customFormat="1" ht="15.75" customHeight="1"/>
    <row r="446" s="1118" customFormat="1" ht="15.75" customHeight="1"/>
    <row r="447" s="1118" customFormat="1" ht="15.75" customHeight="1"/>
    <row r="448" s="1118" customFormat="1" ht="15.75" customHeight="1"/>
    <row r="449" s="1118" customFormat="1" ht="15.75" customHeight="1"/>
    <row r="450" s="1118" customFormat="1" ht="15.75" customHeight="1"/>
    <row r="451" s="1118" customFormat="1" ht="15.75" customHeight="1"/>
    <row r="452" s="1118" customFormat="1" ht="15.75" customHeight="1"/>
    <row r="453" s="1118" customFormat="1" ht="15.75" customHeight="1"/>
    <row r="454" s="1118" customFormat="1" ht="15.75" customHeight="1"/>
    <row r="455" s="1118" customFormat="1" ht="15.75" customHeight="1"/>
    <row r="456" s="1118" customFormat="1" ht="15.75" customHeight="1"/>
    <row r="457" s="1118" customFormat="1" ht="15.75" customHeight="1"/>
    <row r="458" s="1118" customFormat="1" ht="15.75" customHeight="1"/>
    <row r="459" s="1118" customFormat="1" ht="15.75" customHeight="1"/>
    <row r="460" s="1118" customFormat="1" ht="15.75" customHeight="1"/>
    <row r="461" s="1118" customFormat="1" ht="15.75" customHeight="1"/>
    <row r="462" s="1118" customFormat="1" ht="15.75" customHeight="1"/>
    <row r="463" s="1118" customFormat="1" ht="15.75" customHeight="1"/>
    <row r="464" s="1118" customFormat="1" ht="15.75" customHeight="1"/>
    <row r="465" s="1118" customFormat="1" ht="15.75" customHeight="1"/>
    <row r="466" s="1118" customFormat="1" ht="15.75" customHeight="1"/>
    <row r="467" s="1118" customFormat="1" ht="15.75" customHeight="1"/>
    <row r="468" s="1118" customFormat="1" ht="15.75" customHeight="1"/>
    <row r="469" s="1118" customFormat="1" ht="15.75" customHeight="1"/>
    <row r="470" s="1118" customFormat="1" ht="15.75" customHeight="1"/>
    <row r="471" s="1118" customFormat="1" ht="15.75" customHeight="1"/>
    <row r="472" s="1118" customFormat="1" ht="15.75" customHeight="1"/>
    <row r="473" s="1118" customFormat="1" ht="15.75" customHeight="1"/>
    <row r="474" s="1118" customFormat="1" ht="15.75" customHeight="1"/>
    <row r="475" s="1118" customFormat="1" ht="15.75" customHeight="1"/>
    <row r="476" s="1118" customFormat="1" ht="15.75" customHeight="1"/>
    <row r="477" s="1118" customFormat="1" ht="15.75" customHeight="1"/>
    <row r="478" s="1118" customFormat="1" ht="15.75" customHeight="1"/>
    <row r="479" s="1118" customFormat="1" ht="15.75" customHeight="1"/>
    <row r="480" s="1118" customFormat="1" ht="15.75" customHeight="1"/>
    <row r="481" s="1118" customFormat="1" ht="15.75" customHeight="1"/>
    <row r="482" s="1118" customFormat="1" ht="15.75" customHeight="1"/>
    <row r="483" s="1118" customFormat="1" ht="15.75" customHeight="1"/>
    <row r="484" s="1118" customFormat="1" ht="15.75" customHeight="1"/>
    <row r="485" s="1118" customFormat="1" ht="15.75" customHeight="1"/>
    <row r="486" s="1118" customFormat="1" ht="15.75" customHeight="1"/>
    <row r="487" s="1118" customFormat="1" ht="15.75" customHeight="1"/>
    <row r="488" s="1118" customFormat="1" ht="15.75" customHeight="1"/>
    <row r="489" s="1118" customFormat="1" ht="15.75" customHeight="1"/>
    <row r="490" s="1118" customFormat="1" ht="15.75" customHeight="1"/>
    <row r="491" s="1118" customFormat="1" ht="15.75" customHeight="1"/>
    <row r="492" s="1118" customFormat="1" ht="15.75" customHeight="1"/>
    <row r="493" s="1118" customFormat="1" ht="15.75" customHeight="1"/>
    <row r="494" s="1118" customFormat="1" ht="15.75" customHeight="1"/>
    <row r="495" s="1118" customFormat="1" ht="15.75" customHeight="1"/>
    <row r="496" s="1118" customFormat="1" ht="15.75" customHeight="1"/>
    <row r="497" s="1118" customFormat="1" ht="15.75" customHeight="1"/>
    <row r="498" s="1118" customFormat="1" ht="15.75" customHeight="1"/>
    <row r="499" s="1118" customFormat="1" ht="15.75" customHeight="1"/>
    <row r="500" s="1118" customFormat="1" ht="15.75" customHeight="1"/>
    <row r="501" s="1118" customFormat="1" ht="15.75" customHeight="1"/>
    <row r="502" s="1118" customFormat="1" ht="15.75" customHeight="1"/>
    <row r="503" s="1118" customFormat="1" ht="15.75" customHeight="1"/>
    <row r="504" s="1118" customFormat="1" ht="15.75" customHeight="1"/>
    <row r="505" s="1118" customFormat="1" ht="15.75" customHeight="1"/>
    <row r="506" s="1118" customFormat="1" ht="15.75" customHeight="1"/>
    <row r="507" s="1118" customFormat="1" ht="15.75" customHeight="1"/>
    <row r="508" s="1118" customFormat="1" ht="15.75" customHeight="1"/>
    <row r="509" s="1118" customFormat="1" ht="15.75" customHeight="1"/>
    <row r="510" s="1118" customFormat="1" ht="15.75" customHeight="1"/>
    <row r="511" s="1118" customFormat="1" ht="15.75" customHeight="1"/>
    <row r="512" s="1118" customFormat="1" ht="15.75" customHeight="1"/>
    <row r="513" s="1118" customFormat="1" ht="15.75" customHeight="1"/>
    <row r="514" s="1118" customFormat="1" ht="15.75" customHeight="1"/>
    <row r="515" s="1118" customFormat="1" ht="15.75" customHeight="1"/>
    <row r="516" s="1118" customFormat="1" ht="15.75" customHeight="1"/>
    <row r="517" s="1118" customFormat="1" ht="15.75" customHeight="1"/>
    <row r="518" s="1118" customFormat="1" ht="15.75" customHeight="1"/>
    <row r="519" s="1118" customFormat="1" ht="15.75" customHeight="1"/>
    <row r="520" s="1118" customFormat="1" ht="15.75" customHeight="1"/>
    <row r="521" s="1118" customFormat="1" ht="15.75" customHeight="1"/>
    <row r="522" s="1118" customFormat="1" ht="15.75" customHeight="1"/>
    <row r="523" s="1118" customFormat="1" ht="15.75" customHeight="1"/>
    <row r="524" s="1118" customFormat="1" ht="15.75" customHeight="1"/>
    <row r="525" s="1118" customFormat="1" ht="15.75" customHeight="1"/>
    <row r="526" s="1118" customFormat="1" ht="15.75" customHeight="1"/>
    <row r="527" s="1118" customFormat="1" ht="15.75" customHeight="1"/>
    <row r="528" s="1118" customFormat="1" ht="15.75" customHeight="1"/>
    <row r="529" s="1118" customFormat="1" ht="15.75" customHeight="1"/>
    <row r="530" s="1118" customFormat="1" ht="15.75" customHeight="1"/>
    <row r="531" s="1118" customFormat="1" ht="15.75" customHeight="1"/>
    <row r="532" s="1118" customFormat="1" ht="15.75" customHeight="1"/>
    <row r="533" s="1118" customFormat="1" ht="15.75" customHeight="1"/>
    <row r="534" s="1118" customFormat="1" ht="15.75" customHeight="1"/>
    <row r="535" s="1118" customFormat="1" ht="15.75" customHeight="1"/>
    <row r="536" s="1118" customFormat="1" ht="15.75" customHeight="1"/>
    <row r="537" s="1118" customFormat="1" ht="15.75" customHeight="1"/>
    <row r="538" s="1118" customFormat="1" ht="15.75" customHeight="1"/>
    <row r="539" s="1118" customFormat="1" ht="15.75" customHeight="1"/>
    <row r="540" s="1118" customFormat="1" ht="15.75" customHeight="1"/>
    <row r="541" s="1118" customFormat="1" ht="15.75" customHeight="1"/>
    <row r="542" s="1118" customFormat="1" ht="15.75" customHeight="1"/>
    <row r="543" s="1118" customFormat="1" ht="15.75" customHeight="1"/>
    <row r="544" s="1118" customFormat="1" ht="15.75" customHeight="1"/>
    <row r="545" s="1118" customFormat="1" ht="15.75" customHeight="1"/>
    <row r="546" s="1118" customFormat="1" ht="15.75" customHeight="1"/>
    <row r="547" s="1118" customFormat="1" ht="15.75" customHeight="1"/>
    <row r="548" s="1118" customFormat="1" ht="15.75" customHeight="1"/>
    <row r="549" s="1118" customFormat="1" ht="15.75" customHeight="1"/>
    <row r="550" s="1118" customFormat="1" ht="15.75" customHeight="1"/>
    <row r="551" s="1118" customFormat="1" ht="15.75" customHeight="1"/>
    <row r="552" s="1118" customFormat="1" ht="15.75" customHeight="1"/>
    <row r="553" s="1118" customFormat="1" ht="15.75" customHeight="1"/>
    <row r="554" s="1118" customFormat="1" ht="15.75" customHeight="1"/>
    <row r="555" s="1118" customFormat="1" ht="15.75" customHeight="1"/>
    <row r="556" s="1118" customFormat="1" ht="15.75" customHeight="1"/>
    <row r="557" s="1118" customFormat="1" ht="15.75" customHeight="1"/>
    <row r="558" s="1118" customFormat="1" ht="15.75" customHeight="1"/>
    <row r="559" s="1118" customFormat="1" ht="15.75" customHeight="1"/>
    <row r="560" s="1118" customFormat="1" ht="15.75" customHeight="1"/>
    <row r="561" s="1118" customFormat="1" ht="15.75" customHeight="1"/>
    <row r="562" s="1118" customFormat="1" ht="15.75" customHeight="1"/>
    <row r="563" s="1118" customFormat="1" ht="15.75" customHeight="1"/>
    <row r="564" s="1118" customFormat="1" ht="15.75" customHeight="1"/>
    <row r="565" s="1118" customFormat="1" ht="15.75" customHeight="1"/>
    <row r="566" s="1118" customFormat="1" ht="15.75" customHeight="1"/>
    <row r="567" s="1118" customFormat="1" ht="15.75" customHeight="1"/>
    <row r="568" s="1118" customFormat="1" ht="15.75" customHeight="1"/>
    <row r="569" s="1118" customFormat="1" ht="15.75" customHeight="1"/>
    <row r="570" s="1118" customFormat="1" ht="15.75" customHeight="1"/>
    <row r="571" s="1118" customFormat="1" ht="15.75" customHeight="1"/>
    <row r="572" s="1118" customFormat="1" ht="15.75" customHeight="1"/>
    <row r="573" s="1118" customFormat="1" ht="15.75" customHeight="1"/>
    <row r="574" s="1118" customFormat="1" ht="15.75" customHeight="1"/>
    <row r="575" s="1118" customFormat="1" ht="15.75" customHeight="1"/>
    <row r="576" s="1118" customFormat="1" ht="15.75" customHeight="1"/>
    <row r="577" s="1118" customFormat="1" ht="15.75" customHeight="1"/>
    <row r="578" s="1118" customFormat="1" ht="15.75" customHeight="1"/>
    <row r="579" s="1118" customFormat="1" ht="15.75" customHeight="1"/>
    <row r="580" s="1118" customFormat="1" ht="15.75" customHeight="1"/>
    <row r="581" s="1118" customFormat="1" ht="15.75" customHeight="1"/>
    <row r="582" s="1118" customFormat="1" ht="15.75" customHeight="1"/>
    <row r="583" s="1118" customFormat="1" ht="15.75" customHeight="1"/>
    <row r="584" s="1118" customFormat="1" ht="15.75" customHeight="1"/>
    <row r="585" s="1118" customFormat="1" ht="15.75" customHeight="1"/>
    <row r="586" s="1118" customFormat="1" ht="15.75" customHeight="1"/>
    <row r="587" s="1118" customFormat="1" ht="15.75" customHeight="1"/>
    <row r="588" s="1118" customFormat="1" ht="15.75" customHeight="1"/>
    <row r="589" s="1118" customFormat="1" ht="15.75" customHeight="1"/>
    <row r="590" s="1118" customFormat="1" ht="15.75" customHeight="1"/>
    <row r="591" s="1118" customFormat="1" ht="15.75" customHeight="1"/>
    <row r="592" s="1118" customFormat="1" ht="15.75" customHeight="1"/>
    <row r="593" s="1118" customFormat="1" ht="15.75" customHeight="1"/>
    <row r="594" s="1118" customFormat="1" ht="15.75" customHeight="1"/>
    <row r="595" s="1118" customFormat="1" ht="15.75" customHeight="1"/>
    <row r="596" s="1118" customFormat="1" ht="15.75" customHeight="1"/>
    <row r="597" s="1118" customFormat="1" ht="15.75" customHeight="1"/>
    <row r="598" s="1118" customFormat="1" ht="15.75" customHeight="1"/>
    <row r="599" s="1118" customFormat="1" ht="15.75" customHeight="1"/>
    <row r="600" s="1118" customFormat="1" ht="15.75" customHeight="1"/>
    <row r="601" s="1118" customFormat="1" ht="15.75" customHeight="1"/>
    <row r="602" s="1118" customFormat="1" ht="15.75" customHeight="1"/>
    <row r="603" s="1118" customFormat="1" ht="15.75" customHeight="1"/>
    <row r="604" s="1118" customFormat="1" ht="15.75" customHeight="1"/>
    <row r="605" s="1118" customFormat="1" ht="15.75" customHeight="1"/>
    <row r="606" s="1118" customFormat="1" ht="15.75" customHeight="1"/>
    <row r="607" s="1118" customFormat="1" ht="15.75" customHeight="1"/>
    <row r="608" s="1118" customFormat="1" ht="15.75" customHeight="1"/>
    <row r="609" s="1118" customFormat="1" ht="15.75" customHeight="1"/>
    <row r="610" s="1118" customFormat="1" ht="15.75" customHeight="1"/>
    <row r="611" s="1118" customFormat="1" ht="15.75" customHeight="1"/>
    <row r="612" s="1118" customFormat="1" ht="15.75" customHeight="1"/>
    <row r="613" s="1118" customFormat="1" ht="15.75" customHeight="1"/>
    <row r="614" s="1118" customFormat="1" ht="15.75" customHeight="1"/>
    <row r="615" s="1118" customFormat="1" ht="15.75" customHeight="1"/>
    <row r="616" s="1118" customFormat="1" ht="15.75" customHeight="1"/>
    <row r="617" s="1118" customFormat="1" ht="15.75" customHeight="1"/>
    <row r="618" s="1118" customFormat="1" ht="15.75" customHeight="1"/>
    <row r="619" s="1118" customFormat="1" ht="15.75" customHeight="1"/>
    <row r="620" s="1118" customFormat="1" ht="15.75" customHeight="1"/>
    <row r="621" s="1118" customFormat="1" ht="15.75" customHeight="1"/>
    <row r="622" s="1118" customFormat="1" ht="15.75" customHeight="1"/>
    <row r="623" s="1118" customFormat="1" ht="15.75" customHeight="1"/>
    <row r="624" s="1118" customFormat="1" ht="15.75" customHeight="1"/>
    <row r="625" s="1118" customFormat="1" ht="15.75" customHeight="1"/>
    <row r="626" s="1118" customFormat="1" ht="15.75" customHeight="1"/>
    <row r="627" s="1118" customFormat="1" ht="15.75" customHeight="1"/>
    <row r="628" s="1118" customFormat="1" ht="15.75" customHeight="1"/>
    <row r="629" s="1118" customFormat="1" ht="15.75" customHeight="1"/>
    <row r="630" s="1118" customFormat="1" ht="15.75" customHeight="1"/>
    <row r="631" s="1118" customFormat="1" ht="15.75" customHeight="1"/>
    <row r="632" s="1118" customFormat="1" ht="15.75" customHeight="1"/>
    <row r="633" s="1118" customFormat="1" ht="15.75" customHeight="1"/>
    <row r="634" s="1118" customFormat="1" ht="15.75" customHeight="1"/>
    <row r="635" s="1118" customFormat="1" ht="15.75" customHeight="1"/>
    <row r="636" s="1118" customFormat="1" ht="15.75" customHeight="1"/>
    <row r="637" s="1118" customFormat="1" ht="15.75" customHeight="1"/>
    <row r="638" s="1118" customFormat="1" ht="15.75" customHeight="1"/>
    <row r="639" s="1118" customFormat="1" ht="15.75" customHeight="1"/>
    <row r="640" s="1118" customFormat="1" ht="15.75" customHeight="1"/>
    <row r="641" s="1118" customFormat="1" ht="15.75" customHeight="1"/>
    <row r="642" s="1118" customFormat="1" ht="15.75" customHeight="1"/>
    <row r="643" s="1118" customFormat="1" ht="15.75" customHeight="1"/>
    <row r="644" s="1118" customFormat="1" ht="15.75" customHeight="1"/>
    <row r="645" s="1118" customFormat="1" ht="15.75" customHeight="1"/>
    <row r="646" s="1118" customFormat="1" ht="15.75" customHeight="1"/>
    <row r="647" s="1118" customFormat="1" ht="15.75" customHeight="1"/>
    <row r="648" s="1118" customFormat="1" ht="15.75" customHeight="1"/>
    <row r="649" s="1118" customFormat="1" ht="15.75" customHeight="1"/>
    <row r="650" s="1118" customFormat="1" ht="15.75" customHeight="1"/>
    <row r="651" s="1118" customFormat="1" ht="15.75" customHeight="1"/>
    <row r="652" s="1118" customFormat="1" ht="15.75" customHeight="1"/>
    <row r="653" s="1118" customFormat="1" ht="15.75" customHeight="1"/>
    <row r="654" s="1118" customFormat="1" ht="15.75" customHeight="1"/>
    <row r="655" s="1118" customFormat="1" ht="15.75" customHeight="1"/>
    <row r="656" s="1118" customFormat="1" ht="15.75" customHeight="1"/>
    <row r="657" s="1118" customFormat="1" ht="15.75" customHeight="1"/>
    <row r="658" s="1118" customFormat="1" ht="15.75" customHeight="1"/>
    <row r="659" s="1118" customFormat="1" ht="15.75" customHeight="1"/>
    <row r="660" s="1118" customFormat="1" ht="15.75" customHeight="1"/>
    <row r="661" s="1118" customFormat="1" ht="15.75" customHeight="1"/>
    <row r="662" s="1118" customFormat="1" ht="15.75" customHeight="1"/>
    <row r="663" s="1118" customFormat="1" ht="15.75" customHeight="1"/>
    <row r="664" s="1118" customFormat="1" ht="15.75" customHeight="1"/>
    <row r="665" s="1118" customFormat="1" ht="15.75" customHeight="1"/>
    <row r="666" s="1118" customFormat="1" ht="15.75" customHeight="1"/>
    <row r="667" s="1118" customFormat="1" ht="15.75" customHeight="1"/>
    <row r="668" s="1118" customFormat="1" ht="15.75" customHeight="1"/>
    <row r="669" s="1118" customFormat="1" ht="15.75" customHeight="1"/>
    <row r="670" s="1118" customFormat="1" ht="15.75" customHeight="1"/>
    <row r="671" s="1118" customFormat="1" ht="15.75" customHeight="1"/>
    <row r="672" s="1118" customFormat="1" ht="15.75" customHeight="1"/>
    <row r="673" s="1118" customFormat="1" ht="15.75" customHeight="1"/>
    <row r="674" s="1118" customFormat="1" ht="15.75" customHeight="1"/>
    <row r="675" s="1118" customFormat="1" ht="15.75" customHeight="1"/>
    <row r="676" s="1118" customFormat="1" ht="15.75" customHeight="1"/>
    <row r="677" s="1118" customFormat="1" ht="15.75" customHeight="1"/>
    <row r="678" s="1118" customFormat="1" ht="15.75" customHeight="1"/>
    <row r="679" s="1118" customFormat="1" ht="15.75" customHeight="1"/>
    <row r="680" s="1118" customFormat="1" ht="15.75" customHeight="1"/>
    <row r="681" s="1118" customFormat="1" ht="15.75" customHeight="1"/>
    <row r="682" s="1118" customFormat="1" ht="15.75" customHeight="1"/>
    <row r="683" s="1118" customFormat="1" ht="15.75" customHeight="1"/>
    <row r="684" s="1118" customFormat="1" ht="15.75" customHeight="1"/>
    <row r="685" s="1118" customFormat="1" ht="15.75" customHeight="1"/>
    <row r="686" s="1118" customFormat="1" ht="15.75" customHeight="1"/>
    <row r="687" s="1118" customFormat="1" ht="15.75" customHeight="1"/>
    <row r="688" s="1118" customFormat="1" ht="15.75" customHeight="1"/>
    <row r="689" s="1118" customFormat="1" ht="15.75" customHeight="1"/>
    <row r="690" s="1118" customFormat="1" ht="15.75" customHeight="1"/>
    <row r="691" s="1118" customFormat="1" ht="15.75" customHeight="1"/>
    <row r="692" s="1118" customFormat="1" ht="15.75" customHeight="1"/>
    <row r="693" s="1118" customFormat="1" ht="15.75" customHeight="1"/>
    <row r="694" s="1118" customFormat="1" ht="15.75" customHeight="1"/>
    <row r="695" s="1118" customFormat="1" ht="15.75" customHeight="1"/>
    <row r="696" s="1118" customFormat="1" ht="15.75" customHeight="1"/>
    <row r="697" s="1118" customFormat="1" ht="15.75" customHeight="1"/>
    <row r="698" s="1118" customFormat="1" ht="15.75" customHeight="1"/>
    <row r="699" s="1118" customFormat="1" ht="15.75" customHeight="1"/>
    <row r="700" s="1118" customFormat="1" ht="15.75" customHeight="1"/>
    <row r="701" s="1118" customFormat="1" ht="15.75" customHeight="1"/>
    <row r="702" s="1118" customFormat="1" ht="15.75" customHeight="1"/>
    <row r="703" s="1118" customFormat="1" ht="15.75" customHeight="1"/>
    <row r="704" s="1118" customFormat="1" ht="15.75" customHeight="1"/>
    <row r="705" s="1118" customFormat="1" ht="15.75" customHeight="1"/>
    <row r="706" s="1118" customFormat="1" ht="15.75" customHeight="1"/>
    <row r="707" s="1118" customFormat="1" ht="15.75" customHeight="1"/>
    <row r="708" s="1118" customFormat="1" ht="15.75" customHeight="1"/>
    <row r="709" s="1118" customFormat="1" ht="15.75" customHeight="1"/>
    <row r="710" s="1118" customFormat="1" ht="15.75" customHeight="1"/>
    <row r="711" s="1118" customFormat="1" ht="15.75" customHeight="1"/>
    <row r="712" s="1118" customFormat="1" ht="15.75" customHeight="1"/>
    <row r="713" s="1118" customFormat="1" ht="15.75" customHeight="1"/>
    <row r="714" s="1118" customFormat="1" ht="15.75" customHeight="1"/>
    <row r="715" s="1118" customFormat="1" ht="15.75" customHeight="1"/>
    <row r="716" s="1118" customFormat="1" ht="15.75" customHeight="1"/>
    <row r="717" s="1118" customFormat="1" ht="15.75" customHeight="1"/>
    <row r="718" s="1118" customFormat="1" ht="15.75" customHeight="1"/>
    <row r="719" s="1118" customFormat="1" ht="15.75" customHeight="1"/>
    <row r="720" s="1118" customFormat="1" ht="15.75" customHeight="1"/>
    <row r="721" s="1118" customFormat="1" ht="15.75" customHeight="1"/>
    <row r="722" s="1118" customFormat="1" ht="15.75" customHeight="1"/>
    <row r="723" s="1118" customFormat="1" ht="15.75" customHeight="1"/>
    <row r="724" s="1118" customFormat="1" ht="15.75" customHeight="1"/>
    <row r="725" s="1118" customFormat="1" ht="15.75" customHeight="1"/>
    <row r="726" s="1118" customFormat="1" ht="15.75" customHeight="1"/>
    <row r="727" s="1118" customFormat="1" ht="15.75" customHeight="1"/>
    <row r="728" s="1118" customFormat="1" ht="15.75" customHeight="1"/>
    <row r="729" s="1118" customFormat="1" ht="15.75" customHeight="1"/>
    <row r="730" s="1118" customFormat="1" ht="15.75" customHeight="1"/>
    <row r="731" s="1118" customFormat="1" ht="15.75" customHeight="1"/>
    <row r="732" s="1118" customFormat="1" ht="15.75" customHeight="1"/>
    <row r="733" s="1118" customFormat="1" ht="15.75" customHeight="1"/>
    <row r="734" s="1118" customFormat="1" ht="15.75" customHeight="1"/>
    <row r="735" s="1118" customFormat="1" ht="15.75" customHeight="1"/>
    <row r="736" s="1118" customFormat="1" ht="15.75" customHeight="1"/>
    <row r="737" s="1118" customFormat="1" ht="15.75" customHeight="1"/>
    <row r="738" s="1118" customFormat="1" ht="15.75" customHeight="1"/>
    <row r="739" s="1118" customFormat="1" ht="15.75" customHeight="1"/>
    <row r="740" s="1118" customFormat="1" ht="15.75" customHeight="1"/>
    <row r="741" s="1118" customFormat="1" ht="15.75" customHeight="1"/>
    <row r="742" s="1118" customFormat="1" ht="15.75" customHeight="1"/>
    <row r="743" s="1118" customFormat="1" ht="15.75" customHeight="1"/>
    <row r="744" s="1118" customFormat="1" ht="15.75" customHeight="1"/>
    <row r="745" s="1118" customFormat="1" ht="15.75" customHeight="1"/>
    <row r="746" s="1118" customFormat="1" ht="15.75" customHeight="1"/>
    <row r="747" s="1118" customFormat="1" ht="15.75" customHeight="1"/>
    <row r="748" s="1118" customFormat="1" ht="15.75" customHeight="1"/>
    <row r="749" s="1118" customFormat="1" ht="15.75" customHeight="1"/>
    <row r="750" s="1118" customFormat="1" ht="15.75" customHeight="1"/>
    <row r="751" s="1118" customFormat="1" ht="15.75" customHeight="1"/>
    <row r="752" s="1118" customFormat="1" ht="15.75" customHeight="1"/>
    <row r="753" s="1118" customFormat="1" ht="15.75" customHeight="1"/>
    <row r="754" s="1118" customFormat="1" ht="15.75" customHeight="1"/>
    <row r="755" s="1118" customFormat="1" ht="15.75" customHeight="1"/>
    <row r="756" s="1118" customFormat="1" ht="15.75" customHeight="1"/>
    <row r="757" s="1118" customFormat="1" ht="15.75" customHeight="1"/>
    <row r="758" s="1118" customFormat="1" ht="15.75" customHeight="1"/>
    <row r="759" s="1118" customFormat="1" ht="15.75" customHeight="1"/>
    <row r="760" s="1118" customFormat="1" ht="15.75" customHeight="1"/>
    <row r="761" s="1118" customFormat="1" ht="15.75" customHeight="1"/>
    <row r="762" s="1118" customFormat="1" ht="15.75" customHeight="1"/>
    <row r="763" s="1118" customFormat="1" ht="15.75" customHeight="1"/>
    <row r="764" s="1118" customFormat="1" ht="15.75" customHeight="1"/>
    <row r="765" s="1118" customFormat="1" ht="15.75" customHeight="1"/>
    <row r="766" s="1118" customFormat="1" ht="15.75" customHeight="1"/>
    <row r="767" s="1118" customFormat="1" ht="15.75" customHeight="1"/>
    <row r="768" s="1118" customFormat="1" ht="15.75" customHeight="1"/>
    <row r="769" s="1118" customFormat="1" ht="15.75" customHeight="1"/>
    <row r="770" s="1118" customFormat="1" ht="15.75" customHeight="1"/>
    <row r="771" s="1118" customFormat="1" ht="15.75" customHeight="1"/>
    <row r="772" s="1118" customFormat="1" ht="15.75" customHeight="1"/>
    <row r="773" s="1118" customFormat="1" ht="15.75" customHeight="1"/>
    <row r="774" s="1118" customFormat="1" ht="15.75" customHeight="1"/>
    <row r="775" s="1118" customFormat="1" ht="15.75" customHeight="1"/>
    <row r="776" s="1118" customFormat="1" ht="15.75" customHeight="1"/>
    <row r="777" s="1118" customFormat="1" ht="15.75" customHeight="1"/>
    <row r="778" s="1118" customFormat="1" ht="15.75" customHeight="1"/>
    <row r="779" s="1118" customFormat="1" ht="15.75" customHeight="1"/>
    <row r="780" s="1118" customFormat="1" ht="15.75" customHeight="1"/>
    <row r="781" s="1118" customFormat="1" ht="15.75" customHeight="1"/>
    <row r="782" s="1118" customFormat="1" ht="15.75" customHeight="1"/>
    <row r="783" s="1118" customFormat="1" ht="15.75" customHeight="1"/>
    <row r="784" s="1118" customFormat="1" ht="15.75" customHeight="1"/>
    <row r="785" s="1118" customFormat="1" ht="15.75" customHeight="1"/>
    <row r="786" s="1118" customFormat="1" ht="15.75" customHeight="1"/>
    <row r="787" s="1118" customFormat="1" ht="15.75" customHeight="1"/>
    <row r="788" s="1118" customFormat="1" ht="15.75" customHeight="1"/>
    <row r="789" s="1118" customFormat="1" ht="15.75" customHeight="1"/>
    <row r="790" s="1118" customFormat="1" ht="15.75" customHeight="1"/>
    <row r="791" s="1118" customFormat="1" ht="15.75" customHeight="1"/>
    <row r="792" s="1118" customFormat="1" ht="15.75" customHeight="1"/>
    <row r="793" s="1118" customFormat="1" ht="15.75" customHeight="1"/>
    <row r="794" s="1118" customFormat="1" ht="15.75" customHeight="1"/>
    <row r="795" s="1118" customFormat="1" ht="15.75" customHeight="1"/>
    <row r="796" s="1118" customFormat="1" ht="15.75" customHeight="1"/>
    <row r="797" s="1118" customFormat="1" ht="15.75" customHeight="1"/>
    <row r="798" s="1118" customFormat="1" ht="15.75" customHeight="1"/>
    <row r="799" s="1118" customFormat="1" ht="15.75" customHeight="1"/>
    <row r="800" s="1118" customFormat="1" ht="15.75" customHeight="1"/>
    <row r="801" s="1118" customFormat="1" ht="15.75" customHeight="1"/>
    <row r="802" s="1118" customFormat="1" ht="15.75" customHeight="1"/>
    <row r="803" s="1118" customFormat="1" ht="15.75" customHeight="1"/>
    <row r="804" s="1118" customFormat="1" ht="15.75" customHeight="1"/>
    <row r="805" s="1118" customFormat="1" ht="15.75" customHeight="1"/>
    <row r="806" s="1118" customFormat="1" ht="15.75" customHeight="1"/>
    <row r="807" s="1118" customFormat="1" ht="15.75" customHeight="1"/>
    <row r="808" s="1118" customFormat="1" ht="15.75" customHeight="1"/>
    <row r="809" s="1118" customFormat="1" ht="15.75" customHeight="1"/>
    <row r="810" s="1118" customFormat="1" ht="15.75" customHeight="1"/>
    <row r="811" s="1118" customFormat="1" ht="15.75" customHeight="1"/>
    <row r="812" s="1118" customFormat="1" ht="15.75" customHeight="1"/>
    <row r="813" s="1118" customFormat="1" ht="15.75" customHeight="1"/>
    <row r="814" s="1118" customFormat="1" ht="15.75" customHeight="1"/>
    <row r="815" s="1118" customFormat="1" ht="15.75" customHeight="1"/>
    <row r="816" s="1118" customFormat="1" ht="15.75" customHeight="1"/>
    <row r="817" s="1118" customFormat="1" ht="15.75" customHeight="1"/>
    <row r="818" s="1118" customFormat="1" ht="15.75" customHeight="1"/>
    <row r="819" s="1118" customFormat="1" ht="15.75" customHeight="1"/>
    <row r="820" s="1118" customFormat="1" ht="15.75" customHeight="1"/>
    <row r="821" s="1118" customFormat="1" ht="15.75" customHeight="1"/>
    <row r="822" s="1118" customFormat="1" ht="15.75" customHeight="1"/>
    <row r="823" s="1118" customFormat="1" ht="15.75" customHeight="1"/>
    <row r="824" s="1118" customFormat="1" ht="15.75" customHeight="1"/>
    <row r="825" s="1118" customFormat="1" ht="15.75" customHeight="1"/>
    <row r="826" s="1118" customFormat="1" ht="15.75" customHeight="1"/>
    <row r="827" s="1118" customFormat="1" ht="15.75" customHeight="1"/>
    <row r="828" s="1118" customFormat="1" ht="15.75" customHeight="1"/>
    <row r="829" s="1118" customFormat="1" ht="15.75" customHeight="1"/>
    <row r="830" s="1118" customFormat="1" ht="15.75" customHeight="1"/>
    <row r="831" s="1118" customFormat="1" ht="15.75" customHeight="1"/>
    <row r="832" s="1118" customFormat="1" ht="15.75" customHeight="1"/>
    <row r="833" s="1118" customFormat="1" ht="15.75" customHeight="1"/>
    <row r="834" s="1118" customFormat="1" ht="15.75" customHeight="1"/>
    <row r="835" s="1118" customFormat="1" ht="15.75" customHeight="1"/>
    <row r="836" s="1118" customFormat="1" ht="15.75" customHeight="1"/>
    <row r="837" s="1118" customFormat="1" ht="15.75" customHeight="1"/>
    <row r="838" s="1118" customFormat="1" ht="15.75" customHeight="1"/>
    <row r="839" s="1118" customFormat="1" ht="15.75" customHeight="1"/>
    <row r="840" s="1118" customFormat="1" ht="15.75" customHeight="1"/>
    <row r="841" s="1118" customFormat="1" ht="15.75" customHeight="1"/>
    <row r="842" s="1118" customFormat="1" ht="15.75" customHeight="1"/>
    <row r="843" s="1118" customFormat="1" ht="15.75" customHeight="1"/>
    <row r="844" s="1118" customFormat="1" ht="15.75" customHeight="1"/>
    <row r="845" s="1118" customFormat="1" ht="15.75" customHeight="1"/>
    <row r="846" s="1118" customFormat="1" ht="15.75" customHeight="1"/>
    <row r="847" s="1118" customFormat="1" ht="15.75" customHeight="1"/>
    <row r="848" s="1118" customFormat="1" ht="15.75" customHeight="1"/>
    <row r="849" s="1118" customFormat="1" ht="15.75" customHeight="1"/>
    <row r="850" s="1118" customFormat="1" ht="15.75" customHeight="1"/>
    <row r="851" s="1118" customFormat="1" ht="15.75" customHeight="1"/>
    <row r="852" s="1118" customFormat="1" ht="15.75" customHeight="1"/>
    <row r="853" s="1118" customFormat="1" ht="15.75" customHeight="1"/>
    <row r="854" s="1118" customFormat="1" ht="15.75" customHeight="1"/>
    <row r="855" s="1118" customFormat="1" ht="15.75" customHeight="1"/>
    <row r="856" s="1118" customFormat="1" ht="15.75" customHeight="1"/>
    <row r="857" s="1118" customFormat="1" ht="15.75" customHeight="1"/>
    <row r="858" s="1118" customFormat="1" ht="15.75" customHeight="1"/>
    <row r="859" s="1118" customFormat="1" ht="15.75" customHeight="1"/>
    <row r="860" s="1118" customFormat="1" ht="15.75" customHeight="1"/>
    <row r="861" s="1118" customFormat="1" ht="15.75" customHeight="1"/>
    <row r="862" s="1118" customFormat="1" ht="15.75" customHeight="1"/>
    <row r="863" s="1118" customFormat="1" ht="15.75" customHeight="1"/>
    <row r="864" s="1118" customFormat="1" ht="15.75" customHeight="1"/>
    <row r="865" s="1118" customFormat="1" ht="15.75" customHeight="1"/>
    <row r="866" s="1118" customFormat="1" ht="15.75" customHeight="1"/>
    <row r="867" s="1118" customFormat="1" ht="15.75" customHeight="1"/>
    <row r="868" s="1118" customFormat="1" ht="15.75" customHeight="1"/>
    <row r="869" s="1118" customFormat="1" ht="15.75" customHeight="1"/>
    <row r="870" s="1118" customFormat="1" ht="15.75" customHeight="1"/>
    <row r="871" s="1118" customFormat="1" ht="15.75" customHeight="1"/>
    <row r="872" s="1118" customFormat="1" ht="15.75" customHeight="1"/>
    <row r="873" s="1118" customFormat="1" ht="15.75" customHeight="1"/>
    <row r="874" s="1118" customFormat="1" ht="15.75" customHeight="1"/>
    <row r="875" s="1118" customFormat="1" ht="15.75" customHeight="1"/>
    <row r="876" s="1118" customFormat="1" ht="15.75" customHeight="1"/>
    <row r="877" s="1118" customFormat="1" ht="15.75" customHeight="1"/>
    <row r="878" s="1118" customFormat="1" ht="15.75" customHeight="1"/>
    <row r="879" s="1118" customFormat="1" ht="15.75" customHeight="1"/>
    <row r="880" s="1118" customFormat="1" ht="15.75" customHeight="1"/>
    <row r="881" s="1118" customFormat="1" ht="15.75" customHeight="1"/>
    <row r="882" s="1118" customFormat="1" ht="15.75" customHeight="1"/>
    <row r="883" s="1118" customFormat="1" ht="15.75" customHeight="1"/>
    <row r="884" s="1118" customFormat="1" ht="15.75" customHeight="1"/>
    <row r="885" s="1118" customFormat="1" ht="15.75" customHeight="1"/>
    <row r="886" s="1118" customFormat="1" ht="15.75" customHeight="1"/>
    <row r="887" s="1118" customFormat="1" ht="15.75" customHeight="1"/>
    <row r="888" s="1118" customFormat="1" ht="15.75" customHeight="1"/>
    <row r="889" s="1118" customFormat="1" ht="15.75" customHeight="1"/>
    <row r="890" s="1118" customFormat="1" ht="15.75" customHeight="1"/>
    <row r="891" s="1118" customFormat="1" ht="15.75" customHeight="1"/>
    <row r="892" s="1118" customFormat="1" ht="15.75" customHeight="1"/>
    <row r="893" s="1118" customFormat="1" ht="15.75" customHeight="1"/>
    <row r="894" s="1118" customFormat="1" ht="15.75" customHeight="1"/>
    <row r="895" s="1118" customFormat="1" ht="15.75" customHeight="1"/>
    <row r="896" s="1118" customFormat="1" ht="15.75" customHeight="1"/>
    <row r="897" s="1118" customFormat="1" ht="15.75" customHeight="1"/>
    <row r="898" s="1118" customFormat="1" ht="15.75" customHeight="1"/>
    <row r="899" s="1118" customFormat="1" ht="15.75" customHeight="1"/>
    <row r="900" s="1118" customFormat="1" ht="15.75" customHeight="1"/>
    <row r="901" s="1118" customFormat="1" ht="15.75" customHeight="1"/>
    <row r="902" s="1118" customFormat="1" ht="15.75" customHeight="1"/>
    <row r="903" s="1118" customFormat="1" ht="15.75" customHeight="1"/>
    <row r="904" s="1118" customFormat="1" ht="15.75" customHeight="1"/>
    <row r="905" s="1118" customFormat="1" ht="15.75" customHeight="1"/>
    <row r="906" s="1118" customFormat="1" ht="15.75" customHeight="1"/>
    <row r="907" s="1118" customFormat="1" ht="15.75" customHeight="1"/>
    <row r="908" s="1118" customFormat="1" ht="15.75" customHeight="1"/>
    <row r="909" s="1118" customFormat="1" ht="15.75" customHeight="1"/>
    <row r="910" s="1118" customFormat="1" ht="15.75" customHeight="1"/>
    <row r="911" s="1118" customFormat="1" ht="15.75" customHeight="1"/>
    <row r="912" s="1118" customFormat="1" ht="15.75" customHeight="1"/>
    <row r="913" s="1118" customFormat="1" ht="15.75" customHeight="1"/>
    <row r="914" s="1118" customFormat="1" ht="15.75" customHeight="1"/>
    <row r="915" s="1118" customFormat="1" ht="15.75" customHeight="1"/>
    <row r="916" s="1118" customFormat="1" ht="15.75" customHeight="1"/>
    <row r="917" s="1118" customFormat="1" ht="15.75" customHeight="1"/>
    <row r="918" s="1118" customFormat="1" ht="15.75" customHeight="1"/>
    <row r="919" s="1118" customFormat="1" ht="15.75" customHeight="1"/>
    <row r="920" s="1118" customFormat="1" ht="15.75" customHeight="1"/>
    <row r="921" s="1118" customFormat="1" ht="15.75" customHeight="1"/>
    <row r="922" s="1118" customFormat="1" ht="15.75" customHeight="1"/>
    <row r="923" s="1118" customFormat="1" ht="15.75" customHeight="1"/>
    <row r="924" s="1118" customFormat="1" ht="15.75" customHeight="1"/>
    <row r="925" s="1118" customFormat="1" ht="15.75" customHeight="1"/>
    <row r="926" s="1118" customFormat="1" ht="15.75" customHeight="1"/>
    <row r="927" s="1118" customFormat="1" ht="15.75" customHeight="1"/>
    <row r="928" s="1118" customFormat="1" ht="15.75" customHeight="1"/>
    <row r="929" s="1118" customFormat="1" ht="15.75" customHeight="1"/>
    <row r="930" s="1118" customFormat="1" ht="15.75" customHeight="1"/>
    <row r="931" s="1118" customFormat="1" ht="15.75" customHeight="1"/>
    <row r="932" s="1118" customFormat="1" ht="15.75" customHeight="1"/>
    <row r="933" s="1118" customFormat="1" ht="15.75" customHeight="1"/>
    <row r="934" s="1118" customFormat="1" ht="15.75" customHeight="1"/>
    <row r="935" s="1118" customFormat="1" ht="15.75" customHeight="1"/>
    <row r="936" s="1118" customFormat="1" ht="15.75" customHeight="1"/>
    <row r="937" s="1118" customFormat="1" ht="15.75" customHeight="1"/>
    <row r="938" s="1118" customFormat="1" ht="15.75" customHeight="1"/>
    <row r="939" s="1118" customFormat="1" ht="15.75" customHeight="1"/>
    <row r="940" s="1118" customFormat="1" ht="15.75" customHeight="1"/>
    <row r="941" s="1118" customFormat="1" ht="15.75" customHeight="1"/>
    <row r="942" s="1118" customFormat="1" ht="15.75" customHeight="1"/>
    <row r="943" s="1118" customFormat="1" ht="15.75" customHeight="1"/>
    <row r="944" s="1118" customFormat="1" ht="15.75" customHeight="1"/>
    <row r="945" s="1118" customFormat="1" ht="15.75" customHeight="1"/>
    <row r="946" s="1118" customFormat="1" ht="15.75" customHeight="1"/>
    <row r="947" s="1118" customFormat="1" ht="15.75" customHeight="1"/>
    <row r="948" s="1118" customFormat="1" ht="15.75" customHeight="1"/>
    <row r="949" s="1118" customFormat="1" ht="15.75" customHeight="1"/>
    <row r="950" s="1118" customFormat="1" ht="15.75" customHeight="1"/>
    <row r="951" s="1118" customFormat="1" ht="15.75" customHeight="1"/>
    <row r="952" s="1118" customFormat="1" ht="15.75" customHeight="1"/>
    <row r="953" s="1118" customFormat="1" ht="15.75" customHeight="1"/>
    <row r="954" s="1118" customFormat="1" ht="15.75" customHeight="1"/>
    <row r="955" s="1118" customFormat="1" ht="15.75" customHeight="1"/>
    <row r="956" s="1118" customFormat="1" ht="15.75" customHeight="1"/>
    <row r="957" s="1118" customFormat="1" ht="15.75" customHeight="1"/>
    <row r="958" s="1118" customFormat="1" ht="15.75" customHeight="1"/>
    <row r="959" s="1118" customFormat="1" ht="15.75" customHeight="1"/>
    <row r="960" s="1118" customFormat="1" ht="15.75" customHeight="1"/>
    <row r="961" s="1118" customFormat="1" ht="15.75" customHeight="1"/>
    <row r="962" s="1118" customFormat="1" ht="15.75" customHeight="1"/>
    <row r="963" s="1118" customFormat="1" ht="15.75" customHeight="1"/>
    <row r="964" s="1118" customFormat="1" ht="15.75" customHeight="1"/>
    <row r="965" s="1118" customFormat="1" ht="15.75" customHeight="1"/>
    <row r="966" s="1118" customFormat="1" ht="15.75" customHeight="1"/>
    <row r="967" s="1118" customFormat="1" ht="15.75" customHeight="1"/>
    <row r="968" s="1118" customFormat="1" ht="15.75" customHeight="1"/>
    <row r="969" s="1118" customFormat="1" ht="15.75" customHeight="1"/>
    <row r="970" s="1118" customFormat="1" ht="15.75" customHeight="1"/>
    <row r="971" s="1118" customFormat="1" ht="15.75" customHeight="1"/>
    <row r="972" s="1118" customFormat="1" ht="15.75" customHeight="1"/>
    <row r="973" s="1118" customFormat="1" ht="15.75" customHeight="1"/>
    <row r="974" s="1118" customFormat="1" ht="15.75" customHeight="1"/>
    <row r="975" s="1118" customFormat="1" ht="15.75" customHeight="1"/>
    <row r="976" s="1118" customFormat="1" ht="15.75" customHeight="1"/>
    <row r="977" s="1118" customFormat="1" ht="15.75" customHeight="1"/>
    <row r="978" s="1118" customFormat="1" ht="15.75" customHeight="1"/>
    <row r="979" s="1118" customFormat="1" ht="15.75" customHeight="1"/>
    <row r="980" s="1118" customFormat="1" ht="15.75" customHeight="1"/>
    <row r="981" s="1118" customFormat="1" ht="15.75" customHeight="1"/>
    <row r="982" s="1118" customFormat="1" ht="15.75" customHeight="1"/>
    <row r="983" s="1118" customFormat="1" ht="15.75" customHeight="1"/>
    <row r="984" s="1118" customFormat="1" ht="15.75" customHeight="1"/>
    <row r="985" s="1118" customFormat="1" ht="15.75" customHeight="1"/>
    <row r="986" s="1118" customFormat="1" ht="15.75" customHeight="1"/>
    <row r="987" s="1118" customFormat="1" ht="15.75" customHeight="1"/>
    <row r="988" s="1118" customFormat="1" ht="15.75" customHeight="1"/>
    <row r="989" s="1118" customFormat="1" ht="15.75" customHeight="1"/>
    <row r="990" s="1118" customFormat="1" ht="15.75" customHeight="1"/>
    <row r="991" s="1118" customFormat="1" ht="15.75" customHeight="1"/>
    <row r="992" s="1118" customFormat="1" ht="15.75" customHeight="1"/>
    <row r="993" s="1118" customFormat="1" ht="15.75" customHeight="1"/>
    <row r="994" s="1118" customFormat="1" ht="15.75" customHeight="1"/>
    <row r="995" s="1118" customFormat="1" ht="15.75" customHeight="1"/>
    <row r="996" s="1118" customFormat="1" ht="15.75" customHeight="1"/>
    <row r="997" s="1118" customFormat="1" ht="15.75" customHeight="1"/>
    <row r="998" s="1118" customFormat="1" ht="15.75" customHeight="1"/>
    <row r="999" s="1118" customFormat="1" ht="15.75" customHeight="1"/>
    <row r="1000" s="1118" customFormat="1" ht="15.75" customHeight="1"/>
  </sheetData>
  <conditionalFormatting sqref="B30:B32">
    <cfRule type="expression" dxfId="3" priority="1">
      <formula>B$36="No"</formula>
    </cfRule>
  </conditionalFormatting>
  <conditionalFormatting sqref="B29:B32">
    <cfRule type="notContainsBlanks" dxfId="2" priority="2">
      <formula>LEN(TRIM(B29))&gt;0</formula>
    </cfRule>
  </conditionalFormatting>
  <pageMargins left="0.75" right="0.75" top="1" bottom="1" header="0" footer="0"/>
  <pageSetup orientation="portrait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2:Q24"/>
  <sheetViews>
    <sheetView workbookViewId="0">
      <selection activeCell="C28" sqref="C28"/>
    </sheetView>
  </sheetViews>
  <sheetFormatPr defaultRowHeight="16.5"/>
  <cols>
    <col min="2" max="3" width="18.7109375" customWidth="1"/>
    <col min="4" max="4" width="12.5703125" customWidth="1"/>
  </cols>
  <sheetData>
    <row r="2" spans="2:17">
      <c r="B2" s="422" t="s">
        <v>1523</v>
      </c>
    </row>
    <row r="3" spans="2:17">
      <c r="B3" s="1099"/>
      <c r="C3" s="1100">
        <v>0.25</v>
      </c>
      <c r="D3" s="1100">
        <v>0.25</v>
      </c>
      <c r="E3" s="1100">
        <v>0.25</v>
      </c>
      <c r="F3" s="1100">
        <v>0.25</v>
      </c>
      <c r="G3" s="1100">
        <v>0.25</v>
      </c>
      <c r="H3" s="1100">
        <v>0.21199999999999999</v>
      </c>
      <c r="I3" s="1100">
        <v>0.17399999999999999</v>
      </c>
      <c r="J3" s="1100">
        <v>0.13600000000000001</v>
      </c>
      <c r="K3" s="1100">
        <v>9.8000000000000004E-2</v>
      </c>
      <c r="L3" s="1100">
        <v>0.06</v>
      </c>
      <c r="M3" s="1100">
        <v>0</v>
      </c>
      <c r="N3" s="1099" t="s">
        <v>1521</v>
      </c>
      <c r="O3" s="1101"/>
      <c r="P3" s="1101"/>
      <c r="Q3" s="1101"/>
    </row>
    <row r="4" spans="2:17">
      <c r="B4" s="1099">
        <v>298</v>
      </c>
      <c r="C4" s="1102">
        <v>372.5</v>
      </c>
      <c r="D4" s="1102">
        <v>465.625</v>
      </c>
      <c r="E4" s="1102">
        <v>582.03125</v>
      </c>
      <c r="F4" s="1102">
        <v>727.5390625</v>
      </c>
      <c r="G4" s="1102">
        <v>909.423828125</v>
      </c>
      <c r="H4" s="1102">
        <v>1262.6246222233187</v>
      </c>
      <c r="I4" s="1102">
        <v>1615.8254163216375</v>
      </c>
      <c r="J4" s="1102">
        <v>1969.0262104199564</v>
      </c>
      <c r="K4" s="1102">
        <v>2322.227004518275</v>
      </c>
      <c r="L4" s="1102">
        <v>2675.4277986165939</v>
      </c>
      <c r="M4" s="1102">
        <v>3000</v>
      </c>
      <c r="N4" s="1102">
        <f>M4*(1+2)</f>
        <v>9000</v>
      </c>
      <c r="O4" s="1101"/>
      <c r="P4" s="1101"/>
      <c r="Q4" s="1101"/>
    </row>
    <row r="5" spans="2:17">
      <c r="B5" s="1099" t="s">
        <v>1522</v>
      </c>
      <c r="C5" s="1099"/>
      <c r="D5" s="1102">
        <f t="shared" ref="D5:M5" si="0">D14*D19</f>
        <v>0</v>
      </c>
      <c r="E5" s="1102">
        <f t="shared" si="0"/>
        <v>151.93531250000001</v>
      </c>
      <c r="F5" s="1102">
        <f t="shared" si="0"/>
        <v>341.85445312500002</v>
      </c>
      <c r="G5" s="1102">
        <f t="shared" si="0"/>
        <v>579.25337890624996</v>
      </c>
      <c r="H5" s="1102">
        <f t="shared" si="0"/>
        <v>876.00203613281246</v>
      </c>
      <c r="I5" s="1102">
        <f t="shared" si="0"/>
        <v>1221.5897019943029</v>
      </c>
      <c r="J5" s="1102">
        <f t="shared" si="0"/>
        <v>1614.1859252299787</v>
      </c>
      <c r="K5" s="1102">
        <f t="shared" si="0"/>
        <v>2046.9973721091919</v>
      </c>
      <c r="L5" s="1102">
        <f t="shared" si="0"/>
        <v>2508.0634614647811</v>
      </c>
      <c r="M5" s="1102">
        <f t="shared" si="0"/>
        <v>11371.378183938592</v>
      </c>
      <c r="N5" s="1102">
        <f>N16*M14</f>
        <v>7500</v>
      </c>
      <c r="O5" s="1101"/>
      <c r="P5" s="1101"/>
      <c r="Q5" s="1101"/>
    </row>
    <row r="6" spans="2:17">
      <c r="B6" s="1099" t="s">
        <v>1523</v>
      </c>
      <c r="C6" s="1099"/>
      <c r="D6" s="1102">
        <f t="shared" ref="D6:N6" si="1">D4-D5</f>
        <v>465.625</v>
      </c>
      <c r="E6" s="1102">
        <f t="shared" si="1"/>
        <v>430.09593749999999</v>
      </c>
      <c r="F6" s="1102">
        <f t="shared" si="1"/>
        <v>385.68460937499998</v>
      </c>
      <c r="G6" s="1102">
        <f t="shared" si="1"/>
        <v>330.17044921875004</v>
      </c>
      <c r="H6" s="1102">
        <f t="shared" si="1"/>
        <v>386.62258609050627</v>
      </c>
      <c r="I6" s="1102">
        <f t="shared" si="1"/>
        <v>394.23571432733456</v>
      </c>
      <c r="J6" s="1102">
        <f t="shared" si="1"/>
        <v>354.84028518997775</v>
      </c>
      <c r="K6" s="1102">
        <f t="shared" si="1"/>
        <v>275.22963240908302</v>
      </c>
      <c r="L6" s="1102">
        <f t="shared" si="1"/>
        <v>167.36433715181283</v>
      </c>
      <c r="M6" s="1102">
        <f t="shared" si="1"/>
        <v>-8371.378183938592</v>
      </c>
      <c r="N6" s="1102">
        <f t="shared" si="1"/>
        <v>1500</v>
      </c>
      <c r="O6" s="1101"/>
      <c r="P6" s="1101"/>
      <c r="Q6" s="1101"/>
    </row>
    <row r="7" spans="2:17">
      <c r="B7" s="1099" t="s">
        <v>1524</v>
      </c>
      <c r="C7" s="1099"/>
      <c r="D7" s="1099"/>
      <c r="E7" s="1099"/>
      <c r="F7" s="1099"/>
      <c r="G7" s="1099"/>
      <c r="H7" s="1099"/>
      <c r="I7" s="1099"/>
      <c r="J7" s="1099"/>
      <c r="K7" s="1099"/>
      <c r="L7" s="1099"/>
      <c r="M7" s="1102">
        <f>N6/6%-3%</f>
        <v>24999.97</v>
      </c>
      <c r="N7" s="1099"/>
      <c r="O7" s="1101"/>
      <c r="P7" s="1101"/>
      <c r="Q7" s="1101"/>
    </row>
    <row r="8" spans="2:17" ht="17.25" thickBot="1">
      <c r="B8" s="1103" t="s">
        <v>1525</v>
      </c>
      <c r="C8" s="1103"/>
      <c r="D8" s="1102">
        <f>D6/D24</f>
        <v>9312.5</v>
      </c>
      <c r="E8" s="1102">
        <f t="shared" ref="E8:L8" si="2">E6/E24</f>
        <v>8601.9187499999989</v>
      </c>
      <c r="F8" s="1102">
        <f t="shared" si="2"/>
        <v>7713.6921874999989</v>
      </c>
      <c r="G8" s="1102">
        <f t="shared" si="2"/>
        <v>6603.4089843750007</v>
      </c>
      <c r="H8" s="1102">
        <f t="shared" si="2"/>
        <v>7732.4517218101255</v>
      </c>
      <c r="I8" s="1102">
        <f t="shared" si="2"/>
        <v>7884.7142865466913</v>
      </c>
      <c r="J8" s="1102">
        <f t="shared" si="2"/>
        <v>7096.805703799555</v>
      </c>
      <c r="K8" s="1102">
        <f t="shared" si="2"/>
        <v>5504.5926481816605</v>
      </c>
      <c r="L8" s="1102">
        <f t="shared" si="2"/>
        <v>3347.2867430362567</v>
      </c>
      <c r="M8" s="1102">
        <f>(M6+M7)/M24</f>
        <v>332571.83632122818</v>
      </c>
      <c r="N8" s="1099"/>
      <c r="O8" s="1101"/>
      <c r="P8" s="1101"/>
      <c r="Q8" s="1101"/>
    </row>
    <row r="9" spans="2:17">
      <c r="B9" s="1104" t="s">
        <v>1526</v>
      </c>
      <c r="C9" s="1105">
        <f>SUM(D8:M8)</f>
        <v>396369.20734647743</v>
      </c>
      <c r="D9" s="1106"/>
      <c r="E9" s="1102"/>
      <c r="F9" s="1102"/>
      <c r="G9" s="1102"/>
      <c r="H9" s="1102"/>
      <c r="I9" s="1102"/>
      <c r="J9" s="1102"/>
      <c r="K9" s="1102"/>
      <c r="L9" s="1102"/>
      <c r="M9" s="1102"/>
      <c r="N9" s="1099"/>
      <c r="O9" s="1101"/>
      <c r="P9" s="1101"/>
      <c r="Q9" s="1101"/>
    </row>
    <row r="10" spans="2:17">
      <c r="B10" s="1107" t="s">
        <v>1527</v>
      </c>
      <c r="C10" s="1108">
        <f>C19</f>
        <v>0</v>
      </c>
      <c r="D10" s="1109"/>
      <c r="E10" s="1099"/>
      <c r="F10" s="1099"/>
      <c r="G10" s="1099"/>
      <c r="H10" s="1099"/>
      <c r="I10" s="1099"/>
      <c r="J10" s="1099"/>
      <c r="K10" s="1099"/>
      <c r="L10" s="1099"/>
      <c r="M10" s="1099"/>
      <c r="N10" s="1099"/>
      <c r="O10" s="1101"/>
      <c r="P10" s="1101"/>
      <c r="Q10" s="1101"/>
    </row>
    <row r="11" spans="2:17">
      <c r="B11" s="1110" t="s">
        <v>1528</v>
      </c>
      <c r="C11" s="1111">
        <f>(N16-M22)/M24</f>
        <v>-1548551.2735754368</v>
      </c>
      <c r="D11" s="1109" t="s">
        <v>1529</v>
      </c>
      <c r="E11" s="1099"/>
      <c r="F11" s="1099"/>
      <c r="G11" s="1099"/>
      <c r="H11" s="1099"/>
      <c r="I11" s="1099"/>
      <c r="J11" s="1099"/>
      <c r="K11" s="1099"/>
      <c r="L11" s="1099"/>
      <c r="M11" s="1099"/>
      <c r="N11" s="1099"/>
      <c r="O11" s="1101"/>
      <c r="P11" s="1101"/>
      <c r="Q11" s="1101"/>
    </row>
    <row r="12" spans="2:17" ht="17.25" thickBot="1">
      <c r="B12" s="1112" t="s">
        <v>1530</v>
      </c>
      <c r="C12" s="1113">
        <f>SUM(C9:C11)</f>
        <v>-1152182.0662289592</v>
      </c>
      <c r="D12" s="1109"/>
      <c r="E12" s="1099"/>
      <c r="F12" s="1099"/>
      <c r="G12" s="1099"/>
      <c r="H12" s="1099"/>
      <c r="I12" s="1099"/>
      <c r="J12" s="1099"/>
      <c r="K12" s="1099"/>
      <c r="L12" s="1099"/>
      <c r="M12" s="1099"/>
      <c r="N12" s="1099"/>
      <c r="O12" s="1101"/>
      <c r="P12" s="1101"/>
      <c r="Q12" s="1101"/>
    </row>
    <row r="13" spans="2:17">
      <c r="B13" s="1114"/>
      <c r="C13" s="1114"/>
      <c r="D13" s="1099"/>
      <c r="E13" s="1099"/>
      <c r="F13" s="1099"/>
      <c r="G13" s="1099"/>
      <c r="H13" s="1099"/>
      <c r="I13" s="1099"/>
      <c r="J13" s="1099"/>
      <c r="K13" s="1099"/>
      <c r="L13" s="1099"/>
      <c r="M13" s="1099"/>
      <c r="N13" s="1099"/>
      <c r="O13" s="1101"/>
      <c r="P13" s="1101"/>
      <c r="Q13" s="1101"/>
    </row>
    <row r="14" spans="2:17">
      <c r="B14" s="1099" t="s">
        <v>38</v>
      </c>
      <c r="C14" s="1099"/>
      <c r="D14" s="1115">
        <v>0.05</v>
      </c>
      <c r="E14" s="1115">
        <v>0.05</v>
      </c>
      <c r="F14" s="1115">
        <v>0.05</v>
      </c>
      <c r="G14" s="1115">
        <v>0.05</v>
      </c>
      <c r="H14" s="1115">
        <v>0.05</v>
      </c>
      <c r="I14" s="1115">
        <v>0.05</v>
      </c>
      <c r="J14" s="1115">
        <v>0.05</v>
      </c>
      <c r="K14" s="1115">
        <v>0.05</v>
      </c>
      <c r="L14" s="1115">
        <v>0.05</v>
      </c>
      <c r="M14" s="1115">
        <v>0.05</v>
      </c>
      <c r="N14" s="1115">
        <v>0.05</v>
      </c>
      <c r="O14" s="1101"/>
      <c r="P14" s="1101"/>
      <c r="Q14" s="1101"/>
    </row>
    <row r="15" spans="2:17">
      <c r="B15" s="1099" t="s">
        <v>1531</v>
      </c>
      <c r="C15" s="1099"/>
      <c r="D15" s="1115" t="e">
        <f t="shared" ref="D15:M15" si="3">D4/D19</f>
        <v>#DIV/0!</v>
      </c>
      <c r="E15" s="1115">
        <f t="shared" si="3"/>
        <v>0.19153916243138011</v>
      </c>
      <c r="F15" s="1115">
        <f t="shared" si="3"/>
        <v>0.10641064579521119</v>
      </c>
      <c r="G15" s="1115">
        <f t="shared" si="3"/>
        <v>7.8499656734172196E-2</v>
      </c>
      <c r="H15" s="1115">
        <f t="shared" si="3"/>
        <v>7.2067447913550839E-2</v>
      </c>
      <c r="I15" s="1115">
        <f t="shared" si="3"/>
        <v>6.6136175414860096E-2</v>
      </c>
      <c r="J15" s="1115">
        <f t="shared" si="3"/>
        <v>6.0991307743543312E-2</v>
      </c>
      <c r="K15" s="1115">
        <f t="shared" si="3"/>
        <v>5.6722764673739934E-2</v>
      </c>
      <c r="L15" s="1115">
        <f t="shared" si="3"/>
        <v>5.3336525166194707E-2</v>
      </c>
      <c r="M15" s="1115">
        <f t="shared" si="3"/>
        <v>1.3191013224049327E-2</v>
      </c>
      <c r="N15" s="1115">
        <f>6%</f>
        <v>0.06</v>
      </c>
      <c r="O15" s="1101"/>
      <c r="P15" s="1101"/>
      <c r="Q15" s="1101"/>
    </row>
    <row r="16" spans="2:17">
      <c r="B16" s="1099" t="s">
        <v>1532</v>
      </c>
      <c r="C16" s="1099"/>
      <c r="D16" s="1102">
        <f t="shared" ref="D16:M16" si="4">D19</f>
        <v>0</v>
      </c>
      <c r="E16" s="1102">
        <f t="shared" si="4"/>
        <v>3038.7062500000002</v>
      </c>
      <c r="F16" s="1102">
        <f t="shared" si="4"/>
        <v>6837.0890625000002</v>
      </c>
      <c r="G16" s="1102">
        <f t="shared" si="4"/>
        <v>11585.067578124999</v>
      </c>
      <c r="H16" s="1102">
        <f t="shared" si="4"/>
        <v>17520.040722656249</v>
      </c>
      <c r="I16" s="1102">
        <f t="shared" si="4"/>
        <v>24431.794039886056</v>
      </c>
      <c r="J16" s="1102">
        <f t="shared" si="4"/>
        <v>32283.718504599572</v>
      </c>
      <c r="K16" s="1102">
        <f t="shared" si="4"/>
        <v>40939.947442183839</v>
      </c>
      <c r="L16" s="1102">
        <f t="shared" si="4"/>
        <v>50161.26922929562</v>
      </c>
      <c r="M16" s="1102">
        <f t="shared" si="4"/>
        <v>227427.56367877184</v>
      </c>
      <c r="N16" s="1102">
        <f>N4/N15</f>
        <v>150000</v>
      </c>
      <c r="O16" s="1101" t="s">
        <v>1533</v>
      </c>
      <c r="P16" s="1101"/>
      <c r="Q16" s="1101"/>
    </row>
    <row r="17" spans="2:17">
      <c r="B17" s="1099"/>
      <c r="C17" s="1099"/>
      <c r="D17" s="1099"/>
      <c r="E17" s="1099"/>
      <c r="F17" s="1099"/>
      <c r="G17" s="1099"/>
      <c r="H17" s="1099"/>
      <c r="I17" s="1099"/>
      <c r="J17" s="1099"/>
      <c r="K17" s="1099"/>
      <c r="L17" s="1099"/>
      <c r="M17" s="1099"/>
      <c r="N17" s="1099"/>
      <c r="O17" s="1101"/>
      <c r="P17" s="1101"/>
      <c r="Q17" s="1101"/>
    </row>
    <row r="18" spans="2:17">
      <c r="B18" s="1099" t="s">
        <v>1534</v>
      </c>
      <c r="C18" s="1099"/>
      <c r="D18" s="1099"/>
      <c r="E18" s="1099"/>
      <c r="F18" s="1099"/>
      <c r="G18" s="1099"/>
      <c r="H18" s="1099"/>
      <c r="I18" s="1099"/>
      <c r="J18" s="1099"/>
      <c r="K18" s="1099"/>
      <c r="L18" s="1099"/>
      <c r="M18" s="1099"/>
      <c r="N18" s="1099"/>
      <c r="O18" s="1101"/>
      <c r="P18" s="1101"/>
      <c r="Q18" s="1101"/>
    </row>
    <row r="19" spans="2:17">
      <c r="B19" s="1099" t="s">
        <v>1535</v>
      </c>
      <c r="C19" s="1102">
        <v>0</v>
      </c>
      <c r="D19" s="1102">
        <f t="shared" ref="D19:M19" si="5">C22</f>
        <v>0</v>
      </c>
      <c r="E19" s="1102">
        <f t="shared" si="5"/>
        <v>3038.7062500000002</v>
      </c>
      <c r="F19" s="1102">
        <f t="shared" si="5"/>
        <v>6837.0890625000002</v>
      </c>
      <c r="G19" s="1102">
        <f t="shared" si="5"/>
        <v>11585.067578124999</v>
      </c>
      <c r="H19" s="1102">
        <f t="shared" si="5"/>
        <v>17520.040722656249</v>
      </c>
      <c r="I19" s="1102">
        <f t="shared" si="5"/>
        <v>24431.794039886056</v>
      </c>
      <c r="J19" s="1102">
        <f t="shared" si="5"/>
        <v>32283.718504599572</v>
      </c>
      <c r="K19" s="1102">
        <f t="shared" si="5"/>
        <v>40939.947442183839</v>
      </c>
      <c r="L19" s="1102">
        <f t="shared" si="5"/>
        <v>50161.26922929562</v>
      </c>
      <c r="M19" s="1102">
        <f t="shared" si="5"/>
        <v>227427.56367877184</v>
      </c>
      <c r="N19" s="1102"/>
      <c r="O19" s="1101"/>
      <c r="P19" s="1101"/>
      <c r="Q19" s="1101"/>
    </row>
    <row r="20" spans="2:17">
      <c r="B20" s="1099" t="s">
        <v>1536</v>
      </c>
      <c r="C20" s="1102"/>
      <c r="D20" s="1102">
        <v>3038.7062500000002</v>
      </c>
      <c r="E20" s="1102">
        <v>3798.3828125</v>
      </c>
      <c r="F20" s="1102">
        <v>4747.978515625</v>
      </c>
      <c r="G20" s="1102">
        <v>5934.97314453125</v>
      </c>
      <c r="H20" s="1102">
        <v>6911.7533172298063</v>
      </c>
      <c r="I20" s="1102">
        <v>7851.9244647135174</v>
      </c>
      <c r="J20" s="1102">
        <v>8656.2289375842629</v>
      </c>
      <c r="K20" s="1102">
        <v>9221.3217871117777</v>
      </c>
      <c r="L20" s="1102">
        <v>9453.7104619836664</v>
      </c>
      <c r="M20" s="1102">
        <v>0</v>
      </c>
      <c r="N20" s="1099"/>
      <c r="O20" s="1101"/>
      <c r="P20" s="1101"/>
      <c r="Q20" s="1101"/>
    </row>
    <row r="21" spans="2:17">
      <c r="B21" s="1099" t="s">
        <v>1537</v>
      </c>
      <c r="C21" s="1102"/>
      <c r="D21" s="1102">
        <v>0</v>
      </c>
      <c r="E21" s="1102">
        <v>0</v>
      </c>
      <c r="F21" s="1102">
        <v>0</v>
      </c>
      <c r="G21" s="1102">
        <v>0</v>
      </c>
      <c r="H21" s="1102">
        <v>0</v>
      </c>
      <c r="I21" s="1102">
        <v>0</v>
      </c>
      <c r="J21" s="1102">
        <v>0</v>
      </c>
      <c r="K21" s="1102">
        <v>0</v>
      </c>
      <c r="L21" s="1102">
        <v>167812.58398749254</v>
      </c>
      <c r="M21" s="1102">
        <v>0</v>
      </c>
      <c r="N21" s="1099"/>
      <c r="O21" s="1101"/>
      <c r="P21" s="1101"/>
      <c r="Q21" s="1101"/>
    </row>
    <row r="22" spans="2:17">
      <c r="B22" s="1099" t="s">
        <v>1016</v>
      </c>
      <c r="C22" s="1102">
        <f>C19</f>
        <v>0</v>
      </c>
      <c r="D22" s="1102">
        <f t="shared" ref="D22:M22" si="6">D19+D20+D21</f>
        <v>3038.7062500000002</v>
      </c>
      <c r="E22" s="1102">
        <f t="shared" si="6"/>
        <v>6837.0890625000002</v>
      </c>
      <c r="F22" s="1102">
        <f t="shared" si="6"/>
        <v>11585.067578124999</v>
      </c>
      <c r="G22" s="1102">
        <f t="shared" si="6"/>
        <v>17520.040722656249</v>
      </c>
      <c r="H22" s="1102">
        <f t="shared" si="6"/>
        <v>24431.794039886056</v>
      </c>
      <c r="I22" s="1102">
        <f t="shared" si="6"/>
        <v>32283.718504599572</v>
      </c>
      <c r="J22" s="1102">
        <f t="shared" si="6"/>
        <v>40939.947442183839</v>
      </c>
      <c r="K22" s="1102">
        <f t="shared" si="6"/>
        <v>50161.26922929562</v>
      </c>
      <c r="L22" s="1102">
        <f t="shared" si="6"/>
        <v>227427.56367877184</v>
      </c>
      <c r="M22" s="1102">
        <f t="shared" si="6"/>
        <v>227427.56367877184</v>
      </c>
      <c r="N22" s="1099"/>
      <c r="O22" s="1101"/>
      <c r="P22" s="1101"/>
      <c r="Q22" s="1101"/>
    </row>
    <row r="23" spans="2:17">
      <c r="B23" s="1099"/>
      <c r="C23" s="1099"/>
      <c r="D23" s="1099"/>
      <c r="E23" s="1099"/>
      <c r="F23" s="1099"/>
      <c r="G23" s="1099"/>
      <c r="H23" s="1099"/>
      <c r="I23" s="1099"/>
      <c r="J23" s="1099"/>
      <c r="K23" s="1099"/>
      <c r="L23" s="1099"/>
      <c r="M23" s="1099"/>
      <c r="N23" s="1099"/>
      <c r="O23" s="1101"/>
      <c r="P23" s="1101"/>
      <c r="Q23" s="1101"/>
    </row>
    <row r="24" spans="2:17">
      <c r="B24" s="1099" t="s">
        <v>1538</v>
      </c>
      <c r="C24" s="1099"/>
      <c r="D24" s="1115">
        <v>0.05</v>
      </c>
      <c r="E24" s="1115">
        <v>0.05</v>
      </c>
      <c r="F24" s="1115">
        <v>0.05</v>
      </c>
      <c r="G24" s="1115">
        <v>0.05</v>
      </c>
      <c r="H24" s="1115">
        <v>0.05</v>
      </c>
      <c r="I24" s="1115">
        <v>0.05</v>
      </c>
      <c r="J24" s="1115">
        <v>0.05</v>
      </c>
      <c r="K24" s="1115">
        <v>0.05</v>
      </c>
      <c r="L24" s="1115">
        <v>0.05</v>
      </c>
      <c r="M24" s="1115">
        <v>0.05</v>
      </c>
      <c r="N24" s="1099"/>
      <c r="O24" s="1101"/>
      <c r="P24" s="1101"/>
      <c r="Q24" s="110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5B118-DFEF-4CA7-943F-5DDECE4D8031}">
  <sheetPr>
    <tabColor rgb="FFB7B7B7"/>
  </sheetPr>
  <dimension ref="A1:AA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17" sqref="H17"/>
    </sheetView>
  </sheetViews>
  <sheetFormatPr defaultColWidth="12.42578125" defaultRowHeight="15" customHeight="1"/>
  <cols>
    <col min="1" max="1" width="17.42578125" style="1118" customWidth="1"/>
    <col min="2" max="2" width="9.85546875" style="1118" customWidth="1"/>
    <col min="3" max="3" width="8.140625" style="1118" customWidth="1"/>
    <col min="4" max="4" width="10.140625" style="1118" customWidth="1"/>
    <col min="5" max="5" width="10.7109375" style="1118" customWidth="1"/>
    <col min="6" max="6" width="9" style="1118" customWidth="1"/>
    <col min="7" max="7" width="9.85546875" style="1118" customWidth="1"/>
    <col min="8" max="8" width="19.28515625" style="1118" customWidth="1"/>
    <col min="9" max="23" width="9.28515625" style="1118" customWidth="1"/>
    <col min="24" max="27" width="9.85546875" style="1118" customWidth="1"/>
    <col min="28" max="16384" width="12.42578125" style="1118"/>
  </cols>
  <sheetData>
    <row r="1" spans="1:27" ht="12" customHeight="1">
      <c r="A1" s="1129" t="s">
        <v>1660</v>
      </c>
      <c r="B1" s="1128" t="s">
        <v>1659</v>
      </c>
      <c r="C1" s="1131" t="s">
        <v>1658</v>
      </c>
      <c r="D1" s="1131" t="s">
        <v>1657</v>
      </c>
      <c r="E1" s="1131" t="s">
        <v>1656</v>
      </c>
      <c r="F1" s="1128" t="s">
        <v>1655</v>
      </c>
      <c r="G1" s="1128" t="s">
        <v>1654</v>
      </c>
      <c r="H1" s="1128" t="s">
        <v>1653</v>
      </c>
      <c r="I1" s="1128" t="s">
        <v>1652</v>
      </c>
      <c r="J1" s="1128" t="s">
        <v>1651</v>
      </c>
      <c r="K1" s="1128" t="s">
        <v>1650</v>
      </c>
      <c r="L1" s="1128" t="s">
        <v>1649</v>
      </c>
      <c r="M1" s="1128" t="s">
        <v>1648</v>
      </c>
      <c r="N1" s="1130" t="s">
        <v>1647</v>
      </c>
      <c r="O1" s="1128" t="s">
        <v>1646</v>
      </c>
      <c r="P1" s="1128" t="s">
        <v>781</v>
      </c>
      <c r="Q1" s="1128" t="s">
        <v>1645</v>
      </c>
      <c r="R1" s="1128" t="s">
        <v>1644</v>
      </c>
      <c r="S1" s="1128" t="s">
        <v>1643</v>
      </c>
      <c r="T1" s="1128" t="s">
        <v>1642</v>
      </c>
      <c r="U1" s="1128" t="s">
        <v>1641</v>
      </c>
      <c r="V1" s="1128" t="s">
        <v>1640</v>
      </c>
      <c r="W1" s="1128" t="s">
        <v>1639</v>
      </c>
      <c r="X1" s="1129" t="s">
        <v>97</v>
      </c>
      <c r="Y1" s="1129" t="s">
        <v>1638</v>
      </c>
      <c r="Z1" s="1129" t="s">
        <v>1637</v>
      </c>
      <c r="AA1" s="1128" t="s">
        <v>1636</v>
      </c>
    </row>
    <row r="2" spans="1:27" ht="12" customHeight="1">
      <c r="A2" s="1126" t="s">
        <v>634</v>
      </c>
      <c r="B2" s="1125">
        <v>49</v>
      </c>
      <c r="C2" s="1123">
        <v>7.1300000000000002E-2</v>
      </c>
      <c r="D2" s="1123">
        <v>0.1062</v>
      </c>
      <c r="E2" s="1123">
        <v>0.502</v>
      </c>
      <c r="F2" s="1123">
        <v>0.23799999999999999</v>
      </c>
      <c r="G2" s="1124">
        <v>1.1000000000000001</v>
      </c>
      <c r="H2" s="1124">
        <v>1.34</v>
      </c>
      <c r="I2" s="1123">
        <v>7.1900000000000006E-2</v>
      </c>
      <c r="J2" s="1123">
        <v>0.56699999999999995</v>
      </c>
      <c r="K2" s="1123">
        <v>3.5799999999999998E-2</v>
      </c>
      <c r="L2" s="1123">
        <v>0.33979999999999999</v>
      </c>
      <c r="M2" s="1123">
        <v>5.6399999999999999E-2</v>
      </c>
      <c r="N2" s="1124">
        <v>4.8099999999999996</v>
      </c>
      <c r="O2" s="1124">
        <v>2.0299999999999998</v>
      </c>
      <c r="P2" s="1124">
        <v>9.94</v>
      </c>
      <c r="Q2" s="1124">
        <v>17.510000000000002</v>
      </c>
      <c r="R2" s="1124">
        <v>4.0999999999999996</v>
      </c>
      <c r="S2" s="1124">
        <v>88.1</v>
      </c>
      <c r="T2" s="1123">
        <v>-4.4000000000000003E-3</v>
      </c>
      <c r="U2" s="1123">
        <v>1.6500000000000001E-2</v>
      </c>
      <c r="V2" s="1123">
        <v>2.12E-2</v>
      </c>
      <c r="W2" s="1123">
        <v>-1.3299999999999999E-2</v>
      </c>
      <c r="X2" s="1123">
        <v>0.20180000000000001</v>
      </c>
      <c r="Y2" s="1123">
        <v>1.1420999999999999</v>
      </c>
      <c r="Z2" s="1123">
        <v>1.1420999999999999</v>
      </c>
      <c r="AA2" s="1123">
        <v>0.11070000000000001</v>
      </c>
    </row>
    <row r="3" spans="1:27" ht="12" customHeight="1">
      <c r="A3" s="1126" t="s">
        <v>1635</v>
      </c>
      <c r="B3" s="1125">
        <v>73</v>
      </c>
      <c r="C3" s="1123">
        <v>4.9399999999999999E-2</v>
      </c>
      <c r="D3" s="1123">
        <v>7.8100000000000003E-2</v>
      </c>
      <c r="E3" s="1123">
        <v>0.14760000000000001</v>
      </c>
      <c r="F3" s="1123">
        <v>0.16750000000000001</v>
      </c>
      <c r="G3" s="1124">
        <v>1.1100000000000001</v>
      </c>
      <c r="H3" s="1124">
        <v>1.28</v>
      </c>
      <c r="I3" s="1123">
        <v>6.9400000000000003E-2</v>
      </c>
      <c r="J3" s="1123">
        <v>0.38229999999999997</v>
      </c>
      <c r="K3" s="1123">
        <v>3.1600000000000003E-2</v>
      </c>
      <c r="L3" s="1123">
        <v>0.22750000000000001</v>
      </c>
      <c r="M3" s="1123">
        <v>5.8900000000000001E-2</v>
      </c>
      <c r="N3" s="1124">
        <v>1.98</v>
      </c>
      <c r="O3" s="1124">
        <v>2.33</v>
      </c>
      <c r="P3" s="1124">
        <v>13.38</v>
      </c>
      <c r="Q3" s="1124">
        <v>22.27</v>
      </c>
      <c r="R3" s="1124">
        <v>4.5999999999999996</v>
      </c>
      <c r="S3" s="1124">
        <v>37.01</v>
      </c>
      <c r="T3" s="1123">
        <v>0.46610000000000001</v>
      </c>
      <c r="U3" s="1123">
        <v>2.5899999999999999E-2</v>
      </c>
      <c r="V3" s="1123">
        <v>5.7999999999999996E-3</v>
      </c>
      <c r="W3" s="1123">
        <v>0.46210000000000001</v>
      </c>
      <c r="X3" s="1123">
        <v>9.0899999999999995E-2</v>
      </c>
      <c r="Y3" s="1123">
        <v>0.80349999999999999</v>
      </c>
      <c r="Z3" s="1123">
        <v>0.80349999999999999</v>
      </c>
      <c r="AA3" s="1123">
        <v>7.9699999999999993E-2</v>
      </c>
    </row>
    <row r="4" spans="1:27" ht="12" customHeight="1">
      <c r="A4" s="1126" t="s">
        <v>1634</v>
      </c>
      <c r="B4" s="1125">
        <v>21</v>
      </c>
      <c r="C4" s="1123">
        <v>-7.0000000000000007E-2</v>
      </c>
      <c r="D4" s="1123">
        <v>-0.23139999999999999</v>
      </c>
      <c r="E4" s="1123">
        <v>-0.1981</v>
      </c>
      <c r="F4" s="1123">
        <v>0.2122</v>
      </c>
      <c r="G4" s="1124">
        <v>0.91</v>
      </c>
      <c r="H4" s="1124">
        <v>1.58</v>
      </c>
      <c r="I4" s="1123">
        <v>8.2199999999999995E-2</v>
      </c>
      <c r="J4" s="1123">
        <v>0.40189999999999998</v>
      </c>
      <c r="K4" s="1123">
        <v>3.5799999999999998E-2</v>
      </c>
      <c r="L4" s="1123">
        <v>0.60529999999999995</v>
      </c>
      <c r="M4" s="1123">
        <v>4.8300000000000003E-2</v>
      </c>
      <c r="N4" s="1124">
        <v>0.88</v>
      </c>
      <c r="O4" s="1124">
        <v>2.14</v>
      </c>
      <c r="P4" s="1124">
        <v>17.600000000000001</v>
      </c>
      <c r="Q4" s="1127" t="s">
        <v>1547</v>
      </c>
      <c r="R4" s="1124">
        <v>3.71</v>
      </c>
      <c r="S4" s="1124">
        <v>3708.23</v>
      </c>
      <c r="T4" s="1123">
        <v>9.4999999999999998E-3</v>
      </c>
      <c r="U4" s="1123">
        <v>7.1400000000000005E-2</v>
      </c>
      <c r="V4" s="1123">
        <v>-2.24E-2</v>
      </c>
      <c r="W4" s="1126" t="s">
        <v>1547</v>
      </c>
      <c r="X4" s="1123">
        <v>-0.27279999999999999</v>
      </c>
      <c r="Y4" s="1123">
        <v>0</v>
      </c>
      <c r="Z4" s="1123">
        <v>0</v>
      </c>
      <c r="AA4" s="1123">
        <v>-0.23680000000000001</v>
      </c>
    </row>
    <row r="5" spans="1:27" ht="12" customHeight="1">
      <c r="A5" s="1126" t="s">
        <v>1633</v>
      </c>
      <c r="B5" s="1125">
        <v>39</v>
      </c>
      <c r="C5" s="1123">
        <v>6.1199999999999997E-2</v>
      </c>
      <c r="D5" s="1123">
        <v>0.1196</v>
      </c>
      <c r="E5" s="1123">
        <v>0.20349999999999999</v>
      </c>
      <c r="F5" s="1123">
        <v>0.1993</v>
      </c>
      <c r="G5" s="1124">
        <v>1.1000000000000001</v>
      </c>
      <c r="H5" s="1124">
        <v>1.23</v>
      </c>
      <c r="I5" s="1123">
        <v>6.7100000000000007E-2</v>
      </c>
      <c r="J5" s="1123">
        <v>0.43490000000000001</v>
      </c>
      <c r="K5" s="1123">
        <v>3.5799999999999998E-2</v>
      </c>
      <c r="L5" s="1123">
        <v>0.24010000000000001</v>
      </c>
      <c r="M5" s="1123">
        <v>5.7299999999999997E-2</v>
      </c>
      <c r="N5" s="1124">
        <v>1.82</v>
      </c>
      <c r="O5" s="1124">
        <v>1.82</v>
      </c>
      <c r="P5" s="1124">
        <v>9.49</v>
      </c>
      <c r="Q5" s="1124">
        <v>14.17</v>
      </c>
      <c r="R5" s="1124">
        <v>3.83</v>
      </c>
      <c r="S5" s="1124">
        <v>36.119999999999997</v>
      </c>
      <c r="T5" s="1123">
        <v>0.2029</v>
      </c>
      <c r="U5" s="1123">
        <v>1.7999999999999999E-2</v>
      </c>
      <c r="V5" s="1123">
        <v>3.0800000000000001E-2</v>
      </c>
      <c r="W5" s="1123">
        <v>0.28510000000000002</v>
      </c>
      <c r="X5" s="1123">
        <v>0.20780000000000001</v>
      </c>
      <c r="Y5" s="1123">
        <v>0.29270000000000002</v>
      </c>
      <c r="Z5" s="1123">
        <v>0.29270000000000002</v>
      </c>
      <c r="AA5" s="1123">
        <v>0.127</v>
      </c>
    </row>
    <row r="6" spans="1:27" ht="12" customHeight="1">
      <c r="A6" s="1126" t="s">
        <v>1632</v>
      </c>
      <c r="B6" s="1125">
        <v>26</v>
      </c>
      <c r="C6" s="1123">
        <v>0.11940000000000001</v>
      </c>
      <c r="D6" s="1123">
        <v>5.2600000000000001E-2</v>
      </c>
      <c r="E6" s="1123">
        <v>4.7399999999999998E-2</v>
      </c>
      <c r="F6" s="1123">
        <v>0.17050000000000001</v>
      </c>
      <c r="G6" s="1124">
        <v>1.02</v>
      </c>
      <c r="H6" s="1124">
        <v>1.1299999999999999</v>
      </c>
      <c r="I6" s="1123">
        <v>6.3E-2</v>
      </c>
      <c r="J6" s="1123">
        <v>0.54779999999999995</v>
      </c>
      <c r="K6" s="1123">
        <v>3.5799999999999998E-2</v>
      </c>
      <c r="L6" s="1123">
        <v>0.16569999999999999</v>
      </c>
      <c r="M6" s="1123">
        <v>5.6899999999999999E-2</v>
      </c>
      <c r="N6" s="1124">
        <v>0.83</v>
      </c>
      <c r="O6" s="1124">
        <v>4.88</v>
      </c>
      <c r="P6" s="1124">
        <v>39.07</v>
      </c>
      <c r="Q6" s="1124">
        <v>83.09</v>
      </c>
      <c r="R6" s="1124">
        <v>9.8800000000000008</v>
      </c>
      <c r="S6" s="1124">
        <v>55.5</v>
      </c>
      <c r="T6" s="1123">
        <v>-4.7100000000000003E-2</v>
      </c>
      <c r="U6" s="1123">
        <v>0.13120000000000001</v>
      </c>
      <c r="V6" s="1123">
        <v>9.6500000000000002E-2</v>
      </c>
      <c r="W6" s="1123">
        <v>2.3776999999999999</v>
      </c>
      <c r="X6" s="1123">
        <v>0.1368</v>
      </c>
      <c r="Y6" s="1123">
        <v>2.7900000000000001E-2</v>
      </c>
      <c r="Z6" s="1123">
        <v>2.7900000000000001E-2</v>
      </c>
      <c r="AA6" s="1123">
        <v>5.8900000000000001E-2</v>
      </c>
    </row>
    <row r="7" spans="1:27" ht="12" customHeight="1">
      <c r="A7" s="1126" t="s">
        <v>1631</v>
      </c>
      <c r="B7" s="1125">
        <v>38</v>
      </c>
      <c r="C7" s="1123">
        <v>6.1100000000000002E-2</v>
      </c>
      <c r="D7" s="1123">
        <v>6.4000000000000001E-2</v>
      </c>
      <c r="E7" s="1123">
        <v>0.1477</v>
      </c>
      <c r="F7" s="1123">
        <v>0.24249999999999999</v>
      </c>
      <c r="G7" s="1124">
        <v>1.21</v>
      </c>
      <c r="H7" s="1124">
        <v>1.4</v>
      </c>
      <c r="I7" s="1123">
        <v>7.4399999999999994E-2</v>
      </c>
      <c r="J7" s="1123">
        <v>0.37140000000000001</v>
      </c>
      <c r="K7" s="1123">
        <v>3.1600000000000003E-2</v>
      </c>
      <c r="L7" s="1123">
        <v>0.24060000000000001</v>
      </c>
      <c r="M7" s="1123">
        <v>6.2E-2</v>
      </c>
      <c r="N7" s="1124">
        <v>2.44</v>
      </c>
      <c r="O7" s="1124">
        <v>1.06</v>
      </c>
      <c r="P7" s="1124">
        <v>7.86</v>
      </c>
      <c r="Q7" s="1124">
        <v>13.85</v>
      </c>
      <c r="R7" s="1124">
        <v>2.95</v>
      </c>
      <c r="S7" s="1124">
        <v>30.43</v>
      </c>
      <c r="T7" s="1123">
        <v>0.13669999999999999</v>
      </c>
      <c r="U7" s="1123">
        <v>3.2000000000000001E-2</v>
      </c>
      <c r="V7" s="1123">
        <v>3.9800000000000002E-2</v>
      </c>
      <c r="W7" s="1123">
        <v>1.2864</v>
      </c>
      <c r="X7" s="1123">
        <v>6.7199999999999996E-2</v>
      </c>
      <c r="Y7" s="1123">
        <v>0.48859999999999998</v>
      </c>
      <c r="Z7" s="1123">
        <v>0.48859999999999998</v>
      </c>
      <c r="AA7" s="1123">
        <v>6.9400000000000003E-2</v>
      </c>
    </row>
    <row r="8" spans="1:27" ht="12" customHeight="1">
      <c r="A8" s="1126" t="s">
        <v>1630</v>
      </c>
      <c r="B8" s="1125">
        <v>7</v>
      </c>
      <c r="C8" s="1123">
        <v>4.6100000000000002E-2</v>
      </c>
      <c r="D8" s="1123">
        <v>0</v>
      </c>
      <c r="E8" s="1123">
        <v>-1E-4</v>
      </c>
      <c r="F8" s="1123">
        <v>0.154</v>
      </c>
      <c r="G8" s="1124">
        <v>1.03</v>
      </c>
      <c r="H8" s="1124">
        <v>1.1200000000000001</v>
      </c>
      <c r="I8" s="1123">
        <v>6.25E-2</v>
      </c>
      <c r="J8" s="1123">
        <v>0.2223</v>
      </c>
      <c r="K8" s="1123">
        <v>2.5000000000000001E-2</v>
      </c>
      <c r="L8" s="1123">
        <v>0.63019999999999998</v>
      </c>
      <c r="M8" s="1123">
        <v>3.4599999999999999E-2</v>
      </c>
      <c r="N8" s="1124">
        <v>0.27</v>
      </c>
      <c r="O8" s="1124">
        <v>4</v>
      </c>
      <c r="P8" s="1127" t="s">
        <v>1547</v>
      </c>
      <c r="Q8" s="1127" t="s">
        <v>1547</v>
      </c>
      <c r="R8" s="1124">
        <v>1.21</v>
      </c>
      <c r="S8" s="1124">
        <v>9</v>
      </c>
      <c r="T8" s="1126" t="s">
        <v>1547</v>
      </c>
      <c r="U8" s="1123">
        <v>9.9000000000000008E-3</v>
      </c>
      <c r="V8" s="1123">
        <v>9.9000000000000008E-3</v>
      </c>
      <c r="W8" s="1126" t="s">
        <v>1547</v>
      </c>
      <c r="X8" s="1123">
        <v>0.1497</v>
      </c>
      <c r="Y8" s="1123">
        <v>0.19700000000000001</v>
      </c>
      <c r="Z8" s="1123">
        <v>0.19700000000000001</v>
      </c>
      <c r="AA8" s="1123">
        <v>-4.0000000000000002E-4</v>
      </c>
    </row>
    <row r="9" spans="1:27" ht="12" customHeight="1">
      <c r="A9" s="1126" t="s">
        <v>1629</v>
      </c>
      <c r="B9" s="1125">
        <v>563</v>
      </c>
      <c r="C9" s="1123">
        <v>0.1174</v>
      </c>
      <c r="D9" s="1123">
        <v>0</v>
      </c>
      <c r="E9" s="1123">
        <v>-8.0000000000000004E-4</v>
      </c>
      <c r="F9" s="1123">
        <v>0.2104</v>
      </c>
      <c r="G9" s="1124">
        <v>0.84</v>
      </c>
      <c r="H9" s="1124">
        <v>0.7</v>
      </c>
      <c r="I9" s="1123">
        <v>4.4699999999999997E-2</v>
      </c>
      <c r="J9" s="1123">
        <v>0.1968</v>
      </c>
      <c r="K9" s="1123">
        <v>2.5000000000000001E-2</v>
      </c>
      <c r="L9" s="1123">
        <v>0.25690000000000002</v>
      </c>
      <c r="M9" s="1123">
        <v>3.7900000000000003E-2</v>
      </c>
      <c r="N9" s="1124">
        <v>0.38</v>
      </c>
      <c r="O9" s="1124">
        <v>3.57</v>
      </c>
      <c r="P9" s="1127" t="s">
        <v>1547</v>
      </c>
      <c r="Q9" s="1127" t="s">
        <v>1547</v>
      </c>
      <c r="R9" s="1124">
        <v>1.39</v>
      </c>
      <c r="S9" s="1124">
        <v>28.84</v>
      </c>
      <c r="T9" s="1126" t="s">
        <v>1547</v>
      </c>
      <c r="U9" s="1123">
        <v>2.5000000000000001E-2</v>
      </c>
      <c r="V9" s="1123">
        <v>5.5899999999999998E-2</v>
      </c>
      <c r="W9" s="1126" t="s">
        <v>1547</v>
      </c>
      <c r="X9" s="1123">
        <v>0.12529999999999999</v>
      </c>
      <c r="Y9" s="1123">
        <v>0.26079999999999998</v>
      </c>
      <c r="Z9" s="1123">
        <v>0.26079999999999998</v>
      </c>
      <c r="AA9" s="1123">
        <v>-2.7000000000000001E-3</v>
      </c>
    </row>
    <row r="10" spans="1:27" ht="12" customHeight="1">
      <c r="A10" s="1126" t="s">
        <v>1628</v>
      </c>
      <c r="B10" s="1125">
        <v>21</v>
      </c>
      <c r="C10" s="1123">
        <v>0.1457</v>
      </c>
      <c r="D10" s="1123">
        <v>0.2303</v>
      </c>
      <c r="E10" s="1123">
        <v>0.15279999999999999</v>
      </c>
      <c r="F10" s="1123">
        <v>0.2702</v>
      </c>
      <c r="G10" s="1124">
        <v>0.72</v>
      </c>
      <c r="H10" s="1124">
        <v>0.82</v>
      </c>
      <c r="I10" s="1123">
        <v>4.9799999999999997E-2</v>
      </c>
      <c r="J10" s="1123">
        <v>0.37869999999999998</v>
      </c>
      <c r="K10" s="1123">
        <v>3.1600000000000003E-2</v>
      </c>
      <c r="L10" s="1123">
        <v>0.1764</v>
      </c>
      <c r="M10" s="1123">
        <v>4.5100000000000001E-2</v>
      </c>
      <c r="N10" s="1124">
        <v>0.72</v>
      </c>
      <c r="O10" s="1124">
        <v>4.78</v>
      </c>
      <c r="P10" s="1124">
        <v>16.72</v>
      </c>
      <c r="Q10" s="1124">
        <v>20.7</v>
      </c>
      <c r="R10" s="1124">
        <v>3.32</v>
      </c>
      <c r="S10" s="1124">
        <v>54.54</v>
      </c>
      <c r="T10" s="1123">
        <v>0.14879999999999999</v>
      </c>
      <c r="U10" s="1123">
        <v>6.8099999999999994E-2</v>
      </c>
      <c r="V10" s="1123">
        <v>2.87E-2</v>
      </c>
      <c r="W10" s="1123">
        <v>0.15229999999999999</v>
      </c>
      <c r="X10" s="1123">
        <v>4.3900000000000002E-2</v>
      </c>
      <c r="Y10" s="1123">
        <v>0.84450000000000003</v>
      </c>
      <c r="Z10" s="1123">
        <v>0.84450000000000003</v>
      </c>
      <c r="AA10" s="1123">
        <v>0.2301</v>
      </c>
    </row>
    <row r="11" spans="1:27" ht="12" customHeight="1">
      <c r="A11" s="1126" t="s">
        <v>1627</v>
      </c>
      <c r="B11" s="1125">
        <v>32</v>
      </c>
      <c r="C11" s="1123">
        <v>0.20469999999999999</v>
      </c>
      <c r="D11" s="1123">
        <v>0.20669999999999999</v>
      </c>
      <c r="E11" s="1123">
        <v>0.27300000000000002</v>
      </c>
      <c r="F11" s="1123">
        <v>0.23330000000000001</v>
      </c>
      <c r="G11" s="1124">
        <v>1.1200000000000001</v>
      </c>
      <c r="H11" s="1124">
        <v>1.22</v>
      </c>
      <c r="I11" s="1123">
        <v>6.6600000000000006E-2</v>
      </c>
      <c r="J11" s="1123">
        <v>0.48270000000000002</v>
      </c>
      <c r="K11" s="1123">
        <v>3.5799999999999998E-2</v>
      </c>
      <c r="L11" s="1123">
        <v>0.14269999999999999</v>
      </c>
      <c r="M11" s="1123">
        <v>6.0900000000000003E-2</v>
      </c>
      <c r="N11" s="1124">
        <v>1.38</v>
      </c>
      <c r="O11" s="1124">
        <v>4.97</v>
      </c>
      <c r="P11" s="1124">
        <v>20</v>
      </c>
      <c r="Q11" s="1124">
        <v>23.92</v>
      </c>
      <c r="R11" s="1124">
        <v>8.42</v>
      </c>
      <c r="S11" s="1124">
        <v>111.14</v>
      </c>
      <c r="T11" s="1123">
        <v>-7.8200000000000006E-2</v>
      </c>
      <c r="U11" s="1123">
        <v>4.53E-2</v>
      </c>
      <c r="V11" s="1123">
        <v>1.6799999999999999E-2</v>
      </c>
      <c r="W11" s="1123">
        <v>0.111</v>
      </c>
      <c r="X11" s="1123">
        <v>0.32800000000000001</v>
      </c>
      <c r="Y11" s="1123">
        <v>0.76319999999999999</v>
      </c>
      <c r="Z11" s="1123">
        <v>0.76319999999999999</v>
      </c>
      <c r="AA11" s="1123">
        <v>0.2074</v>
      </c>
    </row>
    <row r="12" spans="1:27" ht="12" customHeight="1">
      <c r="A12" s="1126" t="s">
        <v>1626</v>
      </c>
      <c r="B12" s="1125">
        <v>28</v>
      </c>
      <c r="C12" s="1123">
        <v>9.64E-2</v>
      </c>
      <c r="D12" s="1123">
        <v>0.1832</v>
      </c>
      <c r="E12" s="1123">
        <v>0.17219999999999999</v>
      </c>
      <c r="F12" s="1123">
        <v>0.1978</v>
      </c>
      <c r="G12" s="1124">
        <v>0.81</v>
      </c>
      <c r="H12" s="1124">
        <v>1.35</v>
      </c>
      <c r="I12" s="1123">
        <v>7.2400000000000006E-2</v>
      </c>
      <c r="J12" s="1123">
        <v>0.48770000000000002</v>
      </c>
      <c r="K12" s="1123">
        <v>3.5799999999999998E-2</v>
      </c>
      <c r="L12" s="1123">
        <v>0.53879999999999995</v>
      </c>
      <c r="M12" s="1123">
        <v>4.7500000000000001E-2</v>
      </c>
      <c r="N12" s="1124">
        <v>1.07</v>
      </c>
      <c r="O12" s="1124">
        <v>1.85</v>
      </c>
      <c r="P12" s="1124">
        <v>7.33</v>
      </c>
      <c r="Q12" s="1124">
        <v>10.17</v>
      </c>
      <c r="R12" s="1124">
        <v>1.33</v>
      </c>
      <c r="S12" s="1124">
        <v>8.83</v>
      </c>
      <c r="T12" s="1123">
        <v>0.1128</v>
      </c>
      <c r="U12" s="1123">
        <v>2.41E-2</v>
      </c>
      <c r="V12" s="1123">
        <v>2.7799999999999998E-2</v>
      </c>
      <c r="W12" s="1123">
        <v>1.1831</v>
      </c>
      <c r="X12" s="1123">
        <v>0.19350000000000001</v>
      </c>
      <c r="Y12" s="1123">
        <v>0.158</v>
      </c>
      <c r="Z12" s="1123">
        <v>0.158</v>
      </c>
      <c r="AA12" s="1123">
        <v>0.18129999999999999</v>
      </c>
    </row>
    <row r="13" spans="1:27" ht="12" customHeight="1">
      <c r="A13" s="1126" t="s">
        <v>1625</v>
      </c>
      <c r="B13" s="1125">
        <v>31</v>
      </c>
      <c r="C13" s="1123">
        <v>0.17960000000000001</v>
      </c>
      <c r="D13" s="1123">
        <v>1.3100000000000001E-2</v>
      </c>
      <c r="E13" s="1123">
        <v>3.7000000000000002E-3</v>
      </c>
      <c r="F13" s="1123">
        <v>0.21290000000000001</v>
      </c>
      <c r="G13" s="1124">
        <v>0.67</v>
      </c>
      <c r="H13" s="1124">
        <v>1.17</v>
      </c>
      <c r="I13" s="1123">
        <v>6.4899999999999999E-2</v>
      </c>
      <c r="J13" s="1123">
        <v>0.31740000000000002</v>
      </c>
      <c r="K13" s="1123">
        <v>3.1600000000000003E-2</v>
      </c>
      <c r="L13" s="1123">
        <v>0.64600000000000002</v>
      </c>
      <c r="M13" s="1123">
        <v>3.7900000000000003E-2</v>
      </c>
      <c r="N13" s="1124">
        <v>0.3</v>
      </c>
      <c r="O13" s="1124">
        <v>5.2</v>
      </c>
      <c r="P13" s="1127" t="s">
        <v>1547</v>
      </c>
      <c r="Q13" s="1127" t="s">
        <v>1547</v>
      </c>
      <c r="R13" s="1124">
        <v>1.74</v>
      </c>
      <c r="S13" s="1124">
        <v>12.62</v>
      </c>
      <c r="T13" s="1126" t="s">
        <v>1547</v>
      </c>
      <c r="U13" s="1123">
        <v>3.8100000000000002E-2</v>
      </c>
      <c r="V13" s="1123">
        <v>-2.8000000000000001E-2</v>
      </c>
      <c r="W13" s="1123">
        <v>-14.802199999999999</v>
      </c>
      <c r="X13" s="1123">
        <v>0.21609999999999999</v>
      </c>
      <c r="Y13" s="1123">
        <v>0.17560000000000001</v>
      </c>
      <c r="Z13" s="1123">
        <v>0.17560000000000001</v>
      </c>
      <c r="AA13" s="1123">
        <v>1.37E-2</v>
      </c>
    </row>
    <row r="14" spans="1:27" ht="12" customHeight="1">
      <c r="A14" s="1126" t="s">
        <v>1624</v>
      </c>
      <c r="B14" s="1125">
        <v>44</v>
      </c>
      <c r="C14" s="1123">
        <v>8.4500000000000006E-2</v>
      </c>
      <c r="D14" s="1123">
        <v>0.1163</v>
      </c>
      <c r="E14" s="1123">
        <v>0.3044</v>
      </c>
      <c r="F14" s="1123">
        <v>0.24909999999999999</v>
      </c>
      <c r="G14" s="1124">
        <v>1.0900000000000001</v>
      </c>
      <c r="H14" s="1124">
        <v>1.19</v>
      </c>
      <c r="I14" s="1123">
        <v>6.54E-2</v>
      </c>
      <c r="J14" s="1123">
        <v>0.34539999999999998</v>
      </c>
      <c r="K14" s="1123">
        <v>3.1600000000000003E-2</v>
      </c>
      <c r="L14" s="1123">
        <v>0.15790000000000001</v>
      </c>
      <c r="M14" s="1123">
        <v>5.8700000000000002E-2</v>
      </c>
      <c r="N14" s="1124">
        <v>3.1</v>
      </c>
      <c r="O14" s="1124">
        <v>2.14</v>
      </c>
      <c r="P14" s="1124">
        <v>13.67</v>
      </c>
      <c r="Q14" s="1124">
        <v>18.11</v>
      </c>
      <c r="R14" s="1124">
        <v>5.12</v>
      </c>
      <c r="S14" s="1124">
        <v>28.1</v>
      </c>
      <c r="T14" s="1123">
        <v>0.17510000000000001</v>
      </c>
      <c r="U14" s="1123">
        <v>2.41E-2</v>
      </c>
      <c r="V14" s="1123">
        <v>4.5100000000000001E-2</v>
      </c>
      <c r="W14" s="1123">
        <v>0.80369999999999997</v>
      </c>
      <c r="X14" s="1123">
        <v>0.31259999999999999</v>
      </c>
      <c r="Y14" s="1123">
        <v>0.151</v>
      </c>
      <c r="Z14" s="1123">
        <v>0.151</v>
      </c>
      <c r="AA14" s="1123">
        <v>0.1182</v>
      </c>
    </row>
    <row r="15" spans="1:27" ht="12" customHeight="1">
      <c r="A15" s="1126" t="s">
        <v>1623</v>
      </c>
      <c r="B15" s="1125">
        <v>160</v>
      </c>
      <c r="C15" s="1123">
        <v>5.3900000000000003E-2</v>
      </c>
      <c r="D15" s="1123">
        <v>9.1200000000000003E-2</v>
      </c>
      <c r="E15" s="1123">
        <v>0.2326</v>
      </c>
      <c r="F15" s="1123">
        <v>0.24840000000000001</v>
      </c>
      <c r="G15" s="1124">
        <v>0.99</v>
      </c>
      <c r="H15" s="1124">
        <v>1.0900000000000001</v>
      </c>
      <c r="I15" s="1123">
        <v>6.13E-2</v>
      </c>
      <c r="J15" s="1123">
        <v>0.41170000000000001</v>
      </c>
      <c r="K15" s="1123">
        <v>3.5799999999999998E-2</v>
      </c>
      <c r="L15" s="1123">
        <v>0.18290000000000001</v>
      </c>
      <c r="M15" s="1123">
        <v>5.4800000000000001E-2</v>
      </c>
      <c r="N15" s="1124">
        <v>2.74</v>
      </c>
      <c r="O15" s="1124">
        <v>2.65</v>
      </c>
      <c r="P15" s="1124">
        <v>16.010000000000002</v>
      </c>
      <c r="Q15" s="1124">
        <v>26.65</v>
      </c>
      <c r="R15" s="1124">
        <v>4.8600000000000003</v>
      </c>
      <c r="S15" s="1124">
        <v>269.88</v>
      </c>
      <c r="T15" s="1123">
        <v>0.12709999999999999</v>
      </c>
      <c r="U15" s="1123">
        <v>2.41E-2</v>
      </c>
      <c r="V15" s="1123">
        <v>3.0700000000000002E-2</v>
      </c>
      <c r="W15" s="1123">
        <v>0.67030000000000001</v>
      </c>
      <c r="X15" s="1123">
        <v>0.13669999999999999</v>
      </c>
      <c r="Y15" s="1123">
        <v>0.30299999999999999</v>
      </c>
      <c r="Z15" s="1123">
        <v>0.30299999999999999</v>
      </c>
      <c r="AA15" s="1123">
        <v>9.4100000000000003E-2</v>
      </c>
    </row>
    <row r="16" spans="1:27" ht="12" customHeight="1">
      <c r="A16" s="1126" t="s">
        <v>1622</v>
      </c>
      <c r="B16" s="1125">
        <v>11</v>
      </c>
      <c r="C16" s="1123">
        <v>0.17419999999999999</v>
      </c>
      <c r="D16" s="1123">
        <v>0.1923</v>
      </c>
      <c r="E16" s="1123">
        <v>0.12770000000000001</v>
      </c>
      <c r="F16" s="1123">
        <v>0.24679999999999999</v>
      </c>
      <c r="G16" s="1124">
        <v>0.66</v>
      </c>
      <c r="H16" s="1124">
        <v>0.93</v>
      </c>
      <c r="I16" s="1123">
        <v>5.4699999999999999E-2</v>
      </c>
      <c r="J16" s="1123">
        <v>0.20069999999999999</v>
      </c>
      <c r="K16" s="1123">
        <v>2.5000000000000001E-2</v>
      </c>
      <c r="L16" s="1123">
        <v>0.37540000000000001</v>
      </c>
      <c r="M16" s="1123">
        <v>4.1000000000000002E-2</v>
      </c>
      <c r="N16" s="1124">
        <v>0.81</v>
      </c>
      <c r="O16" s="1124">
        <v>3.33</v>
      </c>
      <c r="P16" s="1124">
        <v>10.18</v>
      </c>
      <c r="Q16" s="1124">
        <v>17.34</v>
      </c>
      <c r="R16" s="1124">
        <v>2.91</v>
      </c>
      <c r="S16" s="1124">
        <v>27.33</v>
      </c>
      <c r="T16" s="1123">
        <v>-7.6E-3</v>
      </c>
      <c r="U16" s="1123">
        <v>9.9400000000000002E-2</v>
      </c>
      <c r="V16" s="1123">
        <v>-1.7500000000000002E-2</v>
      </c>
      <c r="W16" s="1123">
        <v>-9.8199999999999996E-2</v>
      </c>
      <c r="X16" s="1123">
        <v>0.1638</v>
      </c>
      <c r="Y16" s="1123">
        <v>0.19750000000000001</v>
      </c>
      <c r="Z16" s="1123">
        <v>0.19750000000000001</v>
      </c>
      <c r="AA16" s="1123">
        <v>0.19209999999999999</v>
      </c>
    </row>
    <row r="17" spans="1:27" ht="12" customHeight="1">
      <c r="A17" s="1126" t="s">
        <v>1621</v>
      </c>
      <c r="B17" s="1125">
        <v>35</v>
      </c>
      <c r="C17" s="1123">
        <v>0.2039</v>
      </c>
      <c r="D17" s="1123">
        <v>0.14929999999999999</v>
      </c>
      <c r="E17" s="1123">
        <v>0.27310000000000001</v>
      </c>
      <c r="F17" s="1123">
        <v>0.2079</v>
      </c>
      <c r="G17" s="1124">
        <v>0.94</v>
      </c>
      <c r="H17" s="1124">
        <v>1.1599999999999999</v>
      </c>
      <c r="I17" s="1123">
        <v>6.4399999999999999E-2</v>
      </c>
      <c r="J17" s="1123">
        <v>0.45019999999999999</v>
      </c>
      <c r="K17" s="1123">
        <v>3.5799999999999998E-2</v>
      </c>
      <c r="L17" s="1123">
        <v>0.30919999999999997</v>
      </c>
      <c r="M17" s="1123">
        <v>5.2600000000000001E-2</v>
      </c>
      <c r="N17" s="1124">
        <v>2</v>
      </c>
      <c r="O17" s="1124">
        <v>1.2</v>
      </c>
      <c r="P17" s="1124">
        <v>5.62</v>
      </c>
      <c r="Q17" s="1124">
        <v>7.88</v>
      </c>
      <c r="R17" s="1124">
        <v>2.5099999999999998</v>
      </c>
      <c r="S17" s="1124">
        <v>14.7</v>
      </c>
      <c r="T17" s="1123">
        <v>0.15229999999999999</v>
      </c>
      <c r="U17" s="1123">
        <v>5.0799999999999998E-2</v>
      </c>
      <c r="V17" s="1123">
        <v>3.4599999999999999E-2</v>
      </c>
      <c r="W17" s="1123">
        <v>0.59399999999999997</v>
      </c>
      <c r="X17" s="1123">
        <v>0.47239999999999999</v>
      </c>
      <c r="Y17" s="1123">
        <v>0.27539999999999998</v>
      </c>
      <c r="Z17" s="1123">
        <v>0.27539999999999998</v>
      </c>
      <c r="AA17" s="1123">
        <v>0.15140000000000001</v>
      </c>
    </row>
    <row r="18" spans="1:27" ht="12" customHeight="1">
      <c r="A18" s="1126" t="s">
        <v>1620</v>
      </c>
      <c r="B18" s="1125">
        <v>4</v>
      </c>
      <c r="C18" s="1123">
        <v>8.0600000000000005E-2</v>
      </c>
      <c r="D18" s="1123">
        <v>9.7199999999999995E-2</v>
      </c>
      <c r="E18" s="1123">
        <v>0.13739999999999999</v>
      </c>
      <c r="F18" s="1123">
        <v>0.10879999999999999</v>
      </c>
      <c r="G18" s="1124">
        <v>1.21</v>
      </c>
      <c r="H18" s="1124">
        <v>1.5</v>
      </c>
      <c r="I18" s="1123">
        <v>7.8799999999999995E-2</v>
      </c>
      <c r="J18" s="1123">
        <v>0.37290000000000001</v>
      </c>
      <c r="K18" s="1123">
        <v>3.1600000000000003E-2</v>
      </c>
      <c r="L18" s="1123">
        <v>0.3216</v>
      </c>
      <c r="M18" s="1123">
        <v>6.0900000000000003E-2</v>
      </c>
      <c r="N18" s="1124">
        <v>1.45</v>
      </c>
      <c r="O18" s="1124">
        <v>1.33</v>
      </c>
      <c r="P18" s="1124">
        <v>8.66</v>
      </c>
      <c r="Q18" s="1124">
        <v>13.79</v>
      </c>
      <c r="R18" s="1124">
        <v>2.62</v>
      </c>
      <c r="S18" s="1124">
        <v>11.75</v>
      </c>
      <c r="T18" s="1123">
        <v>0.187</v>
      </c>
      <c r="U18" s="1123">
        <v>4.24E-2</v>
      </c>
      <c r="V18" s="1123">
        <v>1.4800000000000001E-2</v>
      </c>
      <c r="W18" s="1123">
        <v>0.32329999999999998</v>
      </c>
      <c r="X18" s="1123">
        <v>0.28120000000000001</v>
      </c>
      <c r="Y18" s="1123">
        <v>0.27329999999999999</v>
      </c>
      <c r="Z18" s="1123">
        <v>0.27329999999999999</v>
      </c>
      <c r="AA18" s="1123">
        <v>9.8400000000000001E-2</v>
      </c>
    </row>
    <row r="19" spans="1:27" ht="12" customHeight="1">
      <c r="A19" s="1126" t="s">
        <v>1619</v>
      </c>
      <c r="B19" s="1125">
        <v>81</v>
      </c>
      <c r="C19" s="1123">
        <v>7.9299999999999995E-2</v>
      </c>
      <c r="D19" s="1123">
        <v>0.1333</v>
      </c>
      <c r="E19" s="1123">
        <v>0.1502</v>
      </c>
      <c r="F19" s="1123">
        <v>0.1598</v>
      </c>
      <c r="G19" s="1124">
        <v>1</v>
      </c>
      <c r="H19" s="1124">
        <v>1.1000000000000001</v>
      </c>
      <c r="I19" s="1123">
        <v>6.1899999999999997E-2</v>
      </c>
      <c r="J19" s="1123">
        <v>0.40720000000000001</v>
      </c>
      <c r="K19" s="1123">
        <v>3.5799999999999998E-2</v>
      </c>
      <c r="L19" s="1123">
        <v>0.16300000000000001</v>
      </c>
      <c r="M19" s="1123">
        <v>5.6000000000000001E-2</v>
      </c>
      <c r="N19" s="1124">
        <v>1.22</v>
      </c>
      <c r="O19" s="1124">
        <v>3.33</v>
      </c>
      <c r="P19" s="1124">
        <v>15.41</v>
      </c>
      <c r="Q19" s="1124">
        <v>24.5</v>
      </c>
      <c r="R19" s="1124">
        <v>3.49</v>
      </c>
      <c r="S19" s="1124">
        <v>34</v>
      </c>
      <c r="T19" s="1123">
        <v>0.2056</v>
      </c>
      <c r="U19" s="1123">
        <v>6.7000000000000004E-2</v>
      </c>
      <c r="V19" s="1123">
        <v>4.2000000000000003E-2</v>
      </c>
      <c r="W19" s="1123">
        <v>0.44940000000000002</v>
      </c>
      <c r="X19" s="1123">
        <v>0.16</v>
      </c>
      <c r="Y19" s="1123">
        <v>0.29730000000000001</v>
      </c>
      <c r="Z19" s="1123">
        <v>0.29730000000000001</v>
      </c>
      <c r="AA19" s="1123">
        <v>0.13669999999999999</v>
      </c>
    </row>
    <row r="20" spans="1:27" ht="12" customHeight="1">
      <c r="A20" s="1126" t="s">
        <v>1618</v>
      </c>
      <c r="B20" s="1125">
        <v>18</v>
      </c>
      <c r="C20" s="1123">
        <v>-0.21840000000000001</v>
      </c>
      <c r="D20" s="1123">
        <v>-3.2099999999999997E-2</v>
      </c>
      <c r="E20" s="1123">
        <v>-4.0399999999999998E-2</v>
      </c>
      <c r="F20" s="1123">
        <v>3.32E-2</v>
      </c>
      <c r="G20" s="1124">
        <v>0.82</v>
      </c>
      <c r="H20" s="1124">
        <v>0.92</v>
      </c>
      <c r="I20" s="1123">
        <v>5.3900000000000003E-2</v>
      </c>
      <c r="J20" s="1123">
        <v>0.5857</v>
      </c>
      <c r="K20" s="1123">
        <v>3.5799999999999998E-2</v>
      </c>
      <c r="L20" s="1123">
        <v>0.29399999999999998</v>
      </c>
      <c r="M20" s="1123">
        <v>4.5699999999999998E-2</v>
      </c>
      <c r="N20" s="1124">
        <v>1.52</v>
      </c>
      <c r="O20" s="1124">
        <v>1.36</v>
      </c>
      <c r="P20" s="1124">
        <v>8.18</v>
      </c>
      <c r="Q20" s="1127" t="s">
        <v>1547</v>
      </c>
      <c r="R20" s="1124">
        <v>2.61</v>
      </c>
      <c r="S20" s="1124">
        <v>19.43</v>
      </c>
      <c r="T20" s="1123">
        <v>5.8500000000000003E-2</v>
      </c>
      <c r="U20" s="1123">
        <v>0.1069</v>
      </c>
      <c r="V20" s="1123">
        <v>-1.14E-2</v>
      </c>
      <c r="W20" s="1126" t="s">
        <v>1547</v>
      </c>
      <c r="X20" s="1123">
        <v>-0.14399999999999999</v>
      </c>
      <c r="Y20" s="1123">
        <v>5.9999999999999995E-4</v>
      </c>
      <c r="Z20" s="1123">
        <v>5.9999999999999995E-4</v>
      </c>
      <c r="AA20" s="1123">
        <v>-2.6800000000000001E-2</v>
      </c>
    </row>
    <row r="21" spans="1:27" ht="12" customHeight="1">
      <c r="A21" s="1126" t="s">
        <v>1617</v>
      </c>
      <c r="B21" s="1125">
        <v>83</v>
      </c>
      <c r="C21" s="1123">
        <v>8.8700000000000001E-2</v>
      </c>
      <c r="D21" s="1123">
        <v>6.4799999999999996E-2</v>
      </c>
      <c r="E21" s="1123">
        <v>0.21410000000000001</v>
      </c>
      <c r="F21" s="1123">
        <v>0.22090000000000001</v>
      </c>
      <c r="G21" s="1124">
        <v>1.06</v>
      </c>
      <c r="H21" s="1124">
        <v>1.2</v>
      </c>
      <c r="I21" s="1123">
        <v>6.59E-2</v>
      </c>
      <c r="J21" s="1123">
        <v>0.4844</v>
      </c>
      <c r="K21" s="1123">
        <v>3.5799999999999998E-2</v>
      </c>
      <c r="L21" s="1123">
        <v>0.2122</v>
      </c>
      <c r="M21" s="1123">
        <v>5.7500000000000002E-2</v>
      </c>
      <c r="N21" s="1124">
        <v>3.37</v>
      </c>
      <c r="O21" s="1124">
        <v>1.53</v>
      </c>
      <c r="P21" s="1124">
        <v>11.97</v>
      </c>
      <c r="Q21" s="1124">
        <v>21.98</v>
      </c>
      <c r="R21" s="1124">
        <v>4.84</v>
      </c>
      <c r="S21" s="1124">
        <v>38.5</v>
      </c>
      <c r="T21" s="1123">
        <v>0.16070000000000001</v>
      </c>
      <c r="U21" s="1123">
        <v>1.72E-2</v>
      </c>
      <c r="V21" s="1123">
        <v>-9.5999999999999992E-3</v>
      </c>
      <c r="W21" s="1123">
        <v>-0.27979999999999999</v>
      </c>
      <c r="X21" s="1123">
        <v>0.14610000000000001</v>
      </c>
      <c r="Y21" s="1123">
        <v>0.75690000000000002</v>
      </c>
      <c r="Z21" s="1123">
        <v>0.75690000000000002</v>
      </c>
      <c r="AA21" s="1123">
        <v>6.9199999999999998E-2</v>
      </c>
    </row>
    <row r="22" spans="1:27" ht="12" customHeight="1">
      <c r="A22" s="1126" t="s">
        <v>1616</v>
      </c>
      <c r="B22" s="1125">
        <v>46</v>
      </c>
      <c r="C22" s="1123">
        <v>0.1668</v>
      </c>
      <c r="D22" s="1123">
        <v>0.20780000000000001</v>
      </c>
      <c r="E22" s="1123">
        <v>0.44929999999999998</v>
      </c>
      <c r="F22" s="1123">
        <v>0.13250000000000001</v>
      </c>
      <c r="G22" s="1124">
        <v>1.25</v>
      </c>
      <c r="H22" s="1124">
        <v>1.29</v>
      </c>
      <c r="I22" s="1123">
        <v>6.9699999999999998E-2</v>
      </c>
      <c r="J22" s="1123">
        <v>0.51270000000000004</v>
      </c>
      <c r="K22" s="1123">
        <v>3.5799999999999998E-2</v>
      </c>
      <c r="L22" s="1123">
        <v>7.0400000000000004E-2</v>
      </c>
      <c r="M22" s="1123">
        <v>6.6600000000000006E-2</v>
      </c>
      <c r="N22" s="1124">
        <v>2.2200000000000002</v>
      </c>
      <c r="O22" s="1124">
        <v>5.33</v>
      </c>
      <c r="P22" s="1124">
        <v>21.3</v>
      </c>
      <c r="Q22" s="1124">
        <v>25.45</v>
      </c>
      <c r="R22" s="1124">
        <v>26.3</v>
      </c>
      <c r="S22" s="1124">
        <v>14.97</v>
      </c>
      <c r="T22" s="1123">
        <v>-7.5499999999999998E-2</v>
      </c>
      <c r="U22" s="1123">
        <v>2.9899999999999999E-2</v>
      </c>
      <c r="V22" s="1123">
        <v>8.2000000000000007E-3</v>
      </c>
      <c r="W22" s="1123">
        <v>5.6099999999999997E-2</v>
      </c>
      <c r="X22" s="1123">
        <v>6.1000000000000004E-3</v>
      </c>
      <c r="Y22" s="1123">
        <v>0.14879999999999999</v>
      </c>
      <c r="Z22" s="1123">
        <v>0.14879999999999999</v>
      </c>
      <c r="AA22" s="1123">
        <v>0.2127</v>
      </c>
    </row>
    <row r="23" spans="1:27" ht="12" customHeight="1">
      <c r="A23" s="1126" t="s">
        <v>1615</v>
      </c>
      <c r="B23" s="1125">
        <v>48</v>
      </c>
      <c r="C23" s="1123">
        <v>6.2799999999999995E-2</v>
      </c>
      <c r="D23" s="1123">
        <v>0.1103</v>
      </c>
      <c r="E23" s="1123">
        <v>0.1288</v>
      </c>
      <c r="F23" s="1123">
        <v>0.20979999999999999</v>
      </c>
      <c r="G23" s="1124">
        <v>0.98</v>
      </c>
      <c r="H23" s="1124">
        <v>1.1100000000000001</v>
      </c>
      <c r="I23" s="1123">
        <v>6.2100000000000002E-2</v>
      </c>
      <c r="J23" s="1123">
        <v>0.40010000000000001</v>
      </c>
      <c r="K23" s="1123">
        <v>3.5799999999999998E-2</v>
      </c>
      <c r="L23" s="1123">
        <v>0.21840000000000001</v>
      </c>
      <c r="M23" s="1123">
        <v>5.4199999999999998E-2</v>
      </c>
      <c r="N23" s="1124">
        <v>1.3</v>
      </c>
      <c r="O23" s="1124">
        <v>2.39</v>
      </c>
      <c r="P23" s="1124">
        <v>14.26</v>
      </c>
      <c r="Q23" s="1124">
        <v>21.06</v>
      </c>
      <c r="R23" s="1124">
        <v>3.77</v>
      </c>
      <c r="S23" s="1124">
        <v>724.66</v>
      </c>
      <c r="T23" s="1123">
        <v>0.19359999999999999</v>
      </c>
      <c r="U23" s="1123">
        <v>4.8399999999999999E-2</v>
      </c>
      <c r="V23" s="1123">
        <v>3.49E-2</v>
      </c>
      <c r="W23" s="1123">
        <v>0.53349999999999997</v>
      </c>
      <c r="X23" s="1123">
        <v>0.17169999999999999</v>
      </c>
      <c r="Y23" s="1123">
        <v>0.36620000000000003</v>
      </c>
      <c r="Z23" s="1123">
        <v>0.36620000000000003</v>
      </c>
      <c r="AA23" s="1123">
        <v>0.11310000000000001</v>
      </c>
    </row>
    <row r="24" spans="1:27" ht="12" customHeight="1">
      <c r="A24" s="1126" t="s">
        <v>1614</v>
      </c>
      <c r="B24" s="1125">
        <v>22</v>
      </c>
      <c r="C24" s="1123">
        <v>2.8E-3</v>
      </c>
      <c r="D24" s="1123">
        <v>0.30120000000000002</v>
      </c>
      <c r="E24" s="1123">
        <v>0.2145</v>
      </c>
      <c r="F24" s="1123">
        <v>0.19359999999999999</v>
      </c>
      <c r="G24" s="1124">
        <v>0.7</v>
      </c>
      <c r="H24" s="1124">
        <v>0.75</v>
      </c>
      <c r="I24" s="1123">
        <v>4.7100000000000003E-2</v>
      </c>
      <c r="J24" s="1123">
        <v>0.30109999999999998</v>
      </c>
      <c r="K24" s="1123">
        <v>3.1600000000000003E-2</v>
      </c>
      <c r="L24" s="1123">
        <v>0.1845</v>
      </c>
      <c r="M24" s="1123">
        <v>4.2700000000000002E-2</v>
      </c>
      <c r="N24" s="1124">
        <v>0.77</v>
      </c>
      <c r="O24" s="1124">
        <v>2.81</v>
      </c>
      <c r="P24" s="1124">
        <v>7.89</v>
      </c>
      <c r="Q24" s="1124">
        <v>9.2799999999999994</v>
      </c>
      <c r="R24" s="1124">
        <v>1.88</v>
      </c>
      <c r="S24" s="1124">
        <v>103.88</v>
      </c>
      <c r="T24" s="1123">
        <v>5.28E-2</v>
      </c>
      <c r="U24" s="1123">
        <v>4.1799999999999997E-2</v>
      </c>
      <c r="V24" s="1123">
        <v>5.0000000000000001E-3</v>
      </c>
      <c r="W24" s="1123">
        <v>4.2000000000000003E-2</v>
      </c>
      <c r="X24" s="1123">
        <v>0.19919999999999999</v>
      </c>
      <c r="Y24" s="1123">
        <v>6.9599999999999995E-2</v>
      </c>
      <c r="Z24" s="1123">
        <v>6.9599999999999995E-2</v>
      </c>
      <c r="AA24" s="1123">
        <v>0.30030000000000001</v>
      </c>
    </row>
    <row r="25" spans="1:27" ht="12" customHeight="1">
      <c r="A25" s="1126" t="s">
        <v>1613</v>
      </c>
      <c r="B25" s="1125">
        <v>581</v>
      </c>
      <c r="C25" s="1123">
        <v>0.30859999999999999</v>
      </c>
      <c r="D25" s="1123">
        <v>0.1237</v>
      </c>
      <c r="E25" s="1123">
        <v>7.2999999999999995E-2</v>
      </c>
      <c r="F25" s="1123">
        <v>0.1138</v>
      </c>
      <c r="G25" s="1124">
        <v>0.97</v>
      </c>
      <c r="H25" s="1124">
        <v>0.99</v>
      </c>
      <c r="I25" s="1123">
        <v>5.7200000000000001E-2</v>
      </c>
      <c r="J25" s="1123">
        <v>0.50800000000000001</v>
      </c>
      <c r="K25" s="1123">
        <v>3.5799999999999998E-2</v>
      </c>
      <c r="L25" s="1123">
        <v>0.13270000000000001</v>
      </c>
      <c r="M25" s="1123">
        <v>5.3100000000000001E-2</v>
      </c>
      <c r="N25" s="1124">
        <v>0.47</v>
      </c>
      <c r="O25" s="1124">
        <v>7.06</v>
      </c>
      <c r="P25" s="1124">
        <v>11.29</v>
      </c>
      <c r="Q25" s="1124">
        <v>40.42</v>
      </c>
      <c r="R25" s="1124">
        <v>5.99</v>
      </c>
      <c r="S25" s="1124">
        <v>321.36</v>
      </c>
      <c r="T25" s="1123">
        <v>0.12790000000000001</v>
      </c>
      <c r="U25" s="1123">
        <v>3.6200000000000003E-2</v>
      </c>
      <c r="V25" s="1123">
        <v>0.1166</v>
      </c>
      <c r="W25" s="1123">
        <v>1.7986</v>
      </c>
      <c r="X25" s="1123">
        <v>-7.6E-3</v>
      </c>
      <c r="Y25" s="1123">
        <v>5.9999999999999995E-4</v>
      </c>
      <c r="Z25" s="1123">
        <v>5.9999999999999995E-4</v>
      </c>
      <c r="AA25" s="1123">
        <v>0.1573</v>
      </c>
    </row>
    <row r="26" spans="1:27" ht="12" customHeight="1">
      <c r="A26" s="1126" t="s">
        <v>1612</v>
      </c>
      <c r="B26" s="1125">
        <v>298</v>
      </c>
      <c r="C26" s="1123">
        <v>0.42849999999999999</v>
      </c>
      <c r="D26" s="1123">
        <v>0.24709999999999999</v>
      </c>
      <c r="E26" s="1123">
        <v>0.1966</v>
      </c>
      <c r="F26" s="1123">
        <v>0.1153</v>
      </c>
      <c r="G26" s="1124">
        <v>1.01</v>
      </c>
      <c r="H26" s="1124">
        <v>1.08</v>
      </c>
      <c r="I26" s="1123">
        <v>6.0699999999999997E-2</v>
      </c>
      <c r="J26" s="1123">
        <v>0.56169999999999998</v>
      </c>
      <c r="K26" s="1123">
        <v>3.5799999999999998E-2</v>
      </c>
      <c r="L26" s="1123">
        <v>0.12809999999999999</v>
      </c>
      <c r="M26" s="1123">
        <v>5.6300000000000003E-2</v>
      </c>
      <c r="N26" s="1124">
        <v>0.69</v>
      </c>
      <c r="O26" s="1124">
        <v>5.25</v>
      </c>
      <c r="P26" s="1124">
        <v>13.67</v>
      </c>
      <c r="Q26" s="1124">
        <v>20.68</v>
      </c>
      <c r="R26" s="1124">
        <v>5.43</v>
      </c>
      <c r="S26" s="1124">
        <v>45.69</v>
      </c>
      <c r="T26" s="1123">
        <v>0.1845</v>
      </c>
      <c r="U26" s="1123">
        <v>4.8899999999999999E-2</v>
      </c>
      <c r="V26" s="1123">
        <v>7.4399999999999994E-2</v>
      </c>
      <c r="W26" s="1123">
        <v>0.35</v>
      </c>
      <c r="X26" s="1123">
        <v>0.14549999999999999</v>
      </c>
      <c r="Y26" s="1123">
        <v>0.89359999999999995</v>
      </c>
      <c r="Z26" s="1123">
        <v>0.89359999999999995</v>
      </c>
      <c r="AA26" s="1123">
        <v>0.29160000000000003</v>
      </c>
    </row>
    <row r="27" spans="1:27" ht="12" customHeight="1">
      <c r="A27" s="1126" t="s">
        <v>1611</v>
      </c>
      <c r="B27" s="1125">
        <v>35</v>
      </c>
      <c r="C27" s="1123">
        <v>8.0999999999999996E-3</v>
      </c>
      <c r="D27" s="1123">
        <v>5.9200000000000003E-2</v>
      </c>
      <c r="E27" s="1123">
        <v>7.0999999999999994E-2</v>
      </c>
      <c r="F27" s="1123">
        <v>0.2324</v>
      </c>
      <c r="G27" s="1124">
        <v>1.1000000000000001</v>
      </c>
      <c r="H27" s="1124">
        <v>1.1299999999999999</v>
      </c>
      <c r="I27" s="1123">
        <v>6.2799999999999995E-2</v>
      </c>
      <c r="J27" s="1123">
        <v>0.41499999999999998</v>
      </c>
      <c r="K27" s="1123">
        <v>3.5799999999999998E-2</v>
      </c>
      <c r="L27" s="1123">
        <v>0.20449999999999999</v>
      </c>
      <c r="M27" s="1123">
        <v>5.5300000000000002E-2</v>
      </c>
      <c r="N27" s="1124">
        <v>1.17</v>
      </c>
      <c r="O27" s="1124">
        <v>2.72</v>
      </c>
      <c r="P27" s="1124">
        <v>12.34</v>
      </c>
      <c r="Q27" s="1124">
        <v>38.93</v>
      </c>
      <c r="R27" s="1124">
        <v>2.35</v>
      </c>
      <c r="S27" s="1124">
        <v>1160.4000000000001</v>
      </c>
      <c r="T27" s="1123">
        <v>4.2099999999999999E-2</v>
      </c>
      <c r="U27" s="1123">
        <v>4.9299999999999997E-2</v>
      </c>
      <c r="V27" s="1123">
        <v>0.20100000000000001</v>
      </c>
      <c r="W27" s="1123">
        <v>6.0195999999999996</v>
      </c>
      <c r="X27" s="1123">
        <v>8.6099999999999996E-2</v>
      </c>
      <c r="Y27" s="1123">
        <v>7.1099999999999997E-2</v>
      </c>
      <c r="Z27" s="1123">
        <v>7.1099999999999997E-2</v>
      </c>
      <c r="AA27" s="1123">
        <v>6.5000000000000002E-2</v>
      </c>
    </row>
    <row r="28" spans="1:27" ht="12" customHeight="1">
      <c r="A28" s="1126" t="s">
        <v>1610</v>
      </c>
      <c r="B28" s="1125">
        <v>104</v>
      </c>
      <c r="C28" s="1123">
        <v>5.8400000000000001E-2</v>
      </c>
      <c r="D28" s="1123">
        <v>0.114</v>
      </c>
      <c r="E28" s="1123">
        <v>0.2278</v>
      </c>
      <c r="F28" s="1123">
        <v>0.19040000000000001</v>
      </c>
      <c r="G28" s="1124">
        <v>1.19</v>
      </c>
      <c r="H28" s="1124">
        <v>1.25</v>
      </c>
      <c r="I28" s="1123">
        <v>6.7900000000000002E-2</v>
      </c>
      <c r="J28" s="1123">
        <v>0.5766</v>
      </c>
      <c r="K28" s="1123">
        <v>3.5799999999999998E-2</v>
      </c>
      <c r="L28" s="1123">
        <v>0.12039999999999999</v>
      </c>
      <c r="M28" s="1123">
        <v>6.2899999999999998E-2</v>
      </c>
      <c r="N28" s="1124">
        <v>1.99</v>
      </c>
      <c r="O28" s="1124">
        <v>3.98</v>
      </c>
      <c r="P28" s="1124">
        <v>17.190000000000001</v>
      </c>
      <c r="Q28" s="1124">
        <v>28.24</v>
      </c>
      <c r="R28" s="1124">
        <v>5.17</v>
      </c>
      <c r="S28" s="1124">
        <v>52.41</v>
      </c>
      <c r="T28" s="1123">
        <v>0.22500000000000001</v>
      </c>
      <c r="U28" s="1123">
        <v>4.7899999999999998E-2</v>
      </c>
      <c r="V28" s="1123">
        <v>0.1153</v>
      </c>
      <c r="W28" s="1123">
        <v>1.58</v>
      </c>
      <c r="X28" s="1123">
        <v>0.16800000000000001</v>
      </c>
      <c r="Y28" s="1123">
        <v>0.46150000000000002</v>
      </c>
      <c r="Z28" s="1123">
        <v>0.46150000000000002</v>
      </c>
      <c r="AA28" s="1123">
        <v>0.12</v>
      </c>
    </row>
    <row r="29" spans="1:27" ht="12" customHeight="1">
      <c r="A29" s="1126" t="s">
        <v>1609</v>
      </c>
      <c r="B29" s="1125">
        <v>16</v>
      </c>
      <c r="C29" s="1123">
        <v>1.4999999999999999E-2</v>
      </c>
      <c r="D29" s="1123">
        <v>4.8000000000000001E-2</v>
      </c>
      <c r="E29" s="1123">
        <v>0.1832</v>
      </c>
      <c r="F29" s="1123">
        <v>0.1178</v>
      </c>
      <c r="G29" s="1124">
        <v>1.06</v>
      </c>
      <c r="H29" s="1124">
        <v>0.98</v>
      </c>
      <c r="I29" s="1123">
        <v>5.6500000000000002E-2</v>
      </c>
      <c r="J29" s="1123">
        <v>0.52539999999999998</v>
      </c>
      <c r="K29" s="1123">
        <v>3.5799999999999998E-2</v>
      </c>
      <c r="L29" s="1123">
        <v>7.0800000000000002E-2</v>
      </c>
      <c r="M29" s="1123">
        <v>5.4300000000000001E-2</v>
      </c>
      <c r="N29" s="1124">
        <v>3.43</v>
      </c>
      <c r="O29" s="1124">
        <v>1.55</v>
      </c>
      <c r="P29" s="1124">
        <v>18.95</v>
      </c>
      <c r="Q29" s="1124">
        <v>29.61</v>
      </c>
      <c r="R29" s="1124">
        <v>3.97</v>
      </c>
      <c r="S29" s="1124">
        <v>107.94</v>
      </c>
      <c r="T29" s="1123">
        <v>9.3799999999999994E-2</v>
      </c>
      <c r="U29" s="1123">
        <v>1.1900000000000001E-2</v>
      </c>
      <c r="V29" s="1123">
        <v>2.8E-3</v>
      </c>
      <c r="W29" s="1123">
        <v>0.2283</v>
      </c>
      <c r="X29" s="1123">
        <v>0.43569999999999998</v>
      </c>
      <c r="Y29" s="1123">
        <v>0</v>
      </c>
      <c r="Z29" s="1123">
        <v>0</v>
      </c>
      <c r="AA29" s="1123">
        <v>5.5899999999999998E-2</v>
      </c>
    </row>
    <row r="30" spans="1:27" ht="12" customHeight="1">
      <c r="A30" s="1126" t="s">
        <v>1608</v>
      </c>
      <c r="B30" s="1125">
        <v>137</v>
      </c>
      <c r="C30" s="1123">
        <v>8.4099999999999994E-2</v>
      </c>
      <c r="D30" s="1123">
        <v>0.1037</v>
      </c>
      <c r="E30" s="1123">
        <v>0.1759</v>
      </c>
      <c r="F30" s="1123">
        <v>0.17879999999999999</v>
      </c>
      <c r="G30" s="1124">
        <v>1.05</v>
      </c>
      <c r="H30" s="1124">
        <v>1.0900000000000001</v>
      </c>
      <c r="I30" s="1123">
        <v>6.1100000000000002E-2</v>
      </c>
      <c r="J30" s="1123">
        <v>0.4345</v>
      </c>
      <c r="K30" s="1123">
        <v>3.5799999999999998E-2</v>
      </c>
      <c r="L30" s="1123">
        <v>0.11310000000000001</v>
      </c>
      <c r="M30" s="1123">
        <v>5.7200000000000001E-2</v>
      </c>
      <c r="N30" s="1124">
        <v>1.77</v>
      </c>
      <c r="O30" s="1124">
        <v>2.88</v>
      </c>
      <c r="P30" s="1124">
        <v>16.649999999999999</v>
      </c>
      <c r="Q30" s="1124">
        <v>26.43</v>
      </c>
      <c r="R30" s="1124">
        <v>4.54</v>
      </c>
      <c r="S30" s="1124">
        <v>36.619999999999997</v>
      </c>
      <c r="T30" s="1123">
        <v>0.21190000000000001</v>
      </c>
      <c r="U30" s="1123">
        <v>3.8800000000000001E-2</v>
      </c>
      <c r="V30" s="1123">
        <v>8.8700000000000001E-2</v>
      </c>
      <c r="W30" s="1123">
        <v>1.157</v>
      </c>
      <c r="X30" s="1123">
        <v>0.1472</v>
      </c>
      <c r="Y30" s="1123">
        <v>0.18459999999999999</v>
      </c>
      <c r="Z30" s="1123">
        <v>0.18459999999999999</v>
      </c>
      <c r="AA30" s="1123">
        <v>0.1062</v>
      </c>
    </row>
    <row r="31" spans="1:27" ht="12" customHeight="1">
      <c r="A31" s="1126" t="s">
        <v>1607</v>
      </c>
      <c r="B31" s="1125">
        <v>48</v>
      </c>
      <c r="C31" s="1123">
        <v>8.8300000000000003E-2</v>
      </c>
      <c r="D31" s="1123">
        <v>4.7E-2</v>
      </c>
      <c r="E31" s="1123">
        <v>0.15989999999999999</v>
      </c>
      <c r="F31" s="1123">
        <v>0.23480000000000001</v>
      </c>
      <c r="G31" s="1124">
        <v>0.97</v>
      </c>
      <c r="H31" s="1124">
        <v>1.06</v>
      </c>
      <c r="I31" s="1123">
        <v>0.06</v>
      </c>
      <c r="J31" s="1123">
        <v>0.36359999999999998</v>
      </c>
      <c r="K31" s="1123">
        <v>3.1600000000000003E-2</v>
      </c>
      <c r="L31" s="1123">
        <v>0.20380000000000001</v>
      </c>
      <c r="M31" s="1123">
        <v>5.2400000000000002E-2</v>
      </c>
      <c r="N31" s="1124">
        <v>3.73</v>
      </c>
      <c r="O31" s="1124">
        <v>1.06</v>
      </c>
      <c r="P31" s="1124">
        <v>12.63</v>
      </c>
      <c r="Q31" s="1124">
        <v>21.23</v>
      </c>
      <c r="R31" s="1124">
        <v>2.96</v>
      </c>
      <c r="S31" s="1124">
        <v>65.91</v>
      </c>
      <c r="T31" s="1123">
        <v>0.1956</v>
      </c>
      <c r="U31" s="1123">
        <v>2.1899999999999999E-2</v>
      </c>
      <c r="V31" s="1123">
        <v>3.5999999999999997E-2</v>
      </c>
      <c r="W31" s="1123">
        <v>0.97509999999999997</v>
      </c>
      <c r="X31" s="1123">
        <v>6.4799999999999996E-2</v>
      </c>
      <c r="Y31" s="1123">
        <v>8.8200000000000001E-2</v>
      </c>
      <c r="Z31" s="1123">
        <v>8.8200000000000001E-2</v>
      </c>
      <c r="AA31" s="1123">
        <v>4.9500000000000002E-2</v>
      </c>
    </row>
    <row r="32" spans="1:27" ht="12" customHeight="1">
      <c r="A32" s="1126" t="s">
        <v>1606</v>
      </c>
      <c r="B32" s="1125">
        <v>108</v>
      </c>
      <c r="C32" s="1123">
        <v>0.2261</v>
      </c>
      <c r="D32" s="1123">
        <v>8.6699999999999999E-2</v>
      </c>
      <c r="E32" s="1123">
        <v>0.10059999999999999</v>
      </c>
      <c r="F32" s="1123">
        <v>0.12540000000000001</v>
      </c>
      <c r="G32" s="1124">
        <v>0.96</v>
      </c>
      <c r="H32" s="1124">
        <v>1.01</v>
      </c>
      <c r="I32" s="1123">
        <v>5.8000000000000003E-2</v>
      </c>
      <c r="J32" s="1123">
        <v>0.59630000000000005</v>
      </c>
      <c r="K32" s="1123">
        <v>3.5799999999999998E-2</v>
      </c>
      <c r="L32" s="1123">
        <v>0.13220000000000001</v>
      </c>
      <c r="M32" s="1123">
        <v>5.3800000000000001E-2</v>
      </c>
      <c r="N32" s="1124">
        <v>1.18</v>
      </c>
      <c r="O32" s="1124">
        <v>6.37</v>
      </c>
      <c r="P32" s="1124">
        <v>31.58</v>
      </c>
      <c r="Q32" s="1124">
        <v>70.459999999999994</v>
      </c>
      <c r="R32" s="1124">
        <v>5.13</v>
      </c>
      <c r="S32" s="1124">
        <v>765.06</v>
      </c>
      <c r="T32" s="1123">
        <v>-1E-3</v>
      </c>
      <c r="U32" s="1123">
        <v>3.9600000000000003E-2</v>
      </c>
      <c r="V32" s="1123">
        <v>2.6800000000000001E-2</v>
      </c>
      <c r="W32" s="1123">
        <v>0.40889999999999999</v>
      </c>
      <c r="X32" s="1123">
        <v>4.2799999999999998E-2</v>
      </c>
      <c r="Y32" s="1123">
        <v>0.1593</v>
      </c>
      <c r="Z32" s="1123">
        <v>0.1593</v>
      </c>
      <c r="AA32" s="1123">
        <v>8.7499999999999994E-2</v>
      </c>
    </row>
    <row r="33" spans="1:27" ht="12" customHeight="1">
      <c r="A33" s="1126" t="s">
        <v>1605</v>
      </c>
      <c r="B33" s="1125">
        <v>58</v>
      </c>
      <c r="C33" s="1123">
        <v>-4.0000000000000001E-3</v>
      </c>
      <c r="D33" s="1123">
        <v>0.12939999999999999</v>
      </c>
      <c r="E33" s="1123">
        <v>0.25559999999999999</v>
      </c>
      <c r="F33" s="1123">
        <v>0.21820000000000001</v>
      </c>
      <c r="G33" s="1124">
        <v>1.0900000000000001</v>
      </c>
      <c r="H33" s="1124">
        <v>1.24</v>
      </c>
      <c r="I33" s="1123">
        <v>6.7699999999999996E-2</v>
      </c>
      <c r="J33" s="1123">
        <v>0.43009999999999998</v>
      </c>
      <c r="K33" s="1123">
        <v>3.5799999999999998E-2</v>
      </c>
      <c r="L33" s="1123">
        <v>0.1726</v>
      </c>
      <c r="M33" s="1123">
        <v>6.0499999999999998E-2</v>
      </c>
      <c r="N33" s="1124">
        <v>2.0699999999999998</v>
      </c>
      <c r="O33" s="1124">
        <v>3.63</v>
      </c>
      <c r="P33" s="1124">
        <v>15.97</v>
      </c>
      <c r="Q33" s="1124">
        <v>27.38</v>
      </c>
      <c r="R33" s="1124">
        <v>5.78</v>
      </c>
      <c r="S33" s="1124">
        <v>46.33</v>
      </c>
      <c r="T33" s="1123">
        <v>9.7500000000000003E-2</v>
      </c>
      <c r="U33" s="1123">
        <v>6.5500000000000003E-2</v>
      </c>
      <c r="V33" s="1123">
        <v>0.1115</v>
      </c>
      <c r="W33" s="1123">
        <v>1.0955999999999999</v>
      </c>
      <c r="X33" s="1123">
        <v>0.13950000000000001</v>
      </c>
      <c r="Y33" s="1123">
        <v>0.46479999999999999</v>
      </c>
      <c r="Z33" s="1123">
        <v>0.46479999999999999</v>
      </c>
      <c r="AA33" s="1123">
        <v>0.13109999999999999</v>
      </c>
    </row>
    <row r="34" spans="1:27" ht="12" customHeight="1">
      <c r="A34" s="1126" t="s">
        <v>1604</v>
      </c>
      <c r="B34" s="1125">
        <v>36</v>
      </c>
      <c r="C34" s="1123">
        <v>6.8400000000000002E-2</v>
      </c>
      <c r="D34" s="1123">
        <v>7.4999999999999997E-2</v>
      </c>
      <c r="E34" s="1123">
        <v>0.1348</v>
      </c>
      <c r="F34" s="1123">
        <v>0.1923</v>
      </c>
      <c r="G34" s="1124">
        <v>0.85</v>
      </c>
      <c r="H34" s="1124">
        <v>1.03</v>
      </c>
      <c r="I34" s="1123">
        <v>5.8799999999999998E-2</v>
      </c>
      <c r="J34" s="1123">
        <v>0.46450000000000002</v>
      </c>
      <c r="K34" s="1123">
        <v>3.5799999999999998E-2</v>
      </c>
      <c r="L34" s="1123">
        <v>0.26910000000000001</v>
      </c>
      <c r="M34" s="1123">
        <v>0.05</v>
      </c>
      <c r="N34" s="1124">
        <v>1.91</v>
      </c>
      <c r="O34" s="1124">
        <v>1.26</v>
      </c>
      <c r="P34" s="1124">
        <v>12.87</v>
      </c>
      <c r="Q34" s="1124">
        <v>16.350000000000001</v>
      </c>
      <c r="R34" s="1124">
        <v>3.23</v>
      </c>
      <c r="S34" s="1124">
        <v>31.21</v>
      </c>
      <c r="T34" s="1123">
        <v>0.1237</v>
      </c>
      <c r="U34" s="1123">
        <v>2.6100000000000002E-2</v>
      </c>
      <c r="V34" s="1123">
        <v>1.77E-2</v>
      </c>
      <c r="W34" s="1123">
        <v>0.92879999999999996</v>
      </c>
      <c r="X34" s="1123">
        <v>0.26600000000000001</v>
      </c>
      <c r="Y34" s="1123">
        <v>0.1832</v>
      </c>
      <c r="Z34" s="1123">
        <v>0.1832</v>
      </c>
      <c r="AA34" s="1123">
        <v>7.6499999999999999E-2</v>
      </c>
    </row>
    <row r="35" spans="1:27" ht="12" customHeight="1">
      <c r="A35" s="1126" t="s">
        <v>1603</v>
      </c>
      <c r="B35" s="1125">
        <v>223</v>
      </c>
      <c r="C35" s="1123">
        <v>0.113</v>
      </c>
      <c r="D35" s="1123">
        <v>0.1406</v>
      </c>
      <c r="E35" s="1123">
        <v>5.8999999999999999E-3</v>
      </c>
      <c r="F35" s="1123">
        <v>0.19309999999999999</v>
      </c>
      <c r="G35" s="1124">
        <v>0.15</v>
      </c>
      <c r="H35" s="1124">
        <v>0.93</v>
      </c>
      <c r="I35" s="1123">
        <v>5.4399999999999997E-2</v>
      </c>
      <c r="J35" s="1123">
        <v>0.28520000000000001</v>
      </c>
      <c r="K35" s="1123">
        <v>3.1600000000000003E-2</v>
      </c>
      <c r="L35" s="1123">
        <v>0.879</v>
      </c>
      <c r="M35" s="1123">
        <v>2.69E-2</v>
      </c>
      <c r="N35" s="1124">
        <v>0.05</v>
      </c>
      <c r="O35" s="1124">
        <v>25.04</v>
      </c>
      <c r="P35" s="1124">
        <v>104.28</v>
      </c>
      <c r="Q35" s="1124">
        <v>114.39</v>
      </c>
      <c r="R35" s="1124">
        <v>2.39</v>
      </c>
      <c r="S35" s="1124">
        <v>21.86</v>
      </c>
      <c r="T35" s="1126" t="s">
        <v>1547</v>
      </c>
      <c r="U35" s="1123">
        <v>5.4600000000000003E-2</v>
      </c>
      <c r="V35" s="1123">
        <v>8.3099999999999993E-2</v>
      </c>
      <c r="W35" s="1123">
        <v>0.6169</v>
      </c>
      <c r="X35" s="1123">
        <v>2.8E-3</v>
      </c>
      <c r="Y35" s="1123">
        <v>0.15390000000000001</v>
      </c>
      <c r="Z35" s="1123">
        <v>0.15390000000000001</v>
      </c>
      <c r="AA35" s="1123">
        <v>0.14199999999999999</v>
      </c>
    </row>
    <row r="36" spans="1:27" ht="12" customHeight="1">
      <c r="A36" s="1126" t="s">
        <v>1602</v>
      </c>
      <c r="B36" s="1125">
        <v>92</v>
      </c>
      <c r="C36" s="1123">
        <v>0.12989999999999999</v>
      </c>
      <c r="D36" s="1123">
        <v>0.13469999999999999</v>
      </c>
      <c r="E36" s="1123">
        <v>0.19539999999999999</v>
      </c>
      <c r="F36" s="1123">
        <v>0.2331</v>
      </c>
      <c r="G36" s="1124">
        <v>0.63</v>
      </c>
      <c r="H36" s="1124">
        <v>0.75</v>
      </c>
      <c r="I36" s="1123">
        <v>4.6899999999999997E-2</v>
      </c>
      <c r="J36" s="1123">
        <v>0.27689999999999998</v>
      </c>
      <c r="K36" s="1123">
        <v>3.1600000000000003E-2</v>
      </c>
      <c r="L36" s="1123">
        <v>0.23380000000000001</v>
      </c>
      <c r="M36" s="1123">
        <v>4.1399999999999999E-2</v>
      </c>
      <c r="N36" s="1124">
        <v>1.6</v>
      </c>
      <c r="O36" s="1124">
        <v>2.23</v>
      </c>
      <c r="P36" s="1124">
        <v>12.62</v>
      </c>
      <c r="Q36" s="1124">
        <v>16.23</v>
      </c>
      <c r="R36" s="1124">
        <v>2.59</v>
      </c>
      <c r="S36" s="1124">
        <v>51.31</v>
      </c>
      <c r="T36" s="1123">
        <v>5.9200000000000003E-2</v>
      </c>
      <c r="U36" s="1123">
        <v>3.5099999999999999E-2</v>
      </c>
      <c r="V36" s="1123">
        <v>5.0500000000000003E-2</v>
      </c>
      <c r="W36" s="1123">
        <v>0.55600000000000005</v>
      </c>
      <c r="X36" s="1123">
        <v>0.13439999999999999</v>
      </c>
      <c r="Y36" s="1123">
        <v>0.46129999999999999</v>
      </c>
      <c r="Z36" s="1123">
        <v>0.46129999999999999</v>
      </c>
      <c r="AA36" s="1123">
        <v>0.1361</v>
      </c>
    </row>
    <row r="37" spans="1:27" ht="12" customHeight="1">
      <c r="A37" s="1126" t="s">
        <v>1601</v>
      </c>
      <c r="B37" s="1125">
        <v>15</v>
      </c>
      <c r="C37" s="1123">
        <v>0.1719</v>
      </c>
      <c r="D37" s="1123">
        <v>1.9300000000000001E-2</v>
      </c>
      <c r="E37" s="1123">
        <v>0.1229</v>
      </c>
      <c r="F37" s="1123">
        <v>0.17519999999999999</v>
      </c>
      <c r="G37" s="1124">
        <v>1.08</v>
      </c>
      <c r="H37" s="1124">
        <v>1.4</v>
      </c>
      <c r="I37" s="1123">
        <v>7.4499999999999997E-2</v>
      </c>
      <c r="J37" s="1123">
        <v>0.54010000000000002</v>
      </c>
      <c r="K37" s="1123">
        <v>3.5799999999999998E-2</v>
      </c>
      <c r="L37" s="1123">
        <v>0.31940000000000002</v>
      </c>
      <c r="M37" s="1123">
        <v>5.91E-2</v>
      </c>
      <c r="N37" s="1124">
        <v>7.24</v>
      </c>
      <c r="O37" s="1124">
        <v>0.52</v>
      </c>
      <c r="P37" s="1124">
        <v>14.69</v>
      </c>
      <c r="Q37" s="1124">
        <v>28.08</v>
      </c>
      <c r="R37" s="1124">
        <v>4.63</v>
      </c>
      <c r="S37" s="1124">
        <v>47.65</v>
      </c>
      <c r="T37" s="1123">
        <v>6.5699999999999995E-2</v>
      </c>
      <c r="U37" s="1123">
        <v>8.0999999999999996E-3</v>
      </c>
      <c r="V37" s="1123">
        <v>1.52E-2</v>
      </c>
      <c r="W37" s="1123">
        <v>1.5284</v>
      </c>
      <c r="X37" s="1123">
        <v>0.1118</v>
      </c>
      <c r="Y37" s="1123">
        <v>0.84079999999999999</v>
      </c>
      <c r="Z37" s="1123">
        <v>0.84079999999999999</v>
      </c>
      <c r="AA37" s="1123">
        <v>1.8599999999999998E-2</v>
      </c>
    </row>
    <row r="38" spans="1:27" ht="12" customHeight="1">
      <c r="A38" s="1126" t="s">
        <v>1600</v>
      </c>
      <c r="B38" s="1125">
        <v>32</v>
      </c>
      <c r="C38" s="1123">
        <v>6.1899999999999997E-2</v>
      </c>
      <c r="D38" s="1123">
        <v>0.1095</v>
      </c>
      <c r="E38" s="1123">
        <v>0.24759999999999999</v>
      </c>
      <c r="F38" s="1123">
        <v>0.2001</v>
      </c>
      <c r="G38" s="1124">
        <v>0.99</v>
      </c>
      <c r="H38" s="1124">
        <v>1.1100000000000001</v>
      </c>
      <c r="I38" s="1123">
        <v>6.2100000000000002E-2</v>
      </c>
      <c r="J38" s="1123">
        <v>0.44769999999999999</v>
      </c>
      <c r="K38" s="1123">
        <v>3.5799999999999998E-2</v>
      </c>
      <c r="L38" s="1123">
        <v>0.22270000000000001</v>
      </c>
      <c r="M38" s="1123">
        <v>5.4100000000000002E-2</v>
      </c>
      <c r="N38" s="1124">
        <v>2.5299999999999998</v>
      </c>
      <c r="O38" s="1124">
        <v>1.25</v>
      </c>
      <c r="P38" s="1124">
        <v>8.08</v>
      </c>
      <c r="Q38" s="1124">
        <v>11.19</v>
      </c>
      <c r="R38" s="1124">
        <v>2.86</v>
      </c>
      <c r="S38" s="1124">
        <v>13.44</v>
      </c>
      <c r="T38" s="1123">
        <v>0.12820000000000001</v>
      </c>
      <c r="U38" s="1123">
        <v>2.8199999999999999E-2</v>
      </c>
      <c r="V38" s="1123">
        <v>2.7799999999999998E-2</v>
      </c>
      <c r="W38" s="1123">
        <v>0.69679999999999997</v>
      </c>
      <c r="X38" s="1123">
        <v>0.254</v>
      </c>
      <c r="Y38" s="1123">
        <v>0.2208</v>
      </c>
      <c r="Z38" s="1123">
        <v>0.2208</v>
      </c>
      <c r="AA38" s="1123">
        <v>0.111</v>
      </c>
    </row>
    <row r="39" spans="1:27" ht="12" customHeight="1">
      <c r="A39" s="1126" t="s">
        <v>1599</v>
      </c>
      <c r="B39" s="1125">
        <v>20</v>
      </c>
      <c r="C39" s="1123">
        <v>-0.24640000000000001</v>
      </c>
      <c r="D39" s="1123">
        <v>0.2366</v>
      </c>
      <c r="E39" s="1123">
        <v>5.7299999999999997E-2</v>
      </c>
      <c r="F39" s="1123">
        <v>0.28339999999999999</v>
      </c>
      <c r="G39" s="1124">
        <v>1.1000000000000001</v>
      </c>
      <c r="H39" s="1124">
        <v>1.59</v>
      </c>
      <c r="I39" s="1123">
        <v>8.2400000000000001E-2</v>
      </c>
      <c r="J39" s="1123">
        <v>0.81759999999999999</v>
      </c>
      <c r="K39" s="1123">
        <v>8.1199999999999994E-2</v>
      </c>
      <c r="L39" s="1123">
        <v>0.39989999999999998</v>
      </c>
      <c r="M39" s="1123">
        <v>7.3200000000000001E-2</v>
      </c>
      <c r="N39" s="1124">
        <v>0.25</v>
      </c>
      <c r="O39" s="1124">
        <v>10.38</v>
      </c>
      <c r="P39" s="1124">
        <v>16.87</v>
      </c>
      <c r="Q39" s="1124">
        <v>40.450000000000003</v>
      </c>
      <c r="R39" s="1124">
        <v>1.91</v>
      </c>
      <c r="S39" s="1124">
        <v>64.67</v>
      </c>
      <c r="T39" s="1123">
        <v>-1.2668999999999999</v>
      </c>
      <c r="U39" s="1123">
        <v>0.373</v>
      </c>
      <c r="V39" s="1123">
        <v>0.1293</v>
      </c>
      <c r="W39" s="1123">
        <v>1.2302</v>
      </c>
      <c r="X39" s="1123">
        <v>-0.2412</v>
      </c>
      <c r="Y39" s="1123">
        <v>2E-3</v>
      </c>
      <c r="Z39" s="1123">
        <v>2E-3</v>
      </c>
      <c r="AA39" s="1123">
        <v>0.23400000000000001</v>
      </c>
    </row>
    <row r="40" spans="1:27" ht="12" customHeight="1">
      <c r="A40" s="1126" t="s">
        <v>1598</v>
      </c>
      <c r="B40" s="1125">
        <v>244</v>
      </c>
      <c r="C40" s="1123">
        <v>0.1895</v>
      </c>
      <c r="D40" s="1123">
        <v>0.1769</v>
      </c>
      <c r="E40" s="1123">
        <v>0.18640000000000001</v>
      </c>
      <c r="F40" s="1123">
        <v>0.1416</v>
      </c>
      <c r="G40" s="1124">
        <v>0.91</v>
      </c>
      <c r="H40" s="1124">
        <v>0.94</v>
      </c>
      <c r="I40" s="1123">
        <v>5.4899999999999997E-2</v>
      </c>
      <c r="J40" s="1123">
        <v>0.43809999999999999</v>
      </c>
      <c r="K40" s="1123">
        <v>3.5799999999999998E-2</v>
      </c>
      <c r="L40" s="1123">
        <v>7.9299999999999995E-2</v>
      </c>
      <c r="M40" s="1123">
        <v>5.2600000000000001E-2</v>
      </c>
      <c r="N40" s="1124">
        <v>1.04</v>
      </c>
      <c r="O40" s="1124">
        <v>7</v>
      </c>
      <c r="P40" s="1124">
        <v>24.16</v>
      </c>
      <c r="Q40" s="1124">
        <v>37.630000000000003</v>
      </c>
      <c r="R40" s="1124">
        <v>6.3</v>
      </c>
      <c r="S40" s="1124">
        <v>91.03</v>
      </c>
      <c r="T40" s="1123">
        <v>0.23330000000000001</v>
      </c>
      <c r="U40" s="1123">
        <v>5.0700000000000002E-2</v>
      </c>
      <c r="V40" s="1123">
        <v>7.3499999999999996E-2</v>
      </c>
      <c r="W40" s="1123">
        <v>0.50839999999999996</v>
      </c>
      <c r="X40" s="1123">
        <v>0.14180000000000001</v>
      </c>
      <c r="Y40" s="1123">
        <v>0.25259999999999999</v>
      </c>
      <c r="Z40" s="1123">
        <v>0.25259999999999999</v>
      </c>
      <c r="AA40" s="1123">
        <v>0.18709999999999999</v>
      </c>
    </row>
    <row r="41" spans="1:27" ht="12" customHeight="1">
      <c r="A41" s="1126" t="s">
        <v>1597</v>
      </c>
      <c r="B41" s="1125">
        <v>131</v>
      </c>
      <c r="C41" s="1123">
        <v>0.17960000000000001</v>
      </c>
      <c r="D41" s="1123">
        <v>4.2700000000000002E-2</v>
      </c>
      <c r="E41" s="1123">
        <v>0.32050000000000001</v>
      </c>
      <c r="F41" s="1123">
        <v>0.22470000000000001</v>
      </c>
      <c r="G41" s="1124">
        <v>0.95</v>
      </c>
      <c r="H41" s="1124">
        <v>1.06</v>
      </c>
      <c r="I41" s="1123">
        <v>0.06</v>
      </c>
      <c r="J41" s="1123">
        <v>0.46860000000000002</v>
      </c>
      <c r="K41" s="1123">
        <v>3.5799999999999998E-2</v>
      </c>
      <c r="L41" s="1123">
        <v>0.1971</v>
      </c>
      <c r="M41" s="1123">
        <v>5.33E-2</v>
      </c>
      <c r="N41" s="1124">
        <v>8.33</v>
      </c>
      <c r="O41" s="1124">
        <v>0.78</v>
      </c>
      <c r="P41" s="1124">
        <v>13.17</v>
      </c>
      <c r="Q41" s="1124">
        <v>18.11</v>
      </c>
      <c r="R41" s="1124">
        <v>3.59</v>
      </c>
      <c r="S41" s="1124">
        <v>35.909999999999997</v>
      </c>
      <c r="T41" s="1123">
        <v>-6.3899999999999998E-2</v>
      </c>
      <c r="U41" s="1123">
        <v>7.4999999999999997E-3</v>
      </c>
      <c r="V41" s="1123">
        <v>1.6400000000000001E-2</v>
      </c>
      <c r="W41" s="1123">
        <v>0.52290000000000003</v>
      </c>
      <c r="X41" s="1123">
        <v>0.14680000000000001</v>
      </c>
      <c r="Y41" s="1123">
        <v>0.27229999999999999</v>
      </c>
      <c r="Z41" s="1123">
        <v>0.27229999999999999</v>
      </c>
      <c r="AA41" s="1123">
        <v>4.1700000000000001E-2</v>
      </c>
    </row>
    <row r="42" spans="1:27" ht="12" customHeight="1">
      <c r="A42" s="1126" t="s">
        <v>1596</v>
      </c>
      <c r="B42" s="1125">
        <v>142</v>
      </c>
      <c r="C42" s="1123">
        <v>0.15870000000000001</v>
      </c>
      <c r="D42" s="1123">
        <v>0.18090000000000001</v>
      </c>
      <c r="E42" s="1123">
        <v>0.2306</v>
      </c>
      <c r="F42" s="1123">
        <v>0.1711</v>
      </c>
      <c r="G42" s="1124">
        <v>0.91</v>
      </c>
      <c r="H42" s="1124">
        <v>0.94</v>
      </c>
      <c r="I42" s="1123">
        <v>5.5E-2</v>
      </c>
      <c r="J42" s="1123">
        <v>0.46279999999999999</v>
      </c>
      <c r="K42" s="1123">
        <v>3.5799999999999998E-2</v>
      </c>
      <c r="L42" s="1123">
        <v>8.8599999999999998E-2</v>
      </c>
      <c r="M42" s="1123">
        <v>5.2499999999999998E-2</v>
      </c>
      <c r="N42" s="1124">
        <v>1.22</v>
      </c>
      <c r="O42" s="1124">
        <v>7.78</v>
      </c>
      <c r="P42" s="1124">
        <v>25.6</v>
      </c>
      <c r="Q42" s="1124">
        <v>39.39</v>
      </c>
      <c r="R42" s="1124">
        <v>5.79</v>
      </c>
      <c r="S42" s="1124">
        <v>94.11</v>
      </c>
      <c r="T42" s="1123">
        <v>0.19539999999999999</v>
      </c>
      <c r="U42" s="1123">
        <v>4.5400000000000003E-2</v>
      </c>
      <c r="V42" s="1123">
        <v>0.1711</v>
      </c>
      <c r="W42" s="1123">
        <v>1.2827</v>
      </c>
      <c r="X42" s="1123">
        <v>0.19739999999999999</v>
      </c>
      <c r="Y42" s="1123">
        <v>6.5799999999999997E-2</v>
      </c>
      <c r="Z42" s="1123">
        <v>6.5799999999999997E-2</v>
      </c>
      <c r="AA42" s="1123">
        <v>0.19500000000000001</v>
      </c>
    </row>
    <row r="43" spans="1:27" ht="12" customHeight="1">
      <c r="A43" s="1126" t="s">
        <v>1595</v>
      </c>
      <c r="B43" s="1125">
        <v>29</v>
      </c>
      <c r="C43" s="1123">
        <v>0.20250000000000001</v>
      </c>
      <c r="D43" s="1123">
        <v>0.1628</v>
      </c>
      <c r="E43" s="1123">
        <v>0.22919999999999999</v>
      </c>
      <c r="F43" s="1123">
        <v>0.222</v>
      </c>
      <c r="G43" s="1124">
        <v>1.59</v>
      </c>
      <c r="H43" s="1124">
        <v>1.69</v>
      </c>
      <c r="I43" s="1123">
        <v>8.6599999999999996E-2</v>
      </c>
      <c r="J43" s="1123">
        <v>0.3947</v>
      </c>
      <c r="K43" s="1123">
        <v>3.1600000000000003E-2</v>
      </c>
      <c r="L43" s="1123">
        <v>0.18010000000000001</v>
      </c>
      <c r="M43" s="1123">
        <v>7.51E-2</v>
      </c>
      <c r="N43" s="1124">
        <v>1.73</v>
      </c>
      <c r="O43" s="1124">
        <v>1.37</v>
      </c>
      <c r="P43" s="1124">
        <v>8.0399999999999991</v>
      </c>
      <c r="Q43" s="1124">
        <v>8.39</v>
      </c>
      <c r="R43" s="1124">
        <v>2.2000000000000002</v>
      </c>
      <c r="S43" s="1124">
        <v>13.48</v>
      </c>
      <c r="T43" s="1123">
        <v>0.62019999999999997</v>
      </c>
      <c r="U43" s="1123">
        <v>5.4000000000000003E-3</v>
      </c>
      <c r="V43" s="1123">
        <v>5.4000000000000003E-3</v>
      </c>
      <c r="W43" s="1123">
        <v>0.46739999999999998</v>
      </c>
      <c r="X43" s="1123">
        <v>0.27379999999999999</v>
      </c>
      <c r="Y43" s="1123">
        <v>5.8299999999999998E-2</v>
      </c>
      <c r="Z43" s="1123">
        <v>5.8299999999999998E-2</v>
      </c>
      <c r="AA43" s="1123">
        <v>0.16289999999999999</v>
      </c>
    </row>
    <row r="44" spans="1:27" ht="12" customHeight="1">
      <c r="A44" s="1126" t="s">
        <v>1594</v>
      </c>
      <c r="B44" s="1125">
        <v>31</v>
      </c>
      <c r="C44" s="1123">
        <v>-1.6500000000000001E-2</v>
      </c>
      <c r="D44" s="1123">
        <v>0.1285</v>
      </c>
      <c r="E44" s="1123">
        <v>0.23169999999999999</v>
      </c>
      <c r="F44" s="1123">
        <v>0.2094</v>
      </c>
      <c r="G44" s="1124">
        <v>0.96</v>
      </c>
      <c r="H44" s="1124">
        <v>1.41</v>
      </c>
      <c r="I44" s="1123">
        <v>7.4999999999999997E-2</v>
      </c>
      <c r="J44" s="1123">
        <v>0.52310000000000001</v>
      </c>
      <c r="K44" s="1123">
        <v>3.5799999999999998E-2</v>
      </c>
      <c r="L44" s="1123">
        <v>0.41510000000000002</v>
      </c>
      <c r="M44" s="1123">
        <v>5.4699999999999999E-2</v>
      </c>
      <c r="N44" s="1124">
        <v>2.04</v>
      </c>
      <c r="O44" s="1124">
        <v>1.68</v>
      </c>
      <c r="P44" s="1124">
        <v>8.7799999999999994</v>
      </c>
      <c r="Q44" s="1124">
        <v>13.43</v>
      </c>
      <c r="R44" s="1124">
        <v>5.92</v>
      </c>
      <c r="S44" s="1124">
        <v>17.739999999999998</v>
      </c>
      <c r="T44" s="1123">
        <v>0.10920000000000001</v>
      </c>
      <c r="U44" s="1123">
        <v>4.9200000000000001E-2</v>
      </c>
      <c r="V44" s="1123">
        <v>2.9399999999999999E-2</v>
      </c>
      <c r="W44" s="1123">
        <v>0.46929999999999999</v>
      </c>
      <c r="X44" s="1123">
        <v>0.95709999999999995</v>
      </c>
      <c r="Y44" s="1123">
        <v>8.7599999999999997E-2</v>
      </c>
      <c r="Z44" s="1123">
        <v>8.7599999999999997E-2</v>
      </c>
      <c r="AA44" s="1123">
        <v>0.1245</v>
      </c>
    </row>
    <row r="45" spans="1:27" ht="12" customHeight="1">
      <c r="A45" s="1126" t="s">
        <v>1593</v>
      </c>
      <c r="B45" s="1125">
        <v>66</v>
      </c>
      <c r="C45" s="1123">
        <v>2.18E-2</v>
      </c>
      <c r="D45" s="1123">
        <v>-9.11E-2</v>
      </c>
      <c r="E45" s="1123">
        <v>-4.6899999999999997E-2</v>
      </c>
      <c r="F45" s="1123">
        <v>0.26140000000000002</v>
      </c>
      <c r="G45" s="1124">
        <v>1.44</v>
      </c>
      <c r="H45" s="1124">
        <v>1.79</v>
      </c>
      <c r="I45" s="1123">
        <v>9.1200000000000003E-2</v>
      </c>
      <c r="J45" s="1123">
        <v>0.43869999999999998</v>
      </c>
      <c r="K45" s="1123">
        <v>3.5799999999999998E-2</v>
      </c>
      <c r="L45" s="1123">
        <v>0.31509999999999999</v>
      </c>
      <c r="M45" s="1123">
        <v>7.0699999999999999E-2</v>
      </c>
      <c r="N45" s="1124">
        <v>0.39</v>
      </c>
      <c r="O45" s="1124">
        <v>8.8699999999999992</v>
      </c>
      <c r="P45" s="1124">
        <v>27.82</v>
      </c>
      <c r="Q45" s="1127" t="s">
        <v>1547</v>
      </c>
      <c r="R45" s="1124">
        <v>7.56</v>
      </c>
      <c r="S45" s="1124">
        <v>78.209999999999994</v>
      </c>
      <c r="T45" s="1123">
        <v>0.14369999999999999</v>
      </c>
      <c r="U45" s="1123">
        <v>8.4099999999999994E-2</v>
      </c>
      <c r="V45" s="1123">
        <v>1.83E-2</v>
      </c>
      <c r="W45" s="1126" t="s">
        <v>1547</v>
      </c>
      <c r="X45" s="1123">
        <v>-0.40210000000000001</v>
      </c>
      <c r="Y45" s="1123">
        <v>4.0000000000000002E-4</v>
      </c>
      <c r="Z45" s="1123">
        <v>4.0000000000000002E-4</v>
      </c>
      <c r="AA45" s="1123">
        <v>-0.1273</v>
      </c>
    </row>
    <row r="46" spans="1:27" ht="12" customHeight="1">
      <c r="A46" s="1126" t="s">
        <v>1592</v>
      </c>
      <c r="B46" s="1125">
        <v>118</v>
      </c>
      <c r="C46" s="1123">
        <v>0.11700000000000001</v>
      </c>
      <c r="D46" s="1123">
        <v>0.18410000000000001</v>
      </c>
      <c r="E46" s="1123">
        <v>0.39779999999999999</v>
      </c>
      <c r="F46" s="1123">
        <v>0.1946</v>
      </c>
      <c r="G46" s="1124">
        <v>0.92</v>
      </c>
      <c r="H46" s="1124">
        <v>0.98</v>
      </c>
      <c r="I46" s="1123">
        <v>5.6599999999999998E-2</v>
      </c>
      <c r="J46" s="1123">
        <v>0.5857</v>
      </c>
      <c r="K46" s="1123">
        <v>3.5799999999999998E-2</v>
      </c>
      <c r="L46" s="1123">
        <v>0.1118</v>
      </c>
      <c r="M46" s="1123">
        <v>5.3199999999999997E-2</v>
      </c>
      <c r="N46" s="1124">
        <v>2.2799999999999998</v>
      </c>
      <c r="O46" s="1124">
        <v>4.38</v>
      </c>
      <c r="P46" s="1124">
        <v>18.88</v>
      </c>
      <c r="Q46" s="1124">
        <v>23.54</v>
      </c>
      <c r="R46" s="1124">
        <v>10.39</v>
      </c>
      <c r="S46" s="1124">
        <v>49.43</v>
      </c>
      <c r="T46" s="1123">
        <v>7.0699999999999999E-2</v>
      </c>
      <c r="U46" s="1123">
        <v>3.6900000000000002E-2</v>
      </c>
      <c r="V46" s="1123">
        <v>2.46E-2</v>
      </c>
      <c r="W46" s="1123">
        <v>0.1658</v>
      </c>
      <c r="X46" s="1123">
        <v>0.35949999999999999</v>
      </c>
      <c r="Y46" s="1123">
        <v>0.57789999999999997</v>
      </c>
      <c r="Z46" s="1123">
        <v>0.57789999999999997</v>
      </c>
      <c r="AA46" s="1123">
        <v>0.18529999999999999</v>
      </c>
    </row>
    <row r="47" spans="1:27" ht="12" customHeight="1">
      <c r="A47" s="1126" t="s">
        <v>1591</v>
      </c>
      <c r="B47" s="1125">
        <v>79</v>
      </c>
      <c r="C47" s="1123">
        <v>0.13120000000000001</v>
      </c>
      <c r="D47" s="1123">
        <v>0.23780000000000001</v>
      </c>
      <c r="E47" s="1123">
        <v>0.29039999999999999</v>
      </c>
      <c r="F47" s="1123">
        <v>0.19500000000000001</v>
      </c>
      <c r="G47" s="1124">
        <v>1.2</v>
      </c>
      <c r="H47" s="1124">
        <v>1.25</v>
      </c>
      <c r="I47" s="1123">
        <v>6.8099999999999994E-2</v>
      </c>
      <c r="J47" s="1123">
        <v>0.46439999999999998</v>
      </c>
      <c r="K47" s="1123">
        <v>3.5799999999999998E-2</v>
      </c>
      <c r="L47" s="1123">
        <v>9.4E-2</v>
      </c>
      <c r="M47" s="1123">
        <v>6.4199999999999993E-2</v>
      </c>
      <c r="N47" s="1124">
        <v>1.34</v>
      </c>
      <c r="O47" s="1124">
        <v>8.75</v>
      </c>
      <c r="P47" s="1124">
        <v>25.81</v>
      </c>
      <c r="Q47" s="1124">
        <v>35.19</v>
      </c>
      <c r="R47" s="1124">
        <v>7.64</v>
      </c>
      <c r="S47" s="1124">
        <v>106.39</v>
      </c>
      <c r="T47" s="1123">
        <v>6.7900000000000002E-2</v>
      </c>
      <c r="U47" s="1123">
        <v>2.75E-2</v>
      </c>
      <c r="V47" s="1123">
        <v>3.8800000000000001E-2</v>
      </c>
      <c r="W47" s="1123">
        <v>0.26740000000000003</v>
      </c>
      <c r="X47" s="1123">
        <v>0.17510000000000001</v>
      </c>
      <c r="Y47" s="1123">
        <v>0.27700000000000002</v>
      </c>
      <c r="Z47" s="1123">
        <v>0.27700000000000002</v>
      </c>
      <c r="AA47" s="1123">
        <v>0.24310000000000001</v>
      </c>
    </row>
    <row r="48" spans="1:27" ht="12" customHeight="1">
      <c r="A48" s="1126" t="s">
        <v>1590</v>
      </c>
      <c r="B48" s="1125">
        <v>23</v>
      </c>
      <c r="C48" s="1123">
        <v>5.9299999999999999E-2</v>
      </c>
      <c r="D48" s="1123">
        <v>0.1696</v>
      </c>
      <c r="E48" s="1123">
        <v>0.12970000000000001</v>
      </c>
      <c r="F48" s="1123">
        <v>0.1721</v>
      </c>
      <c r="G48" s="1124">
        <v>0.81</v>
      </c>
      <c r="H48" s="1124">
        <v>0.92</v>
      </c>
      <c r="I48" s="1123">
        <v>5.4199999999999998E-2</v>
      </c>
      <c r="J48" s="1123">
        <v>0.3715</v>
      </c>
      <c r="K48" s="1123">
        <v>3.1600000000000003E-2</v>
      </c>
      <c r="L48" s="1123">
        <v>0.2104</v>
      </c>
      <c r="M48" s="1123">
        <v>4.7699999999999999E-2</v>
      </c>
      <c r="N48" s="1124">
        <v>0.86</v>
      </c>
      <c r="O48" s="1124">
        <v>2.38</v>
      </c>
      <c r="P48" s="1124">
        <v>10</v>
      </c>
      <c r="Q48" s="1124">
        <v>13.87</v>
      </c>
      <c r="R48" s="1124">
        <v>1.95</v>
      </c>
      <c r="S48" s="1124">
        <v>54.65</v>
      </c>
      <c r="T48" s="1123">
        <v>-6.9599999999999995E-2</v>
      </c>
      <c r="U48" s="1123">
        <v>9.7999999999999997E-3</v>
      </c>
      <c r="V48" s="1123">
        <v>-1.2800000000000001E-2</v>
      </c>
      <c r="W48" s="1123">
        <v>4.5600000000000002E-2</v>
      </c>
      <c r="X48" s="1123">
        <v>0.13500000000000001</v>
      </c>
      <c r="Y48" s="1123">
        <v>0.28839999999999999</v>
      </c>
      <c r="Z48" s="1123">
        <v>0.28839999999999999</v>
      </c>
      <c r="AA48" s="1123">
        <v>0.16969999999999999</v>
      </c>
    </row>
    <row r="49" spans="1:27" ht="12" customHeight="1">
      <c r="A49" s="1126" t="s">
        <v>1589</v>
      </c>
      <c r="B49" s="1125">
        <v>24</v>
      </c>
      <c r="C49" s="1123">
        <v>6.4600000000000005E-2</v>
      </c>
      <c r="D49" s="1123">
        <v>0.1206</v>
      </c>
      <c r="E49" s="1123">
        <v>6.4899999999999999E-2</v>
      </c>
      <c r="F49" s="1123">
        <v>0.18459999999999999</v>
      </c>
      <c r="G49" s="1124">
        <v>0.88</v>
      </c>
      <c r="H49" s="1124">
        <v>1.22</v>
      </c>
      <c r="I49" s="1123">
        <v>6.7000000000000004E-2</v>
      </c>
      <c r="J49" s="1123">
        <v>0.31809999999999999</v>
      </c>
      <c r="K49" s="1123">
        <v>3.1600000000000003E-2</v>
      </c>
      <c r="L49" s="1123">
        <v>0.48080000000000001</v>
      </c>
      <c r="M49" s="1123">
        <v>4.5900000000000003E-2</v>
      </c>
      <c r="N49" s="1124">
        <v>0.63</v>
      </c>
      <c r="O49" s="1124">
        <v>1.35</v>
      </c>
      <c r="P49" s="1124">
        <v>9.18</v>
      </c>
      <c r="Q49" s="1124">
        <v>10.59</v>
      </c>
      <c r="R49" s="1124">
        <v>0.75</v>
      </c>
      <c r="S49" s="1124">
        <v>99.94</v>
      </c>
      <c r="T49" s="1123">
        <v>6.8000000000000005E-2</v>
      </c>
      <c r="U49" s="1123">
        <v>1.6000000000000001E-3</v>
      </c>
      <c r="V49" s="1123">
        <v>1.1999999999999999E-3</v>
      </c>
      <c r="W49" s="1123">
        <v>8.0999999999999996E-3</v>
      </c>
      <c r="X49" s="1123">
        <v>7.8600000000000003E-2</v>
      </c>
      <c r="Y49" s="1123">
        <v>0.26340000000000002</v>
      </c>
      <c r="Z49" s="1123">
        <v>0.26340000000000002</v>
      </c>
      <c r="AA49" s="1123">
        <v>0.12089999999999999</v>
      </c>
    </row>
    <row r="50" spans="1:27" ht="12" customHeight="1">
      <c r="A50" s="1126" t="s">
        <v>1588</v>
      </c>
      <c r="B50" s="1125">
        <v>52</v>
      </c>
      <c r="C50" s="1123">
        <v>4.1399999999999999E-2</v>
      </c>
      <c r="D50" s="1123">
        <v>0.157</v>
      </c>
      <c r="E50" s="1123">
        <v>0.17380000000000001</v>
      </c>
      <c r="F50" s="1123">
        <v>0.2</v>
      </c>
      <c r="G50" s="1124">
        <v>0.78</v>
      </c>
      <c r="H50" s="1124">
        <v>0.86</v>
      </c>
      <c r="I50" s="1123">
        <v>5.16E-2</v>
      </c>
      <c r="J50" s="1123">
        <v>0.29239999999999999</v>
      </c>
      <c r="K50" s="1123">
        <v>3.1600000000000003E-2</v>
      </c>
      <c r="L50" s="1123">
        <v>0.19009999999999999</v>
      </c>
      <c r="M50" s="1123">
        <v>4.6199999999999998E-2</v>
      </c>
      <c r="N50" s="1124">
        <v>1.27</v>
      </c>
      <c r="O50" s="1124">
        <v>1.31</v>
      </c>
      <c r="P50" s="1124">
        <v>7.03</v>
      </c>
      <c r="Q50" s="1124">
        <v>8.24</v>
      </c>
      <c r="R50" s="1124">
        <v>1.56</v>
      </c>
      <c r="S50" s="1124">
        <v>21.51</v>
      </c>
      <c r="T50" s="1123">
        <v>-0.49030000000000001</v>
      </c>
      <c r="U50" s="1123">
        <v>6.8999999999999999E-3</v>
      </c>
      <c r="V50" s="1123">
        <v>1.01E-2</v>
      </c>
      <c r="W50" s="1123">
        <v>0.22070000000000001</v>
      </c>
      <c r="X50" s="1123">
        <v>0.15640000000000001</v>
      </c>
      <c r="Y50" s="1123">
        <v>0.27089999999999997</v>
      </c>
      <c r="Z50" s="1123">
        <v>0.27089999999999997</v>
      </c>
      <c r="AA50" s="1123">
        <v>0.15759999999999999</v>
      </c>
    </row>
    <row r="51" spans="1:27" ht="12" customHeight="1">
      <c r="A51" s="1126" t="s">
        <v>1587</v>
      </c>
      <c r="B51" s="1125">
        <v>687</v>
      </c>
      <c r="C51" s="1123">
        <v>0.1158</v>
      </c>
      <c r="D51" s="1123">
        <v>0.1623</v>
      </c>
      <c r="E51" s="1123">
        <v>9.7199999999999995E-2</v>
      </c>
      <c r="F51" s="1123">
        <v>0.14680000000000001</v>
      </c>
      <c r="G51" s="1124">
        <v>0.97</v>
      </c>
      <c r="H51" s="1124">
        <v>1.05</v>
      </c>
      <c r="I51" s="1123">
        <v>5.9499999999999997E-2</v>
      </c>
      <c r="J51" s="1123">
        <v>0.31969999999999998</v>
      </c>
      <c r="K51" s="1123">
        <v>3.1600000000000003E-2</v>
      </c>
      <c r="L51" s="1123">
        <v>0.21829999999999999</v>
      </c>
      <c r="M51" s="1123">
        <v>5.16E-2</v>
      </c>
      <c r="N51" s="1124">
        <v>0.61</v>
      </c>
      <c r="O51" s="1124">
        <v>5.42</v>
      </c>
      <c r="P51" s="1124">
        <v>22.26</v>
      </c>
      <c r="Q51" s="1124">
        <v>26.02</v>
      </c>
      <c r="R51" s="1124">
        <v>2.78</v>
      </c>
      <c r="S51" s="1124">
        <v>84.05</v>
      </c>
      <c r="T51" s="1126" t="s">
        <v>1547</v>
      </c>
      <c r="U51" s="1123">
        <v>1.8599999999999998E-2</v>
      </c>
      <c r="V51" s="1123">
        <v>4.2799999999999998E-2</v>
      </c>
      <c r="W51" s="1123">
        <v>0.30709999999999998</v>
      </c>
      <c r="X51" s="1123">
        <v>0.23769999999999999</v>
      </c>
      <c r="Y51" s="1123">
        <v>0.31440000000000001</v>
      </c>
      <c r="Z51" s="1123">
        <v>0.31440000000000001</v>
      </c>
      <c r="AA51" s="1123">
        <v>0.16159999999999999</v>
      </c>
    </row>
    <row r="52" spans="1:27" ht="12" customHeight="1">
      <c r="A52" s="1126" t="s">
        <v>1586</v>
      </c>
      <c r="B52" s="1125">
        <v>111</v>
      </c>
      <c r="C52" s="1123">
        <v>5.2999999999999999E-2</v>
      </c>
      <c r="D52" s="1123">
        <v>0.1467</v>
      </c>
      <c r="E52" s="1123">
        <v>0.2722</v>
      </c>
      <c r="F52" s="1123">
        <v>0.19089999999999999</v>
      </c>
      <c r="G52" s="1124">
        <v>1.18</v>
      </c>
      <c r="H52" s="1124">
        <v>1.25</v>
      </c>
      <c r="I52" s="1123">
        <v>6.8000000000000005E-2</v>
      </c>
      <c r="J52" s="1123">
        <v>0.34749999999999998</v>
      </c>
      <c r="K52" s="1123">
        <v>3.1600000000000003E-2</v>
      </c>
      <c r="L52" s="1123">
        <v>0.1237</v>
      </c>
      <c r="M52" s="1123">
        <v>6.2399999999999997E-2</v>
      </c>
      <c r="N52" s="1124">
        <v>2.04</v>
      </c>
      <c r="O52" s="1124">
        <v>3.25</v>
      </c>
      <c r="P52" s="1124">
        <v>16.27</v>
      </c>
      <c r="Q52" s="1124">
        <v>21.65</v>
      </c>
      <c r="R52" s="1124">
        <v>4.68</v>
      </c>
      <c r="S52" s="1124">
        <v>40.96</v>
      </c>
      <c r="T52" s="1123">
        <v>0.22639999999999999</v>
      </c>
      <c r="U52" s="1123">
        <v>2.1299999999999999E-2</v>
      </c>
      <c r="V52" s="1123">
        <v>2.6800000000000001E-2</v>
      </c>
      <c r="W52" s="1123">
        <v>0.33889999999999998</v>
      </c>
      <c r="X52" s="1123">
        <v>0.21129999999999999</v>
      </c>
      <c r="Y52" s="1123">
        <v>0.27750000000000002</v>
      </c>
      <c r="Z52" s="1123">
        <v>0.27750000000000002</v>
      </c>
      <c r="AA52" s="1123">
        <v>0.14929999999999999</v>
      </c>
    </row>
    <row r="53" spans="1:27" ht="12" customHeight="1">
      <c r="A53" s="1126" t="s">
        <v>1585</v>
      </c>
      <c r="B53" s="1125">
        <v>74</v>
      </c>
      <c r="C53" s="1123">
        <v>0.16569999999999999</v>
      </c>
      <c r="D53" s="1123">
        <v>0.26469999999999999</v>
      </c>
      <c r="E53" s="1123">
        <v>0.36120000000000002</v>
      </c>
      <c r="F53" s="1123">
        <v>0.33979999999999999</v>
      </c>
      <c r="G53" s="1124">
        <v>1.1299999999999999</v>
      </c>
      <c r="H53" s="1124">
        <v>1.17</v>
      </c>
      <c r="I53" s="1123">
        <v>6.4799999999999996E-2</v>
      </c>
      <c r="J53" s="1123">
        <v>0.68079999999999996</v>
      </c>
      <c r="K53" s="1123">
        <v>4.6699999999999998E-2</v>
      </c>
      <c r="L53" s="1123">
        <v>0.15379999999999999</v>
      </c>
      <c r="M53" s="1123">
        <v>6.0100000000000001E-2</v>
      </c>
      <c r="N53" s="1124">
        <v>1.4</v>
      </c>
      <c r="O53" s="1124">
        <v>2.7</v>
      </c>
      <c r="P53" s="1124">
        <v>7.6</v>
      </c>
      <c r="Q53" s="1124">
        <v>9.98</v>
      </c>
      <c r="R53" s="1124">
        <v>3.46</v>
      </c>
      <c r="S53" s="1124">
        <v>49.01</v>
      </c>
      <c r="T53" s="1123">
        <v>0.1159</v>
      </c>
      <c r="U53" s="1123">
        <v>6.6000000000000003E-2</v>
      </c>
      <c r="V53" s="1123">
        <v>8.3999999999999995E-3</v>
      </c>
      <c r="W53" s="1123">
        <v>0.1691</v>
      </c>
      <c r="X53" s="1123">
        <v>0.28960000000000002</v>
      </c>
      <c r="Y53" s="1123">
        <v>0.35949999999999999</v>
      </c>
      <c r="Z53" s="1123">
        <v>0.35949999999999999</v>
      </c>
      <c r="AA53" s="1123">
        <v>0.26379999999999998</v>
      </c>
    </row>
    <row r="54" spans="1:27" ht="12" customHeight="1">
      <c r="A54" s="1126" t="s">
        <v>1584</v>
      </c>
      <c r="B54" s="1125">
        <v>18</v>
      </c>
      <c r="C54" s="1123">
        <v>4.4000000000000003E-3</v>
      </c>
      <c r="D54" s="1123">
        <v>5.8599999999999999E-2</v>
      </c>
      <c r="E54" s="1123">
        <v>0.13469999999999999</v>
      </c>
      <c r="F54" s="1123">
        <v>0.1845</v>
      </c>
      <c r="G54" s="1124">
        <v>1.1100000000000001</v>
      </c>
      <c r="H54" s="1124">
        <v>1.38</v>
      </c>
      <c r="I54" s="1123">
        <v>7.3800000000000004E-2</v>
      </c>
      <c r="J54" s="1123">
        <v>0.31009999999999999</v>
      </c>
      <c r="K54" s="1123">
        <v>3.1600000000000003E-2</v>
      </c>
      <c r="L54" s="1123">
        <v>0.32550000000000001</v>
      </c>
      <c r="M54" s="1123">
        <v>5.7299999999999997E-2</v>
      </c>
      <c r="N54" s="1124">
        <v>2.4300000000000002</v>
      </c>
      <c r="O54" s="1124">
        <v>1.31</v>
      </c>
      <c r="P54" s="1124">
        <v>11.57</v>
      </c>
      <c r="Q54" s="1124">
        <v>21.7</v>
      </c>
      <c r="R54" s="1124">
        <v>2.7</v>
      </c>
      <c r="S54" s="1124">
        <v>38.43</v>
      </c>
      <c r="T54" s="1123">
        <v>6.6699999999999995E-2</v>
      </c>
      <c r="U54" s="1123">
        <v>2.7099999999999999E-2</v>
      </c>
      <c r="V54" s="1123">
        <v>0.11219999999999999</v>
      </c>
      <c r="W54" s="1123">
        <v>2.1027999999999998</v>
      </c>
      <c r="X54" s="1123">
        <v>8.5000000000000006E-2</v>
      </c>
      <c r="Y54" s="1123">
        <v>0.71340000000000003</v>
      </c>
      <c r="Z54" s="1123">
        <v>0.71340000000000003</v>
      </c>
      <c r="AA54" s="1123">
        <v>6.08E-2</v>
      </c>
    </row>
    <row r="55" spans="1:27" ht="12" customHeight="1">
      <c r="A55" s="1126" t="s">
        <v>1583</v>
      </c>
      <c r="B55" s="1125">
        <v>4</v>
      </c>
      <c r="C55" s="1123">
        <v>6.0299999999999999E-2</v>
      </c>
      <c r="D55" s="1123">
        <v>7.1900000000000006E-2</v>
      </c>
      <c r="E55" s="1123">
        <v>5.1200000000000002E-2</v>
      </c>
      <c r="F55" s="1123">
        <v>0.28079999999999999</v>
      </c>
      <c r="G55" s="1124">
        <v>1.25</v>
      </c>
      <c r="H55" s="1124">
        <v>1.47</v>
      </c>
      <c r="I55" s="1123">
        <v>7.7200000000000005E-2</v>
      </c>
      <c r="J55" s="1123">
        <v>0.28710000000000002</v>
      </c>
      <c r="K55" s="1123">
        <v>3.1600000000000003E-2</v>
      </c>
      <c r="L55" s="1123">
        <v>0.2109</v>
      </c>
      <c r="M55" s="1123">
        <v>6.5799999999999997E-2</v>
      </c>
      <c r="N55" s="1124">
        <v>0.86</v>
      </c>
      <c r="O55" s="1124">
        <v>1.59</v>
      </c>
      <c r="P55" s="1124">
        <v>8.42</v>
      </c>
      <c r="Q55" s="1124">
        <v>21.41</v>
      </c>
      <c r="R55" s="1124">
        <v>1.58</v>
      </c>
      <c r="S55" s="1124">
        <v>22.84</v>
      </c>
      <c r="T55" s="1123">
        <v>3.5499999999999997E-2</v>
      </c>
      <c r="U55" s="1123">
        <v>5.4300000000000001E-2</v>
      </c>
      <c r="V55" s="1123">
        <v>-5.8799999999999998E-2</v>
      </c>
      <c r="W55" s="1123">
        <v>-0.69779999999999998</v>
      </c>
      <c r="X55" s="1123">
        <v>1.15E-2</v>
      </c>
      <c r="Y55" s="1123">
        <v>6.8276000000000003</v>
      </c>
      <c r="Z55" s="1123">
        <v>6.8276000000000003</v>
      </c>
      <c r="AA55" s="1123">
        <v>7.4200000000000002E-2</v>
      </c>
    </row>
    <row r="56" spans="1:27" ht="12" customHeight="1">
      <c r="A56" s="1126" t="s">
        <v>1582</v>
      </c>
      <c r="B56" s="1125">
        <v>183</v>
      </c>
      <c r="C56" s="1123">
        <v>0.17419999999999999</v>
      </c>
      <c r="D56" s="1123">
        <v>-2.5700000000000001E-2</v>
      </c>
      <c r="E56" s="1123">
        <v>-1.54E-2</v>
      </c>
      <c r="F56" s="1123">
        <v>0.18210000000000001</v>
      </c>
      <c r="G56" s="1124">
        <v>1.1299999999999999</v>
      </c>
      <c r="H56" s="1124">
        <v>1.32</v>
      </c>
      <c r="I56" s="1123">
        <v>7.1099999999999997E-2</v>
      </c>
      <c r="J56" s="1123">
        <v>0.55479999999999996</v>
      </c>
      <c r="K56" s="1123">
        <v>3.5799999999999998E-2</v>
      </c>
      <c r="L56" s="1123">
        <v>0.2374</v>
      </c>
      <c r="M56" s="1123">
        <v>6.0400000000000002E-2</v>
      </c>
      <c r="N56" s="1124">
        <v>0.64</v>
      </c>
      <c r="O56" s="1124">
        <v>3.1</v>
      </c>
      <c r="P56" s="1124">
        <v>8.2799999999999994</v>
      </c>
      <c r="Q56" s="1127" t="s">
        <v>1547</v>
      </c>
      <c r="R56" s="1124">
        <v>2.2000000000000002</v>
      </c>
      <c r="S56" s="1124">
        <v>31.01</v>
      </c>
      <c r="T56" s="1123">
        <v>-0.11169999999999999</v>
      </c>
      <c r="U56" s="1123">
        <v>0.20169999999999999</v>
      </c>
      <c r="V56" s="1123">
        <v>-0.11600000000000001</v>
      </c>
      <c r="W56" s="1126" t="s">
        <v>1547</v>
      </c>
      <c r="X56" s="1123">
        <v>3.3000000000000002E-2</v>
      </c>
      <c r="Y56" s="1123">
        <v>1.2535000000000001</v>
      </c>
      <c r="Z56" s="1123">
        <v>1.2535000000000001</v>
      </c>
      <c r="AA56" s="1123">
        <v>-2.4500000000000001E-2</v>
      </c>
    </row>
    <row r="57" spans="1:27" ht="12" customHeight="1">
      <c r="A57" s="1126" t="s">
        <v>1581</v>
      </c>
      <c r="B57" s="1125">
        <v>21</v>
      </c>
      <c r="C57" s="1123">
        <v>0.2389</v>
      </c>
      <c r="D57" s="1123">
        <v>0.1648</v>
      </c>
      <c r="E57" s="1123">
        <v>6.8099999999999994E-2</v>
      </c>
      <c r="F57" s="1123">
        <v>0.20280000000000001</v>
      </c>
      <c r="G57" s="1124">
        <v>0.86</v>
      </c>
      <c r="H57" s="1124">
        <v>1.4</v>
      </c>
      <c r="I57" s="1123">
        <v>7.4300000000000005E-2</v>
      </c>
      <c r="J57" s="1123">
        <v>0.44979999999999998</v>
      </c>
      <c r="K57" s="1123">
        <v>3.5799999999999998E-2</v>
      </c>
      <c r="L57" s="1123">
        <v>0.4657</v>
      </c>
      <c r="M57" s="1123">
        <v>5.1799999999999999E-2</v>
      </c>
      <c r="N57" s="1124">
        <v>0.46</v>
      </c>
      <c r="O57" s="1124">
        <v>3.59</v>
      </c>
      <c r="P57" s="1124">
        <v>13.05</v>
      </c>
      <c r="Q57" s="1124">
        <v>21.62</v>
      </c>
      <c r="R57" s="1124">
        <v>1.95</v>
      </c>
      <c r="S57" s="1124">
        <v>262.08</v>
      </c>
      <c r="T57" s="1123">
        <v>2.58E-2</v>
      </c>
      <c r="U57" s="1123">
        <v>9.6799999999999997E-2</v>
      </c>
      <c r="V57" s="1123">
        <v>-4.8999999999999998E-3</v>
      </c>
      <c r="W57" s="1123">
        <v>-7.0599999999999996E-2</v>
      </c>
      <c r="X57" s="1123">
        <v>6.4399999999999999E-2</v>
      </c>
      <c r="Y57" s="1123">
        <v>1.9671000000000001</v>
      </c>
      <c r="Z57" s="1123">
        <v>1.9671000000000001</v>
      </c>
      <c r="AA57" s="1123">
        <v>0.16569999999999999</v>
      </c>
    </row>
    <row r="58" spans="1:27" ht="12" customHeight="1">
      <c r="A58" s="1126" t="s">
        <v>1580</v>
      </c>
      <c r="B58" s="1125">
        <v>100</v>
      </c>
      <c r="C58" s="1123">
        <v>1.0500000000000001E-2</v>
      </c>
      <c r="D58" s="1123">
        <v>1.18E-2</v>
      </c>
      <c r="E58" s="1123">
        <v>2.8199999999999999E-2</v>
      </c>
      <c r="F58" s="1123">
        <v>0.26440000000000002</v>
      </c>
      <c r="G58" s="1124">
        <v>1.18</v>
      </c>
      <c r="H58" s="1124">
        <v>1.5</v>
      </c>
      <c r="I58" s="1123">
        <v>7.85E-2</v>
      </c>
      <c r="J58" s="1123">
        <v>0.49630000000000002</v>
      </c>
      <c r="K58" s="1123">
        <v>3.5799999999999998E-2</v>
      </c>
      <c r="L58" s="1123">
        <v>0.35120000000000001</v>
      </c>
      <c r="M58" s="1123">
        <v>6.0100000000000001E-2</v>
      </c>
      <c r="N58" s="1124">
        <v>2.23</v>
      </c>
      <c r="O58" s="1124">
        <v>0.74</v>
      </c>
      <c r="P58" s="1124">
        <v>12.28</v>
      </c>
      <c r="Q58" s="1124">
        <v>51.64</v>
      </c>
      <c r="R58" s="1124">
        <v>1.58</v>
      </c>
      <c r="S58" s="1124">
        <v>48.9</v>
      </c>
      <c r="T58" s="1123">
        <v>7.3700000000000002E-2</v>
      </c>
      <c r="U58" s="1123">
        <v>2.4199999999999999E-2</v>
      </c>
      <c r="V58" s="1123">
        <v>-7.4000000000000003E-3</v>
      </c>
      <c r="W58" s="1123">
        <v>-1.5397000000000001</v>
      </c>
      <c r="X58" s="1123">
        <v>5.62E-2</v>
      </c>
      <c r="Y58" s="1123">
        <v>0.88900000000000001</v>
      </c>
      <c r="Z58" s="1123">
        <v>0.88900000000000001</v>
      </c>
      <c r="AA58" s="1123">
        <v>1.32E-2</v>
      </c>
    </row>
    <row r="59" spans="1:27" ht="12" customHeight="1">
      <c r="A59" s="1126" t="s">
        <v>1579</v>
      </c>
      <c r="B59" s="1125">
        <v>26</v>
      </c>
      <c r="C59" s="1123">
        <v>4.9200000000000001E-2</v>
      </c>
      <c r="D59" s="1123">
        <v>9.7299999999999998E-2</v>
      </c>
      <c r="E59" s="1123">
        <v>0.154</v>
      </c>
      <c r="F59" s="1123">
        <v>0.23219999999999999</v>
      </c>
      <c r="G59" s="1124">
        <v>0.78</v>
      </c>
      <c r="H59" s="1124">
        <v>1.01</v>
      </c>
      <c r="I59" s="1123">
        <v>5.79E-2</v>
      </c>
      <c r="J59" s="1123">
        <v>0.26379999999999998</v>
      </c>
      <c r="K59" s="1123">
        <v>3.1600000000000003E-2</v>
      </c>
      <c r="L59" s="1123">
        <v>0.33189999999999997</v>
      </c>
      <c r="M59" s="1123">
        <v>4.6300000000000001E-2</v>
      </c>
      <c r="N59" s="1124">
        <v>1.87</v>
      </c>
      <c r="O59" s="1124">
        <v>1.63</v>
      </c>
      <c r="P59" s="1124">
        <v>10.23</v>
      </c>
      <c r="Q59" s="1124">
        <v>16.52</v>
      </c>
      <c r="R59" s="1124">
        <v>3.33</v>
      </c>
      <c r="S59" s="1124">
        <v>20.03</v>
      </c>
      <c r="T59" s="1123">
        <v>0.1055</v>
      </c>
      <c r="U59" s="1123">
        <v>5.4800000000000001E-2</v>
      </c>
      <c r="V59" s="1123">
        <v>3.4299999999999997E-2</v>
      </c>
      <c r="W59" s="1123">
        <v>0.57289999999999996</v>
      </c>
      <c r="X59" s="1123">
        <v>0.2102</v>
      </c>
      <c r="Y59" s="1123">
        <v>0.3221</v>
      </c>
      <c r="Z59" s="1123">
        <v>0.3221</v>
      </c>
      <c r="AA59" s="1123">
        <v>9.9199999999999997E-2</v>
      </c>
    </row>
    <row r="60" spans="1:27" ht="12" customHeight="1">
      <c r="A60" s="1126" t="s">
        <v>1578</v>
      </c>
      <c r="B60" s="1125">
        <v>11</v>
      </c>
      <c r="C60" s="1123">
        <v>1.5100000000000001E-2</v>
      </c>
      <c r="D60" s="1123">
        <v>0.18640000000000001</v>
      </c>
      <c r="E60" s="1123">
        <v>0.44890000000000002</v>
      </c>
      <c r="F60" s="1123">
        <v>0.2228</v>
      </c>
      <c r="G60" s="1124">
        <v>1</v>
      </c>
      <c r="H60" s="1124">
        <v>1.21</v>
      </c>
      <c r="I60" s="1123">
        <v>6.6600000000000006E-2</v>
      </c>
      <c r="J60" s="1123">
        <v>0.30609999999999998</v>
      </c>
      <c r="K60" s="1123">
        <v>3.1600000000000003E-2</v>
      </c>
      <c r="L60" s="1123">
        <v>0.29239999999999999</v>
      </c>
      <c r="M60" s="1123">
        <v>5.3800000000000001E-2</v>
      </c>
      <c r="N60" s="1124">
        <v>2.71</v>
      </c>
      <c r="O60" s="1124">
        <v>1.1399999999999999</v>
      </c>
      <c r="P60" s="1124">
        <v>4.83</v>
      </c>
      <c r="Q60" s="1124">
        <v>6.07</v>
      </c>
      <c r="R60" s="1124">
        <v>2.84</v>
      </c>
      <c r="S60" s="1124">
        <v>15.64</v>
      </c>
      <c r="T60" s="1123">
        <v>0.1134</v>
      </c>
      <c r="U60" s="1123">
        <v>2.87E-2</v>
      </c>
      <c r="V60" s="1123">
        <v>5.8700000000000002E-2</v>
      </c>
      <c r="W60" s="1123">
        <v>0.31969999999999998</v>
      </c>
      <c r="X60" s="1123">
        <v>0.43669999999999998</v>
      </c>
      <c r="Y60" s="1123">
        <v>0.11</v>
      </c>
      <c r="Z60" s="1123">
        <v>0.11</v>
      </c>
      <c r="AA60" s="1123">
        <v>0.18809999999999999</v>
      </c>
    </row>
    <row r="61" spans="1:27" ht="12" customHeight="1">
      <c r="A61" s="1126" t="s">
        <v>1577</v>
      </c>
      <c r="B61" s="1125">
        <v>50</v>
      </c>
      <c r="C61" s="1123">
        <v>4.3299999999999998E-2</v>
      </c>
      <c r="D61" s="1123">
        <v>0.18770000000000001</v>
      </c>
      <c r="E61" s="1123">
        <v>6.0600000000000001E-2</v>
      </c>
      <c r="F61" s="1123">
        <v>0.1852</v>
      </c>
      <c r="G61" s="1124">
        <v>0.56000000000000005</v>
      </c>
      <c r="H61" s="1124">
        <v>0.83</v>
      </c>
      <c r="I61" s="1123">
        <v>5.04E-2</v>
      </c>
      <c r="J61" s="1123">
        <v>0.19489999999999999</v>
      </c>
      <c r="K61" s="1123">
        <v>2.5000000000000001E-2</v>
      </c>
      <c r="L61" s="1123">
        <v>0.41699999999999998</v>
      </c>
      <c r="M61" s="1123">
        <v>3.6999999999999998E-2</v>
      </c>
      <c r="N61" s="1124">
        <v>0.38</v>
      </c>
      <c r="O61" s="1124">
        <v>4.41</v>
      </c>
      <c r="P61" s="1124">
        <v>12.36</v>
      </c>
      <c r="Q61" s="1124">
        <v>23.27</v>
      </c>
      <c r="R61" s="1124">
        <v>2.08</v>
      </c>
      <c r="S61" s="1124">
        <v>25.25</v>
      </c>
      <c r="T61" s="1123">
        <v>3.6400000000000002E-2</v>
      </c>
      <c r="U61" s="1123">
        <v>0.3322</v>
      </c>
      <c r="V61" s="1123">
        <v>0.21010000000000001</v>
      </c>
      <c r="W61" s="1123">
        <v>1.4255</v>
      </c>
      <c r="X61" s="1123">
        <v>8.14E-2</v>
      </c>
      <c r="Y61" s="1123">
        <v>0.82030000000000003</v>
      </c>
      <c r="Z61" s="1123">
        <v>0.82030000000000003</v>
      </c>
      <c r="AA61" s="1123">
        <v>0.187</v>
      </c>
    </row>
    <row r="62" spans="1:27" ht="12" customHeight="1">
      <c r="A62" s="1126" t="s">
        <v>1576</v>
      </c>
      <c r="B62" s="1125">
        <v>76</v>
      </c>
      <c r="C62" s="1123">
        <v>7.9799999999999996E-2</v>
      </c>
      <c r="D62" s="1123">
        <v>0.27579999999999999</v>
      </c>
      <c r="E62" s="1123">
        <v>0.14749999999999999</v>
      </c>
      <c r="F62" s="1123">
        <v>0.3639</v>
      </c>
      <c r="G62" s="1124">
        <v>0.99</v>
      </c>
      <c r="H62" s="1124">
        <v>0.99</v>
      </c>
      <c r="I62" s="1123">
        <v>5.7099999999999998E-2</v>
      </c>
      <c r="J62" s="1123">
        <v>0.56289999999999996</v>
      </c>
      <c r="K62" s="1123">
        <v>3.5799999999999998E-2</v>
      </c>
      <c r="L62" s="1123">
        <v>0.1072</v>
      </c>
      <c r="M62" s="1123">
        <v>5.3699999999999998E-2</v>
      </c>
      <c r="N62" s="1124">
        <v>0.55000000000000004</v>
      </c>
      <c r="O62" s="1124">
        <v>4.25</v>
      </c>
      <c r="P62" s="1124">
        <v>8.48</v>
      </c>
      <c r="Q62" s="1124">
        <v>14.6</v>
      </c>
      <c r="R62" s="1124">
        <v>2.13</v>
      </c>
      <c r="S62" s="1124">
        <v>22.83</v>
      </c>
      <c r="T62" s="1123">
        <v>0.1186</v>
      </c>
      <c r="U62" s="1123">
        <v>0.17369999999999999</v>
      </c>
      <c r="V62" s="1123">
        <v>1.7100000000000001E-2</v>
      </c>
      <c r="W62" s="1123">
        <v>0.17849999999999999</v>
      </c>
      <c r="X62" s="1123">
        <v>7.9899999999999999E-2</v>
      </c>
      <c r="Y62" s="1123">
        <v>0.78239999999999998</v>
      </c>
      <c r="Z62" s="1123">
        <v>0.78239999999999998</v>
      </c>
      <c r="AA62" s="1123">
        <v>0.27650000000000002</v>
      </c>
    </row>
    <row r="63" spans="1:27" ht="12" customHeight="1">
      <c r="A63" s="1126" t="s">
        <v>1575</v>
      </c>
      <c r="B63" s="1125">
        <v>21</v>
      </c>
      <c r="C63" s="1123">
        <v>1.52E-2</v>
      </c>
      <c r="D63" s="1123">
        <v>7.7899999999999997E-2</v>
      </c>
      <c r="E63" s="1123">
        <v>0.15770000000000001</v>
      </c>
      <c r="F63" s="1123">
        <v>0.21149999999999999</v>
      </c>
      <c r="G63" s="1124">
        <v>1.46</v>
      </c>
      <c r="H63" s="1124">
        <v>1.69</v>
      </c>
      <c r="I63" s="1123">
        <v>8.6900000000000005E-2</v>
      </c>
      <c r="J63" s="1123">
        <v>0.308</v>
      </c>
      <c r="K63" s="1123">
        <v>3.1600000000000003E-2</v>
      </c>
      <c r="L63" s="1123">
        <v>0.26900000000000002</v>
      </c>
      <c r="M63" s="1123">
        <v>6.9699999999999998E-2</v>
      </c>
      <c r="N63" s="1124">
        <v>2.2799999999999998</v>
      </c>
      <c r="O63" s="1124">
        <v>1.31</v>
      </c>
      <c r="P63" s="1124">
        <v>9.57</v>
      </c>
      <c r="Q63" s="1124">
        <v>17.03</v>
      </c>
      <c r="R63" s="1124">
        <v>2.04</v>
      </c>
      <c r="S63" s="1124">
        <v>24.66</v>
      </c>
      <c r="T63" s="1123">
        <v>0.1186</v>
      </c>
      <c r="U63" s="1123">
        <v>2.76E-2</v>
      </c>
      <c r="V63" s="1123">
        <v>5.6800000000000003E-2</v>
      </c>
      <c r="W63" s="1123">
        <v>0.90510000000000002</v>
      </c>
      <c r="X63" s="1123">
        <v>8.4400000000000003E-2</v>
      </c>
      <c r="Y63" s="1123">
        <v>0.34649999999999997</v>
      </c>
      <c r="Z63" s="1123">
        <v>0.34649999999999997</v>
      </c>
      <c r="AA63" s="1123">
        <v>7.8E-2</v>
      </c>
    </row>
    <row r="64" spans="1:27" ht="12" customHeight="1">
      <c r="A64" s="1126" t="s">
        <v>1574</v>
      </c>
      <c r="B64" s="1125">
        <v>238</v>
      </c>
      <c r="C64" s="1123">
        <v>8.1600000000000006E-2</v>
      </c>
      <c r="D64" s="1123">
        <v>0.23880000000000001</v>
      </c>
      <c r="E64" s="1123">
        <v>2.75E-2</v>
      </c>
      <c r="F64" s="1123">
        <v>4.7899999999999998E-2</v>
      </c>
      <c r="G64" s="1124">
        <v>0.99</v>
      </c>
      <c r="H64" s="1124">
        <v>1.35</v>
      </c>
      <c r="I64" s="1123">
        <v>7.2300000000000003E-2</v>
      </c>
      <c r="J64" s="1123">
        <v>0.32650000000000001</v>
      </c>
      <c r="K64" s="1123">
        <v>3.1600000000000003E-2</v>
      </c>
      <c r="L64" s="1123">
        <v>0.3498</v>
      </c>
      <c r="M64" s="1123">
        <v>5.5100000000000003E-2</v>
      </c>
      <c r="N64" s="1124">
        <v>0.14000000000000001</v>
      </c>
      <c r="O64" s="1124">
        <v>14.23</v>
      </c>
      <c r="P64" s="1124">
        <v>26.81</v>
      </c>
      <c r="Q64" s="1124">
        <v>64.77</v>
      </c>
      <c r="R64" s="1124">
        <v>2.81</v>
      </c>
      <c r="S64" s="1124">
        <v>62.8</v>
      </c>
      <c r="T64" s="1123">
        <v>1.0709</v>
      </c>
      <c r="U64" s="1123">
        <v>2.8400000000000002E-2</v>
      </c>
      <c r="V64" s="1123">
        <v>-3.3599999999999998E-2</v>
      </c>
      <c r="W64" s="1123">
        <v>-0.19170000000000001</v>
      </c>
      <c r="X64" s="1123">
        <v>7.8100000000000003E-2</v>
      </c>
      <c r="Y64" s="1123">
        <v>1.1237999999999999</v>
      </c>
      <c r="Z64" s="1123">
        <v>1.1237999999999999</v>
      </c>
      <c r="AA64" s="1123">
        <v>0.20399999999999999</v>
      </c>
    </row>
    <row r="65" spans="1:27" ht="12" customHeight="1">
      <c r="A65" s="1126" t="s">
        <v>1573</v>
      </c>
      <c r="B65" s="1125">
        <v>19</v>
      </c>
      <c r="C65" s="1123">
        <v>-8.43E-2</v>
      </c>
      <c r="D65" s="1123">
        <v>7.4399999999999994E-2</v>
      </c>
      <c r="E65" s="1123">
        <v>1.29E-2</v>
      </c>
      <c r="F65" s="1123">
        <v>0.21329999999999999</v>
      </c>
      <c r="G65" s="1124">
        <v>0.74</v>
      </c>
      <c r="H65" s="1124">
        <v>1.06</v>
      </c>
      <c r="I65" s="1123">
        <v>6.0199999999999997E-2</v>
      </c>
      <c r="J65" s="1123">
        <v>0.51319999999999999</v>
      </c>
      <c r="K65" s="1123">
        <v>3.5799999999999998E-2</v>
      </c>
      <c r="L65" s="1123">
        <v>0.44429999999999997</v>
      </c>
      <c r="M65" s="1123">
        <v>4.4999999999999998E-2</v>
      </c>
      <c r="N65" s="1124">
        <v>0.26</v>
      </c>
      <c r="O65" s="1124">
        <v>5.23</v>
      </c>
      <c r="P65" s="1124">
        <v>26.84</v>
      </c>
      <c r="Q65" s="1124">
        <v>93.94</v>
      </c>
      <c r="R65" s="1124">
        <v>1.43</v>
      </c>
      <c r="S65" s="1124">
        <v>494.99</v>
      </c>
      <c r="T65" s="1123">
        <v>-0.1066</v>
      </c>
      <c r="U65" s="1123">
        <v>5.7999999999999996E-3</v>
      </c>
      <c r="V65" s="1123">
        <v>-8.3599999999999994E-2</v>
      </c>
      <c r="W65" s="1123">
        <v>-5.5362</v>
      </c>
      <c r="X65" s="1123">
        <v>-4.5999999999999999E-3</v>
      </c>
      <c r="Y65" s="1123">
        <v>0</v>
      </c>
      <c r="Z65" s="1123">
        <v>0</v>
      </c>
      <c r="AA65" s="1123">
        <v>5.16E-2</v>
      </c>
    </row>
    <row r="66" spans="1:27" ht="12" customHeight="1">
      <c r="A66" s="1126" t="s">
        <v>1572</v>
      </c>
      <c r="B66" s="1125">
        <v>10</v>
      </c>
      <c r="C66" s="1123">
        <v>9.0999999999999998E-2</v>
      </c>
      <c r="D66" s="1123">
        <v>0.15459999999999999</v>
      </c>
      <c r="E66" s="1123">
        <v>5.0099999999999999E-2</v>
      </c>
      <c r="F66" s="1123">
        <v>0.2064</v>
      </c>
      <c r="G66" s="1124">
        <v>0.83</v>
      </c>
      <c r="H66" s="1124">
        <v>0.91</v>
      </c>
      <c r="I66" s="1123">
        <v>5.3499999999999999E-2</v>
      </c>
      <c r="J66" s="1123">
        <v>0.307</v>
      </c>
      <c r="K66" s="1123">
        <v>3.1600000000000003E-2</v>
      </c>
      <c r="L66" s="1123">
        <v>0.2089</v>
      </c>
      <c r="M66" s="1123">
        <v>4.7199999999999999E-2</v>
      </c>
      <c r="N66" s="1124">
        <v>0.36</v>
      </c>
      <c r="O66" s="1124">
        <v>6.06</v>
      </c>
      <c r="P66" s="1124">
        <v>19.93</v>
      </c>
      <c r="Q66" s="1124">
        <v>32.229999999999997</v>
      </c>
      <c r="R66" s="1124">
        <v>1.33</v>
      </c>
      <c r="S66" s="1124">
        <v>68.45</v>
      </c>
      <c r="T66" s="1123">
        <v>2.5099</v>
      </c>
      <c r="U66" s="1123">
        <v>1.7299999999999999E-2</v>
      </c>
      <c r="V66" s="1123">
        <v>6.9999999999999999E-4</v>
      </c>
      <c r="W66" s="1123">
        <v>1.151</v>
      </c>
      <c r="X66" s="1123">
        <v>6.2899999999999998E-2</v>
      </c>
      <c r="Y66" s="1123">
        <v>0.31309999999999999</v>
      </c>
      <c r="Z66" s="1123">
        <v>0.31309999999999999</v>
      </c>
      <c r="AA66" s="1123">
        <v>0.15329999999999999</v>
      </c>
    </row>
    <row r="67" spans="1:27" ht="12" customHeight="1">
      <c r="A67" s="1126" t="s">
        <v>1571</v>
      </c>
      <c r="B67" s="1125">
        <v>51</v>
      </c>
      <c r="C67" s="1123">
        <v>5.4899999999999997E-2</v>
      </c>
      <c r="D67" s="1123">
        <v>2.8999999999999998E-3</v>
      </c>
      <c r="E67" s="1123">
        <v>-2.8000000000000001E-2</v>
      </c>
      <c r="F67" s="1123">
        <v>0.22919999999999999</v>
      </c>
      <c r="G67" s="1124">
        <v>0.87</v>
      </c>
      <c r="H67" s="1124">
        <v>1.1499999999999999</v>
      </c>
      <c r="I67" s="1123">
        <v>6.3700000000000007E-2</v>
      </c>
      <c r="J67" s="1123">
        <v>0.4143</v>
      </c>
      <c r="K67" s="1123">
        <v>3.5799999999999998E-2</v>
      </c>
      <c r="L67" s="1123">
        <v>0.36049999999999999</v>
      </c>
      <c r="M67" s="1123">
        <v>5.0099999999999999E-2</v>
      </c>
      <c r="N67" s="1124">
        <v>1.35</v>
      </c>
      <c r="O67" s="1124">
        <v>2.1800000000000002</v>
      </c>
      <c r="P67" s="1124">
        <v>20.84</v>
      </c>
      <c r="Q67" s="1127" t="s">
        <v>1547</v>
      </c>
      <c r="R67" s="1124">
        <v>3.66</v>
      </c>
      <c r="S67" s="1124">
        <v>35.270000000000003</v>
      </c>
      <c r="T67" s="1123">
        <v>0.26840000000000003</v>
      </c>
      <c r="U67" s="1123">
        <v>1.43E-2</v>
      </c>
      <c r="V67" s="1123">
        <v>1.0200000000000001E-2</v>
      </c>
      <c r="W67" s="1126" t="s">
        <v>1547</v>
      </c>
      <c r="X67" s="1123">
        <v>-0.1081</v>
      </c>
      <c r="Y67" s="1123">
        <v>6.9999999999999999E-4</v>
      </c>
      <c r="Z67" s="1123">
        <v>6.9999999999999999E-4</v>
      </c>
      <c r="AA67" s="1123">
        <v>-2.2499999999999999E-2</v>
      </c>
    </row>
    <row r="68" spans="1:27" ht="12" customHeight="1">
      <c r="A68" s="1126" t="s">
        <v>1570</v>
      </c>
      <c r="B68" s="1125">
        <v>60</v>
      </c>
      <c r="C68" s="1123">
        <v>7.5999999999999998E-2</v>
      </c>
      <c r="D68" s="1123">
        <v>0.1134</v>
      </c>
      <c r="E68" s="1123">
        <v>0.18440000000000001</v>
      </c>
      <c r="F68" s="1123">
        <v>0.1976</v>
      </c>
      <c r="G68" s="1124">
        <v>1.07</v>
      </c>
      <c r="H68" s="1124">
        <v>1.23</v>
      </c>
      <c r="I68" s="1123">
        <v>6.7100000000000007E-2</v>
      </c>
      <c r="J68" s="1123">
        <v>0.50349999999999995</v>
      </c>
      <c r="K68" s="1123">
        <v>3.5799999999999998E-2</v>
      </c>
      <c r="L68" s="1123">
        <v>0.2283</v>
      </c>
      <c r="M68" s="1123">
        <v>5.7799999999999997E-2</v>
      </c>
      <c r="N68" s="1124">
        <v>1.85</v>
      </c>
      <c r="O68" s="1124">
        <v>2.73</v>
      </c>
      <c r="P68" s="1124">
        <v>13.32</v>
      </c>
      <c r="Q68" s="1124">
        <v>24.05</v>
      </c>
      <c r="R68" s="1124">
        <v>5.35</v>
      </c>
      <c r="S68" s="1124">
        <v>28.21</v>
      </c>
      <c r="T68" s="1123">
        <v>0.16209999999999999</v>
      </c>
      <c r="U68" s="1123">
        <v>4.5999999999999999E-2</v>
      </c>
      <c r="V68" s="1123">
        <v>-4.36E-2</v>
      </c>
      <c r="W68" s="1123">
        <v>-0.2999</v>
      </c>
      <c r="X68" s="1123">
        <v>0.2276</v>
      </c>
      <c r="Y68" s="1123">
        <v>0.47989999999999999</v>
      </c>
      <c r="Z68" s="1123">
        <v>0.47989999999999999</v>
      </c>
      <c r="AA68" s="1123">
        <v>0.1074</v>
      </c>
    </row>
    <row r="69" spans="1:27" ht="12" customHeight="1">
      <c r="A69" s="1126" t="s">
        <v>1569</v>
      </c>
      <c r="B69" s="1125">
        <v>2</v>
      </c>
      <c r="C69" s="1123">
        <v>0.1042</v>
      </c>
      <c r="D69" s="1123">
        <v>7.3400000000000007E-2</v>
      </c>
      <c r="E69" s="1123">
        <v>6.6900000000000001E-2</v>
      </c>
      <c r="F69" s="1123">
        <v>0.2273</v>
      </c>
      <c r="G69" s="1124">
        <v>1.3</v>
      </c>
      <c r="H69" s="1124">
        <v>1.37</v>
      </c>
      <c r="I69" s="1123">
        <v>7.3200000000000001E-2</v>
      </c>
      <c r="J69" s="1123">
        <v>0.25950000000000001</v>
      </c>
      <c r="K69" s="1123">
        <v>3.1600000000000003E-2</v>
      </c>
      <c r="L69" s="1123">
        <v>0.27979999999999999</v>
      </c>
      <c r="M69" s="1123">
        <v>5.9200000000000003E-2</v>
      </c>
      <c r="N69" s="1124">
        <v>1.19</v>
      </c>
      <c r="O69" s="1124">
        <v>0.69</v>
      </c>
      <c r="P69" s="1124">
        <v>7.48</v>
      </c>
      <c r="Q69" s="1124">
        <v>9.44</v>
      </c>
      <c r="R69" s="1124">
        <v>0.75</v>
      </c>
      <c r="S69" s="1124">
        <v>12.99</v>
      </c>
      <c r="T69" s="1123">
        <v>2.0899999999999998E-2</v>
      </c>
      <c r="U69" s="1123">
        <v>2.8999999999999998E-3</v>
      </c>
      <c r="V69" s="1123">
        <v>-3.0000000000000001E-3</v>
      </c>
      <c r="W69" s="1123">
        <v>9.8299999999999998E-2</v>
      </c>
      <c r="X69" s="1123">
        <v>5.8299999999999998E-2</v>
      </c>
      <c r="Y69" s="1123">
        <v>0.15190000000000001</v>
      </c>
      <c r="Z69" s="1123">
        <v>0.15190000000000001</v>
      </c>
      <c r="AA69" s="1123">
        <v>7.2900000000000006E-2</v>
      </c>
    </row>
    <row r="70" spans="1:27" ht="12" customHeight="1">
      <c r="A70" s="1126" t="s">
        <v>1568</v>
      </c>
      <c r="B70" s="1125">
        <v>70</v>
      </c>
      <c r="C70" s="1123">
        <v>4.7100000000000003E-2</v>
      </c>
      <c r="D70" s="1123">
        <v>0.1643</v>
      </c>
      <c r="E70" s="1123">
        <v>0.1472</v>
      </c>
      <c r="F70" s="1123">
        <v>0.16070000000000001</v>
      </c>
      <c r="G70" s="1124">
        <v>1.33</v>
      </c>
      <c r="H70" s="1124">
        <v>1.56</v>
      </c>
      <c r="I70" s="1123">
        <v>8.1100000000000005E-2</v>
      </c>
      <c r="J70" s="1123">
        <v>0.42759999999999998</v>
      </c>
      <c r="K70" s="1123">
        <v>3.5799999999999998E-2</v>
      </c>
      <c r="L70" s="1123">
        <v>0.2147</v>
      </c>
      <c r="M70" s="1123">
        <v>6.93E-2</v>
      </c>
      <c r="N70" s="1124">
        <v>1.29</v>
      </c>
      <c r="O70" s="1124">
        <v>5.12</v>
      </c>
      <c r="P70" s="1124">
        <v>19.32</v>
      </c>
      <c r="Q70" s="1124">
        <v>41.2</v>
      </c>
      <c r="R70" s="1127" t="s">
        <v>1547</v>
      </c>
      <c r="S70" s="1124">
        <v>31.33</v>
      </c>
      <c r="T70" s="1123">
        <v>2.3E-3</v>
      </c>
      <c r="U70" s="1123">
        <v>4.9700000000000001E-2</v>
      </c>
      <c r="V70" s="1123">
        <v>1.83E-2</v>
      </c>
      <c r="W70" s="1123">
        <v>0.19040000000000001</v>
      </c>
      <c r="X70" s="1126" t="s">
        <v>1547</v>
      </c>
      <c r="Y70" s="1123">
        <v>0.4743</v>
      </c>
      <c r="Z70" s="1123">
        <v>0.4743</v>
      </c>
      <c r="AA70" s="1123">
        <v>0.1229</v>
      </c>
    </row>
    <row r="71" spans="1:27" ht="12" customHeight="1">
      <c r="A71" s="1126" t="s">
        <v>1567</v>
      </c>
      <c r="B71" s="1125">
        <v>32</v>
      </c>
      <c r="C71" s="1123">
        <v>0.14699999999999999</v>
      </c>
      <c r="D71" s="1123">
        <v>7.0300000000000001E-2</v>
      </c>
      <c r="E71" s="1123">
        <v>0.1547</v>
      </c>
      <c r="F71" s="1123">
        <v>0.22939999999999999</v>
      </c>
      <c r="G71" s="1124">
        <v>1.1200000000000001</v>
      </c>
      <c r="H71" s="1124">
        <v>1.4</v>
      </c>
      <c r="I71" s="1123">
        <v>7.4399999999999994E-2</v>
      </c>
      <c r="J71" s="1123">
        <v>0.44490000000000002</v>
      </c>
      <c r="K71" s="1123">
        <v>3.5799999999999998E-2</v>
      </c>
      <c r="L71" s="1123">
        <v>0.27850000000000003</v>
      </c>
      <c r="M71" s="1123">
        <v>6.0900000000000003E-2</v>
      </c>
      <c r="N71" s="1124">
        <v>2.87</v>
      </c>
      <c r="O71" s="1124">
        <v>1.17</v>
      </c>
      <c r="P71" s="1124">
        <v>12.16</v>
      </c>
      <c r="Q71" s="1124">
        <v>18.420000000000002</v>
      </c>
      <c r="R71" s="1124">
        <v>7.06</v>
      </c>
      <c r="S71" s="1124">
        <v>14.01</v>
      </c>
      <c r="T71" s="1123">
        <v>8.2699999999999996E-2</v>
      </c>
      <c r="U71" s="1123">
        <v>1.6899999999999998E-2</v>
      </c>
      <c r="V71" s="1123">
        <v>3.4000000000000002E-2</v>
      </c>
      <c r="W71" s="1123">
        <v>0.56410000000000005</v>
      </c>
      <c r="X71" s="1123">
        <v>0.4718</v>
      </c>
      <c r="Y71" s="1123">
        <v>4.2599999999999999E-2</v>
      </c>
      <c r="Z71" s="1123">
        <v>4.2599999999999999E-2</v>
      </c>
      <c r="AA71" s="1123">
        <v>6.2899999999999998E-2</v>
      </c>
    </row>
    <row r="72" spans="1:27" ht="12" customHeight="1">
      <c r="A72" s="1126" t="s">
        <v>1566</v>
      </c>
      <c r="B72" s="1125">
        <v>16</v>
      </c>
      <c r="C72" s="1123">
        <v>0.17430000000000001</v>
      </c>
      <c r="D72" s="1123">
        <v>0.14399999999999999</v>
      </c>
      <c r="E72" s="1123">
        <v>0.54620000000000002</v>
      </c>
      <c r="F72" s="1123">
        <v>0.23849999999999999</v>
      </c>
      <c r="G72" s="1124">
        <v>1.42</v>
      </c>
      <c r="H72" s="1124">
        <v>1.52</v>
      </c>
      <c r="I72" s="1123">
        <v>7.9699999999999993E-2</v>
      </c>
      <c r="J72" s="1123">
        <v>0.44729999999999998</v>
      </c>
      <c r="K72" s="1123">
        <v>3.5799999999999998E-2</v>
      </c>
      <c r="L72" s="1123">
        <v>0.11849999999999999</v>
      </c>
      <c r="M72" s="1123">
        <v>7.3400000000000007E-2</v>
      </c>
      <c r="N72" s="1124">
        <v>4.55</v>
      </c>
      <c r="O72" s="1124">
        <v>2.63</v>
      </c>
      <c r="P72" s="1124">
        <v>14.87</v>
      </c>
      <c r="Q72" s="1124">
        <v>18.53</v>
      </c>
      <c r="R72" s="1124">
        <v>116.15</v>
      </c>
      <c r="S72" s="1124">
        <v>21.78</v>
      </c>
      <c r="T72" s="1123">
        <v>6.5699999999999995E-2</v>
      </c>
      <c r="U72" s="1123">
        <v>2.1299999999999999E-2</v>
      </c>
      <c r="V72" s="1123">
        <v>3.3399999999999999E-2</v>
      </c>
      <c r="W72" s="1123">
        <v>0.51729999999999998</v>
      </c>
      <c r="X72" s="1123">
        <v>9.7000000000000003E-3</v>
      </c>
      <c r="Y72" s="1123">
        <v>0.33900000000000002</v>
      </c>
      <c r="Z72" s="1123">
        <v>0.33900000000000002</v>
      </c>
      <c r="AA72" s="1123">
        <v>0.14219999999999999</v>
      </c>
    </row>
    <row r="73" spans="1:27" ht="12" customHeight="1">
      <c r="A73" s="1126" t="s">
        <v>1565</v>
      </c>
      <c r="B73" s="1125">
        <v>68</v>
      </c>
      <c r="C73" s="1123">
        <v>4.1000000000000002E-2</v>
      </c>
      <c r="D73" s="1123">
        <v>9.6199999999999994E-2</v>
      </c>
      <c r="E73" s="1123">
        <v>0.16270000000000001</v>
      </c>
      <c r="F73" s="1123">
        <v>0.23749999999999999</v>
      </c>
      <c r="G73" s="1124">
        <v>1.06</v>
      </c>
      <c r="H73" s="1124">
        <v>1.28</v>
      </c>
      <c r="I73" s="1123">
        <v>6.9400000000000003E-2</v>
      </c>
      <c r="J73" s="1123">
        <v>0.43099999999999999</v>
      </c>
      <c r="K73" s="1123">
        <v>3.5799999999999998E-2</v>
      </c>
      <c r="L73" s="1123">
        <v>0.24460000000000001</v>
      </c>
      <c r="M73" s="1123">
        <v>5.8799999999999998E-2</v>
      </c>
      <c r="N73" s="1124">
        <v>1.88</v>
      </c>
      <c r="O73" s="1124">
        <v>1.85</v>
      </c>
      <c r="P73" s="1124">
        <v>14.68</v>
      </c>
      <c r="Q73" s="1124">
        <v>18.760000000000002</v>
      </c>
      <c r="R73" s="1124">
        <v>4.2300000000000004</v>
      </c>
      <c r="S73" s="1124">
        <v>34.700000000000003</v>
      </c>
      <c r="T73" s="1123">
        <v>0.15609999999999999</v>
      </c>
      <c r="U73" s="1123">
        <v>5.67E-2</v>
      </c>
      <c r="V73" s="1123">
        <v>7.5999999999999998E-2</v>
      </c>
      <c r="W73" s="1123">
        <v>1.1172</v>
      </c>
      <c r="X73" s="1123">
        <v>0.19550000000000001</v>
      </c>
      <c r="Y73" s="1123">
        <v>0.28199999999999997</v>
      </c>
      <c r="Z73" s="1123">
        <v>0.28199999999999997</v>
      </c>
      <c r="AA73" s="1123">
        <v>9.8199999999999996E-2</v>
      </c>
    </row>
    <row r="74" spans="1:27" ht="12" customHeight="1">
      <c r="A74" s="1126" t="s">
        <v>1564</v>
      </c>
      <c r="B74" s="1125">
        <v>16</v>
      </c>
      <c r="C74" s="1123">
        <v>3.8899999999999997E-2</v>
      </c>
      <c r="D74" s="1123">
        <v>5.5399999999999998E-2</v>
      </c>
      <c r="E74" s="1123">
        <v>0.20880000000000001</v>
      </c>
      <c r="F74" s="1123">
        <v>0.2782</v>
      </c>
      <c r="G74" s="1124">
        <v>1.04</v>
      </c>
      <c r="H74" s="1124">
        <v>1.1200000000000001</v>
      </c>
      <c r="I74" s="1123">
        <v>6.2399999999999997E-2</v>
      </c>
      <c r="J74" s="1123">
        <v>0.33879999999999999</v>
      </c>
      <c r="K74" s="1123">
        <v>3.1600000000000003E-2</v>
      </c>
      <c r="L74" s="1123">
        <v>0.13830000000000001</v>
      </c>
      <c r="M74" s="1123">
        <v>5.7000000000000002E-2</v>
      </c>
      <c r="N74" s="1124">
        <v>4.99</v>
      </c>
      <c r="O74" s="1124">
        <v>0.96</v>
      </c>
      <c r="P74" s="1124">
        <v>11.84</v>
      </c>
      <c r="Q74" s="1124">
        <v>18.77</v>
      </c>
      <c r="R74" s="1124">
        <v>5.89</v>
      </c>
      <c r="S74" s="1124">
        <v>42.24</v>
      </c>
      <c r="T74" s="1123">
        <v>9.9000000000000008E-3</v>
      </c>
      <c r="U74" s="1123">
        <v>2.2499999999999999E-2</v>
      </c>
      <c r="V74" s="1123">
        <v>5.4000000000000003E-3</v>
      </c>
      <c r="W74" s="1123">
        <v>0.27310000000000001</v>
      </c>
      <c r="X74" s="1123">
        <v>0.2006</v>
      </c>
      <c r="Y74" s="1123">
        <v>0.3533</v>
      </c>
      <c r="Z74" s="1123">
        <v>0.3533</v>
      </c>
      <c r="AA74" s="1123">
        <v>5.1299999999999998E-2</v>
      </c>
    </row>
    <row r="75" spans="1:27" ht="12" customHeight="1">
      <c r="A75" s="1126" t="s">
        <v>1563</v>
      </c>
      <c r="B75" s="1125">
        <v>15</v>
      </c>
      <c r="C75" s="1123">
        <v>3.2399999999999998E-2</v>
      </c>
      <c r="D75" s="1123">
        <v>2.53E-2</v>
      </c>
      <c r="E75" s="1123">
        <v>7.0099999999999996E-2</v>
      </c>
      <c r="F75" s="1123">
        <v>0.20610000000000001</v>
      </c>
      <c r="G75" s="1124">
        <v>0.21</v>
      </c>
      <c r="H75" s="1124">
        <v>0.3</v>
      </c>
      <c r="I75" s="1123">
        <v>2.7799999999999998E-2</v>
      </c>
      <c r="J75" s="1123">
        <v>0.3427</v>
      </c>
      <c r="K75" s="1123">
        <v>3.1600000000000003E-2</v>
      </c>
      <c r="L75" s="1123">
        <v>0.40560000000000002</v>
      </c>
      <c r="M75" s="1123">
        <v>2.5899999999999999E-2</v>
      </c>
      <c r="N75" s="1124">
        <v>4.42</v>
      </c>
      <c r="O75" s="1124">
        <v>0.45</v>
      </c>
      <c r="P75" s="1124">
        <v>7.6</v>
      </c>
      <c r="Q75" s="1124">
        <v>24.1</v>
      </c>
      <c r="R75" s="1124">
        <v>3.35</v>
      </c>
      <c r="S75" s="1124">
        <v>17.79</v>
      </c>
      <c r="T75" s="1123">
        <v>-8.8000000000000005E-3</v>
      </c>
      <c r="U75" s="1123">
        <v>2.35E-2</v>
      </c>
      <c r="V75" s="1123">
        <v>5.3E-3</v>
      </c>
      <c r="W75" s="1123">
        <v>0.17150000000000001</v>
      </c>
      <c r="X75" s="1123">
        <v>0.14879999999999999</v>
      </c>
      <c r="Y75" s="1123">
        <v>0.33250000000000002</v>
      </c>
      <c r="Z75" s="1123">
        <v>0.33250000000000002</v>
      </c>
      <c r="AA75" s="1123">
        <v>1.83E-2</v>
      </c>
    </row>
    <row r="76" spans="1:27" ht="12" customHeight="1">
      <c r="A76" s="1126" t="s">
        <v>1562</v>
      </c>
      <c r="B76" s="1125">
        <v>60</v>
      </c>
      <c r="C76" s="1123">
        <v>0.10199999999999999</v>
      </c>
      <c r="D76" s="1123">
        <v>5.9900000000000002E-2</v>
      </c>
      <c r="E76" s="1123">
        <v>0.12180000000000001</v>
      </c>
      <c r="F76" s="1123">
        <v>0.155</v>
      </c>
      <c r="G76" s="1124">
        <v>1.07</v>
      </c>
      <c r="H76" s="1124">
        <v>1.1000000000000001</v>
      </c>
      <c r="I76" s="1123">
        <v>6.1899999999999997E-2</v>
      </c>
      <c r="J76" s="1123">
        <v>0.58819999999999995</v>
      </c>
      <c r="K76" s="1123">
        <v>3.5799999999999998E-2</v>
      </c>
      <c r="L76" s="1123">
        <v>7.5399999999999995E-2</v>
      </c>
      <c r="M76" s="1123">
        <v>5.9200000000000003E-2</v>
      </c>
      <c r="N76" s="1124">
        <v>1.77</v>
      </c>
      <c r="O76" s="1124">
        <v>3.73</v>
      </c>
      <c r="P76" s="1124">
        <v>26.22</v>
      </c>
      <c r="Q76" s="1124">
        <v>66.03</v>
      </c>
      <c r="R76" s="1124">
        <v>12.9</v>
      </c>
      <c r="S76" s="1124">
        <v>144.26</v>
      </c>
      <c r="T76" s="1123">
        <v>-3.1099999999999999E-2</v>
      </c>
      <c r="U76" s="1123">
        <v>0.109</v>
      </c>
      <c r="V76" s="1123">
        <v>7.2400000000000006E-2</v>
      </c>
      <c r="W76" s="1123">
        <v>2.2109000000000001</v>
      </c>
      <c r="X76" s="1123">
        <v>0.44109999999999999</v>
      </c>
      <c r="Y76" s="1123">
        <v>1.34E-2</v>
      </c>
      <c r="Z76" s="1123">
        <v>1.34E-2</v>
      </c>
      <c r="AA76" s="1123">
        <v>7.1499999999999994E-2</v>
      </c>
    </row>
    <row r="77" spans="1:27" ht="12" customHeight="1">
      <c r="A77" s="1126" t="s">
        <v>1561</v>
      </c>
      <c r="B77" s="1125">
        <v>76</v>
      </c>
      <c r="C77" s="1123">
        <v>0.1178</v>
      </c>
      <c r="D77" s="1123">
        <v>6.8599999999999994E-2</v>
      </c>
      <c r="E77" s="1123">
        <v>0.17280000000000001</v>
      </c>
      <c r="F77" s="1123">
        <v>0.23769999999999999</v>
      </c>
      <c r="G77" s="1124">
        <v>1.23</v>
      </c>
      <c r="H77" s="1124">
        <v>1.44</v>
      </c>
      <c r="I77" s="1123">
        <v>7.6300000000000007E-2</v>
      </c>
      <c r="J77" s="1123">
        <v>0.45569999999999999</v>
      </c>
      <c r="K77" s="1123">
        <v>3.5799999999999998E-2</v>
      </c>
      <c r="L77" s="1123">
        <v>0.25790000000000002</v>
      </c>
      <c r="M77" s="1123">
        <v>6.3399999999999998E-2</v>
      </c>
      <c r="N77" s="1124">
        <v>2.99</v>
      </c>
      <c r="O77" s="1124">
        <v>1.1100000000000001</v>
      </c>
      <c r="P77" s="1124">
        <v>8.4600000000000009</v>
      </c>
      <c r="Q77" s="1124">
        <v>16.2</v>
      </c>
      <c r="R77" s="1124">
        <v>5.45</v>
      </c>
      <c r="S77" s="1124">
        <v>19.14</v>
      </c>
      <c r="T77" s="1123">
        <v>5.67E-2</v>
      </c>
      <c r="U77" s="1123">
        <v>1.8100000000000002E-2</v>
      </c>
      <c r="V77" s="1123">
        <v>9.5999999999999992E-3</v>
      </c>
      <c r="W77" s="1123">
        <v>0.51</v>
      </c>
      <c r="X77" s="1123">
        <v>0.3523</v>
      </c>
      <c r="Y77" s="1123">
        <v>0.23499999999999999</v>
      </c>
      <c r="Z77" s="1123">
        <v>0.23499999999999999</v>
      </c>
      <c r="AA77" s="1123">
        <v>6.7699999999999996E-2</v>
      </c>
    </row>
    <row r="78" spans="1:27" ht="12" customHeight="1">
      <c r="A78" s="1126" t="s">
        <v>1560</v>
      </c>
      <c r="B78" s="1125">
        <v>2</v>
      </c>
      <c r="C78" s="1123">
        <v>4.2000000000000003E-2</v>
      </c>
      <c r="D78" s="1123">
        <v>5.3999999999999999E-2</v>
      </c>
      <c r="E78" s="1123">
        <v>7.2800000000000004E-2</v>
      </c>
      <c r="F78" s="1123">
        <v>0.34810000000000002</v>
      </c>
      <c r="G78" s="1124">
        <v>0.59</v>
      </c>
      <c r="H78" s="1124">
        <v>1.1599999999999999</v>
      </c>
      <c r="I78" s="1123">
        <v>6.4100000000000004E-2</v>
      </c>
      <c r="J78" s="1123">
        <v>0.47060000000000002</v>
      </c>
      <c r="K78" s="1123">
        <v>3.5799999999999998E-2</v>
      </c>
      <c r="L78" s="1123">
        <v>0.60719999999999996</v>
      </c>
      <c r="M78" s="1123">
        <v>4.1099999999999998E-2</v>
      </c>
      <c r="N78" s="1124">
        <v>1.58</v>
      </c>
      <c r="O78" s="1124">
        <v>0.88</v>
      </c>
      <c r="P78" s="1124">
        <v>7.26</v>
      </c>
      <c r="Q78" s="1124">
        <v>15.32</v>
      </c>
      <c r="R78" s="1124">
        <v>1.33</v>
      </c>
      <c r="S78" s="1124">
        <v>17.57</v>
      </c>
      <c r="T78" s="1123">
        <v>0.1181</v>
      </c>
      <c r="U78" s="1123">
        <v>5.1400000000000001E-2</v>
      </c>
      <c r="V78" s="1123">
        <v>0.1143</v>
      </c>
      <c r="W78" s="1123">
        <v>2.9369000000000001</v>
      </c>
      <c r="X78" s="1123">
        <v>9.5899999999999999E-2</v>
      </c>
      <c r="Y78" s="1123">
        <v>0</v>
      </c>
      <c r="Z78" s="1123">
        <v>0</v>
      </c>
      <c r="AA78" s="1123">
        <v>5.62E-2</v>
      </c>
    </row>
    <row r="79" spans="1:27" ht="12" customHeight="1">
      <c r="A79" s="1126" t="s">
        <v>1559</v>
      </c>
      <c r="B79" s="1125">
        <v>67</v>
      </c>
      <c r="C79" s="1123">
        <v>6.6299999999999998E-2</v>
      </c>
      <c r="D79" s="1123">
        <v>0.2742</v>
      </c>
      <c r="E79" s="1123">
        <v>0.217</v>
      </c>
      <c r="F79" s="1123">
        <v>8.7400000000000005E-2</v>
      </c>
      <c r="G79" s="1124">
        <v>1.1399999999999999</v>
      </c>
      <c r="H79" s="1124">
        <v>1.1599999999999999</v>
      </c>
      <c r="I79" s="1123">
        <v>6.4399999999999999E-2</v>
      </c>
      <c r="J79" s="1123">
        <v>0.37459999999999999</v>
      </c>
      <c r="K79" s="1123">
        <v>3.1600000000000003E-2</v>
      </c>
      <c r="L79" s="1123">
        <v>6.3500000000000001E-2</v>
      </c>
      <c r="M79" s="1123">
        <v>6.1800000000000001E-2</v>
      </c>
      <c r="N79" s="1124">
        <v>0.8</v>
      </c>
      <c r="O79" s="1124">
        <v>8.69</v>
      </c>
      <c r="P79" s="1124">
        <v>21.27</v>
      </c>
      <c r="Q79" s="1124">
        <v>31.33</v>
      </c>
      <c r="R79" s="1124">
        <v>7.45</v>
      </c>
      <c r="S79" s="1124">
        <v>582.02</v>
      </c>
      <c r="T79" s="1123">
        <v>0.17449999999999999</v>
      </c>
      <c r="U79" s="1123">
        <v>0.13020000000000001</v>
      </c>
      <c r="V79" s="1123">
        <v>5.79E-2</v>
      </c>
      <c r="W79" s="1123">
        <v>0.28939999999999999</v>
      </c>
      <c r="X79" s="1123">
        <v>0.31909999999999999</v>
      </c>
      <c r="Y79" s="1123">
        <v>0.28939999999999999</v>
      </c>
      <c r="Z79" s="1123">
        <v>0.28939999999999999</v>
      </c>
      <c r="AA79" s="1123">
        <v>0.2908</v>
      </c>
    </row>
    <row r="80" spans="1:27" ht="12" customHeight="1">
      <c r="A80" s="1126" t="s">
        <v>1558</v>
      </c>
      <c r="B80" s="1125">
        <v>34</v>
      </c>
      <c r="C80" s="1123">
        <v>0.1399</v>
      </c>
      <c r="D80" s="1123">
        <v>0.26979999999999998</v>
      </c>
      <c r="E80" s="1123">
        <v>0.37240000000000001</v>
      </c>
      <c r="F80" s="1123">
        <v>0.1051</v>
      </c>
      <c r="G80" s="1124">
        <v>1.34</v>
      </c>
      <c r="H80" s="1124">
        <v>1.34</v>
      </c>
      <c r="I80" s="1123">
        <v>7.1900000000000006E-2</v>
      </c>
      <c r="J80" s="1123">
        <v>0.3322</v>
      </c>
      <c r="K80" s="1123">
        <v>3.1600000000000003E-2</v>
      </c>
      <c r="L80" s="1123">
        <v>4.8000000000000001E-2</v>
      </c>
      <c r="M80" s="1123">
        <v>6.9500000000000006E-2</v>
      </c>
      <c r="N80" s="1124">
        <v>1.46</v>
      </c>
      <c r="O80" s="1124">
        <v>6.08</v>
      </c>
      <c r="P80" s="1124">
        <v>19.43</v>
      </c>
      <c r="Q80" s="1124">
        <v>22.31</v>
      </c>
      <c r="R80" s="1124">
        <v>10.29</v>
      </c>
      <c r="S80" s="1124">
        <v>44.44</v>
      </c>
      <c r="T80" s="1123">
        <v>0.28910000000000002</v>
      </c>
      <c r="U80" s="1123">
        <v>4.2799999999999998E-2</v>
      </c>
      <c r="V80" s="1123">
        <v>3.3700000000000001E-2</v>
      </c>
      <c r="W80" s="1123">
        <v>0.45639999999999997</v>
      </c>
      <c r="X80" s="1123">
        <v>0.46379999999999999</v>
      </c>
      <c r="Y80" s="1123">
        <v>0.15110000000000001</v>
      </c>
      <c r="Z80" s="1123">
        <v>0.15110000000000001</v>
      </c>
      <c r="AA80" s="1123">
        <v>0.2792</v>
      </c>
    </row>
    <row r="81" spans="1:27" ht="12" customHeight="1">
      <c r="A81" s="1126" t="s">
        <v>1557</v>
      </c>
      <c r="B81" s="1125">
        <v>8</v>
      </c>
      <c r="C81" s="1123">
        <v>0.16389999999999999</v>
      </c>
      <c r="D81" s="1123">
        <v>0.1726</v>
      </c>
      <c r="E81" s="1123">
        <v>0.15010000000000001</v>
      </c>
      <c r="F81" s="1123">
        <v>0.19520000000000001</v>
      </c>
      <c r="G81" s="1124">
        <v>0.8</v>
      </c>
      <c r="H81" s="1124">
        <v>0.99</v>
      </c>
      <c r="I81" s="1123">
        <v>5.7099999999999998E-2</v>
      </c>
      <c r="J81" s="1123">
        <v>0.51039999999999996</v>
      </c>
      <c r="K81" s="1123">
        <v>3.5799999999999998E-2</v>
      </c>
      <c r="L81" s="1123">
        <v>0.2752</v>
      </c>
      <c r="M81" s="1123">
        <v>4.8599999999999997E-2</v>
      </c>
      <c r="N81" s="1124">
        <v>0.88</v>
      </c>
      <c r="O81" s="1124">
        <v>1.69</v>
      </c>
      <c r="P81" s="1124">
        <v>6.49</v>
      </c>
      <c r="Q81" s="1124">
        <v>9.4700000000000006</v>
      </c>
      <c r="R81" s="1124">
        <v>1.49</v>
      </c>
      <c r="S81" s="1124">
        <v>10.48</v>
      </c>
      <c r="T81" s="1123">
        <v>8.7599999999999997E-2</v>
      </c>
      <c r="U81" s="1123">
        <v>0.11609999999999999</v>
      </c>
      <c r="V81" s="1123">
        <v>0.05</v>
      </c>
      <c r="W81" s="1123">
        <v>0.53129999999999999</v>
      </c>
      <c r="X81" s="1123">
        <v>0.10290000000000001</v>
      </c>
      <c r="Y81" s="1123">
        <v>0.14860000000000001</v>
      </c>
      <c r="Z81" s="1123">
        <v>0.14860000000000001</v>
      </c>
      <c r="AA81" s="1123">
        <v>0.1767</v>
      </c>
    </row>
    <row r="82" spans="1:27" ht="12" customHeight="1">
      <c r="A82" s="1126" t="s">
        <v>1556</v>
      </c>
      <c r="B82" s="1125">
        <v>12</v>
      </c>
      <c r="C82" s="1123">
        <v>6.3799999999999996E-2</v>
      </c>
      <c r="D82" s="1123">
        <v>0.15559999999999999</v>
      </c>
      <c r="E82" s="1123">
        <v>0.40949999999999998</v>
      </c>
      <c r="F82" s="1123">
        <v>0.13139999999999999</v>
      </c>
      <c r="G82" s="1124">
        <v>1.19</v>
      </c>
      <c r="H82" s="1124">
        <v>1.19</v>
      </c>
      <c r="I82" s="1123">
        <v>6.54E-2</v>
      </c>
      <c r="J82" s="1123">
        <v>0.34710000000000002</v>
      </c>
      <c r="K82" s="1123">
        <v>3.1600000000000003E-2</v>
      </c>
      <c r="L82" s="1123">
        <v>5.4600000000000003E-2</v>
      </c>
      <c r="M82" s="1123">
        <v>6.3100000000000003E-2</v>
      </c>
      <c r="N82" s="1124">
        <v>2.96</v>
      </c>
      <c r="O82" s="1124">
        <v>4.8499999999999996</v>
      </c>
      <c r="P82" s="1124">
        <v>25.77</v>
      </c>
      <c r="Q82" s="1124">
        <v>31.32</v>
      </c>
      <c r="R82" s="1124">
        <v>13.65</v>
      </c>
      <c r="S82" s="1124">
        <v>21.58</v>
      </c>
      <c r="T82" s="1123">
        <v>0.1719</v>
      </c>
      <c r="U82" s="1123">
        <v>7.7999999999999996E-3</v>
      </c>
      <c r="V82" s="1123">
        <v>2.7000000000000001E-3</v>
      </c>
      <c r="W82" s="1123">
        <v>6.4399999999999999E-2</v>
      </c>
      <c r="X82" s="1123">
        <v>0.47910000000000003</v>
      </c>
      <c r="Y82" s="1123">
        <v>0.2392</v>
      </c>
      <c r="Z82" s="1123">
        <v>0.2392</v>
      </c>
      <c r="AA82" s="1123">
        <v>0.1537</v>
      </c>
    </row>
    <row r="83" spans="1:27" ht="12" customHeight="1">
      <c r="A83" s="1126" t="s">
        <v>1555</v>
      </c>
      <c r="B83" s="1125">
        <v>88</v>
      </c>
      <c r="C83" s="1123">
        <v>0.2291</v>
      </c>
      <c r="D83" s="1123">
        <v>0.31119999999999998</v>
      </c>
      <c r="E83" s="1123">
        <v>0.25459999999999999</v>
      </c>
      <c r="F83" s="1123">
        <v>0.1636</v>
      </c>
      <c r="G83" s="1124">
        <v>1.21</v>
      </c>
      <c r="H83" s="1124">
        <v>1.2</v>
      </c>
      <c r="I83" s="1123">
        <v>6.6199999999999995E-2</v>
      </c>
      <c r="J83" s="1123">
        <v>0.54610000000000003</v>
      </c>
      <c r="K83" s="1123">
        <v>3.5799999999999998E-2</v>
      </c>
      <c r="L83" s="1123">
        <v>0.02</v>
      </c>
      <c r="M83" s="1123">
        <v>6.54E-2</v>
      </c>
      <c r="N83" s="1124">
        <v>0.8</v>
      </c>
      <c r="O83" s="1124">
        <v>8.1199999999999992</v>
      </c>
      <c r="P83" s="1124">
        <v>20.51</v>
      </c>
      <c r="Q83" s="1124">
        <v>25.65</v>
      </c>
      <c r="R83" s="1124">
        <v>7.52</v>
      </c>
      <c r="S83" s="1124">
        <v>34.65</v>
      </c>
      <c r="T83" s="1123">
        <v>6.1100000000000002E-2</v>
      </c>
      <c r="U83" s="1123">
        <v>0.1128</v>
      </c>
      <c r="V83" s="1123">
        <v>9.0200000000000002E-2</v>
      </c>
      <c r="W83" s="1123">
        <v>0.48680000000000001</v>
      </c>
      <c r="X83" s="1123">
        <v>0.314</v>
      </c>
      <c r="Y83" s="1123">
        <v>3.5999999999999999E-3</v>
      </c>
      <c r="Z83" s="1123">
        <v>3.5999999999999999E-3</v>
      </c>
      <c r="AA83" s="1123">
        <v>0.32590000000000002</v>
      </c>
    </row>
    <row r="84" spans="1:27" ht="12" customHeight="1">
      <c r="A84" s="1126" t="s">
        <v>1554</v>
      </c>
      <c r="B84" s="1125">
        <v>36</v>
      </c>
      <c r="C84" s="1123">
        <v>0.22059999999999999</v>
      </c>
      <c r="D84" s="1123">
        <v>-2.2800000000000001E-2</v>
      </c>
      <c r="E84" s="1123">
        <v>1.6500000000000001E-2</v>
      </c>
      <c r="F84" s="1123">
        <v>0.1206</v>
      </c>
      <c r="G84" s="1124">
        <v>0.98</v>
      </c>
      <c r="H84" s="1124">
        <v>1</v>
      </c>
      <c r="I84" s="1123">
        <v>5.7700000000000001E-2</v>
      </c>
      <c r="J84" s="1123">
        <v>0.38090000000000002</v>
      </c>
      <c r="K84" s="1123">
        <v>3.1600000000000003E-2</v>
      </c>
      <c r="L84" s="1123">
        <v>7.1300000000000002E-2</v>
      </c>
      <c r="M84" s="1123">
        <v>5.5199999999999999E-2</v>
      </c>
      <c r="N84" s="1124">
        <v>0.76</v>
      </c>
      <c r="O84" s="1124">
        <v>17.07</v>
      </c>
      <c r="P84" s="1124">
        <v>22.98</v>
      </c>
      <c r="Q84" s="1127" t="s">
        <v>1547</v>
      </c>
      <c r="R84" s="1124">
        <v>10.5</v>
      </c>
      <c r="S84" s="1124">
        <v>62.86</v>
      </c>
      <c r="T84" s="1123">
        <v>0.10680000000000001</v>
      </c>
      <c r="U84" s="1123">
        <v>6.54E-2</v>
      </c>
      <c r="V84" s="1123">
        <v>0.14610000000000001</v>
      </c>
      <c r="W84" s="1126" t="s">
        <v>1547</v>
      </c>
      <c r="X84" s="1123">
        <v>-0.1129</v>
      </c>
      <c r="Y84" s="1123">
        <v>1.5E-3</v>
      </c>
      <c r="Z84" s="1123">
        <v>1.5E-3</v>
      </c>
      <c r="AA84" s="1123">
        <v>2.1399999999999999E-2</v>
      </c>
    </row>
    <row r="85" spans="1:27" ht="12" customHeight="1">
      <c r="A85" s="1126" t="s">
        <v>1553</v>
      </c>
      <c r="B85" s="1125">
        <v>375</v>
      </c>
      <c r="C85" s="1123">
        <v>0.1772</v>
      </c>
      <c r="D85" s="1123">
        <v>0.2402</v>
      </c>
      <c r="E85" s="1123">
        <v>0.25030000000000002</v>
      </c>
      <c r="F85" s="1123">
        <v>0.1043</v>
      </c>
      <c r="G85" s="1124">
        <v>1.1200000000000001</v>
      </c>
      <c r="H85" s="1124">
        <v>1.1399999999999999</v>
      </c>
      <c r="I85" s="1123">
        <v>6.3500000000000001E-2</v>
      </c>
      <c r="J85" s="1123">
        <v>0.45739999999999997</v>
      </c>
      <c r="K85" s="1123">
        <v>3.5799999999999998E-2</v>
      </c>
      <c r="L85" s="1123">
        <v>5.3699999999999998E-2</v>
      </c>
      <c r="M85" s="1123">
        <v>6.1499999999999999E-2</v>
      </c>
      <c r="N85" s="1124">
        <v>1</v>
      </c>
      <c r="O85" s="1124">
        <v>12.84</v>
      </c>
      <c r="P85" s="1124">
        <v>32.72</v>
      </c>
      <c r="Q85" s="1124">
        <v>46.51</v>
      </c>
      <c r="R85" s="1124">
        <v>14.52</v>
      </c>
      <c r="S85" s="1124">
        <v>130.77000000000001</v>
      </c>
      <c r="T85" s="1123">
        <v>0.1205</v>
      </c>
      <c r="U85" s="1123">
        <v>7.0699999999999999E-2</v>
      </c>
      <c r="V85" s="1123">
        <v>0.1762</v>
      </c>
      <c r="W85" s="1123">
        <v>0.89190000000000003</v>
      </c>
      <c r="X85" s="1123">
        <v>0.30470000000000003</v>
      </c>
      <c r="Y85" s="1123">
        <v>0.28720000000000001</v>
      </c>
      <c r="Z85" s="1123">
        <v>0.28720000000000001</v>
      </c>
      <c r="AA85" s="1123">
        <v>0.25940000000000002</v>
      </c>
    </row>
    <row r="86" spans="1:27" ht="12" customHeight="1">
      <c r="A86" s="1126" t="s">
        <v>1552</v>
      </c>
      <c r="B86" s="1125">
        <v>28</v>
      </c>
      <c r="C86" s="1123">
        <v>0.19969999999999999</v>
      </c>
      <c r="D86" s="1123">
        <v>0.1613</v>
      </c>
      <c r="E86" s="1123">
        <v>0.3725</v>
      </c>
      <c r="F86" s="1123">
        <v>0.17549999999999999</v>
      </c>
      <c r="G86" s="1124">
        <v>0.98</v>
      </c>
      <c r="H86" s="1124">
        <v>1.1299999999999999</v>
      </c>
      <c r="I86" s="1123">
        <v>6.3100000000000003E-2</v>
      </c>
      <c r="J86" s="1123">
        <v>0.33129999999999998</v>
      </c>
      <c r="K86" s="1123">
        <v>3.1600000000000003E-2</v>
      </c>
      <c r="L86" s="1123">
        <v>0.24740000000000001</v>
      </c>
      <c r="M86" s="1123">
        <v>5.3199999999999997E-2</v>
      </c>
      <c r="N86" s="1124">
        <v>2.66</v>
      </c>
      <c r="O86" s="1124">
        <v>0.88</v>
      </c>
      <c r="P86" s="1124">
        <v>4.46</v>
      </c>
      <c r="Q86" s="1124">
        <v>5.43</v>
      </c>
      <c r="R86" s="1124">
        <v>1.84</v>
      </c>
      <c r="S86" s="1124">
        <v>13.18</v>
      </c>
      <c r="T86" s="1123">
        <v>0.23139999999999999</v>
      </c>
      <c r="U86" s="1123">
        <v>4.0300000000000002E-2</v>
      </c>
      <c r="V86" s="1123">
        <v>4.07E-2</v>
      </c>
      <c r="W86" s="1123">
        <v>0.90249999999999997</v>
      </c>
      <c r="X86" s="1123">
        <v>0.40050000000000002</v>
      </c>
      <c r="Y86" s="1123">
        <v>8.4500000000000006E-2</v>
      </c>
      <c r="Z86" s="1123">
        <v>8.4500000000000006E-2</v>
      </c>
      <c r="AA86" s="1123">
        <v>0.1618</v>
      </c>
    </row>
    <row r="87" spans="1:27" ht="12" customHeight="1">
      <c r="A87" s="1126" t="s">
        <v>1551</v>
      </c>
      <c r="B87" s="1125">
        <v>17</v>
      </c>
      <c r="C87" s="1123">
        <v>-1.6E-2</v>
      </c>
      <c r="D87" s="1123">
        <v>0.11700000000000001</v>
      </c>
      <c r="E87" s="1123">
        <v>5.1799999999999999E-2</v>
      </c>
      <c r="F87" s="1123">
        <v>0.154</v>
      </c>
      <c r="G87" s="1124">
        <v>0.63</v>
      </c>
      <c r="H87" s="1124">
        <v>0.96</v>
      </c>
      <c r="I87" s="1123">
        <v>5.6000000000000001E-2</v>
      </c>
      <c r="J87" s="1123">
        <v>0.48159999999999997</v>
      </c>
      <c r="K87" s="1123">
        <v>3.5799999999999998E-2</v>
      </c>
      <c r="L87" s="1123">
        <v>0.43919999999999998</v>
      </c>
      <c r="M87" s="1123">
        <v>4.2900000000000001E-2</v>
      </c>
      <c r="N87" s="1124">
        <v>0.54</v>
      </c>
      <c r="O87" s="1124">
        <v>2.96</v>
      </c>
      <c r="P87" s="1124">
        <v>7.79</v>
      </c>
      <c r="Q87" s="1124">
        <v>30.02</v>
      </c>
      <c r="R87" s="1124">
        <v>1.92</v>
      </c>
      <c r="S87" s="1124">
        <v>52.34</v>
      </c>
      <c r="T87" s="1123">
        <v>8.2699999999999996E-2</v>
      </c>
      <c r="U87" s="1123">
        <v>0.16930000000000001</v>
      </c>
      <c r="V87" s="1123">
        <v>-1.0999999999999999E-2</v>
      </c>
      <c r="W87" s="1123">
        <v>0.72430000000000005</v>
      </c>
      <c r="X87" s="1123">
        <v>5.9299999999999999E-2</v>
      </c>
      <c r="Y87" s="1123">
        <v>2.4400000000000002E-2</v>
      </c>
      <c r="Z87" s="1123">
        <v>2.4400000000000002E-2</v>
      </c>
      <c r="AA87" s="1123">
        <v>9.9299999999999999E-2</v>
      </c>
    </row>
    <row r="88" spans="1:27" ht="12" customHeight="1">
      <c r="A88" s="1126" t="s">
        <v>1550</v>
      </c>
      <c r="B88" s="1125">
        <v>82</v>
      </c>
      <c r="C88" s="1123">
        <v>6.6600000000000006E-2</v>
      </c>
      <c r="D88" s="1123">
        <v>0.1956</v>
      </c>
      <c r="E88" s="1123">
        <v>0.26840000000000003</v>
      </c>
      <c r="F88" s="1123">
        <v>0.1855</v>
      </c>
      <c r="G88" s="1124">
        <v>1.06</v>
      </c>
      <c r="H88" s="1124">
        <v>1.08</v>
      </c>
      <c r="I88" s="1123">
        <v>6.0999999999999999E-2</v>
      </c>
      <c r="J88" s="1123">
        <v>0.40529999999999999</v>
      </c>
      <c r="K88" s="1123">
        <v>3.5799999999999998E-2</v>
      </c>
      <c r="L88" s="1123">
        <v>8.0299999999999996E-2</v>
      </c>
      <c r="M88" s="1123">
        <v>5.8200000000000002E-2</v>
      </c>
      <c r="N88" s="1124">
        <v>1.39</v>
      </c>
      <c r="O88" s="1124">
        <v>4.74</v>
      </c>
      <c r="P88" s="1124">
        <v>18.16</v>
      </c>
      <c r="Q88" s="1124">
        <v>23.52</v>
      </c>
      <c r="R88" s="1124">
        <v>6.15</v>
      </c>
      <c r="S88" s="1124">
        <v>65.150000000000006</v>
      </c>
      <c r="T88" s="1123">
        <v>0.19259999999999999</v>
      </c>
      <c r="U88" s="1123">
        <v>2.53E-2</v>
      </c>
      <c r="V88" s="1123">
        <v>9.2600000000000002E-2</v>
      </c>
      <c r="W88" s="1123">
        <v>0.73529999999999995</v>
      </c>
      <c r="X88" s="1123">
        <v>0.24929999999999999</v>
      </c>
      <c r="Y88" s="1123">
        <v>0.46150000000000002</v>
      </c>
      <c r="Z88" s="1123">
        <v>0.46150000000000002</v>
      </c>
      <c r="AA88" s="1123">
        <v>0.20399999999999999</v>
      </c>
    </row>
    <row r="89" spans="1:27" ht="12" customHeight="1">
      <c r="A89" s="1126" t="s">
        <v>1549</v>
      </c>
      <c r="B89" s="1125">
        <v>42</v>
      </c>
      <c r="C89" s="1123">
        <v>0.1012</v>
      </c>
      <c r="D89" s="1123">
        <v>0.2094</v>
      </c>
      <c r="E89" s="1123">
        <v>0.15329999999999999</v>
      </c>
      <c r="F89" s="1123">
        <v>0.23960000000000001</v>
      </c>
      <c r="G89" s="1124">
        <v>0.51</v>
      </c>
      <c r="H89" s="1124">
        <v>0.85</v>
      </c>
      <c r="I89" s="1123">
        <v>5.0999999999999997E-2</v>
      </c>
      <c r="J89" s="1123">
        <v>0.38669999999999999</v>
      </c>
      <c r="K89" s="1123">
        <v>3.1600000000000003E-2</v>
      </c>
      <c r="L89" s="1123">
        <v>0.50119999999999998</v>
      </c>
      <c r="M89" s="1123">
        <v>3.6999999999999998E-2</v>
      </c>
      <c r="N89" s="1124">
        <v>0.78</v>
      </c>
      <c r="O89" s="1124">
        <v>2.44</v>
      </c>
      <c r="P89" s="1124">
        <v>6.61</v>
      </c>
      <c r="Q89" s="1124">
        <v>11.72</v>
      </c>
      <c r="R89" s="1124">
        <v>1.53</v>
      </c>
      <c r="S89" s="1124">
        <v>37.299999999999997</v>
      </c>
      <c r="T89" s="1123">
        <v>-1.5800000000000002E-2</v>
      </c>
      <c r="U89" s="1123">
        <v>0.11310000000000001</v>
      </c>
      <c r="V89" s="1123">
        <v>5.2699999999999997E-2</v>
      </c>
      <c r="W89" s="1123">
        <v>0.38669999999999999</v>
      </c>
      <c r="X89" s="1123">
        <v>0.1041</v>
      </c>
      <c r="Y89" s="1123">
        <v>0.98029999999999995</v>
      </c>
      <c r="Z89" s="1123">
        <v>0.98029999999999995</v>
      </c>
      <c r="AA89" s="1123">
        <v>0.20760000000000001</v>
      </c>
    </row>
    <row r="90" spans="1:27" ht="12" customHeight="1">
      <c r="A90" s="1126" t="s">
        <v>1548</v>
      </c>
      <c r="B90" s="1125">
        <v>16</v>
      </c>
      <c r="C90" s="1123">
        <v>6.9099999999999995E-2</v>
      </c>
      <c r="D90" s="1123">
        <v>0.4425</v>
      </c>
      <c r="E90" s="1123">
        <v>0.64449999999999996</v>
      </c>
      <c r="F90" s="1123">
        <v>0.24540000000000001</v>
      </c>
      <c r="G90" s="1124">
        <v>0.86</v>
      </c>
      <c r="H90" s="1124">
        <v>1</v>
      </c>
      <c r="I90" s="1123">
        <v>5.74E-2</v>
      </c>
      <c r="J90" s="1123">
        <v>0.24879999999999999</v>
      </c>
      <c r="K90" s="1123">
        <v>2.5000000000000001E-2</v>
      </c>
      <c r="L90" s="1123">
        <v>0.20619999999999999</v>
      </c>
      <c r="M90" s="1123">
        <v>4.9299999999999997E-2</v>
      </c>
      <c r="N90" s="1124">
        <v>1.58</v>
      </c>
      <c r="O90" s="1124">
        <v>5.0599999999999996</v>
      </c>
      <c r="P90" s="1124">
        <v>10.7</v>
      </c>
      <c r="Q90" s="1124">
        <v>11.37</v>
      </c>
      <c r="R90" s="1127" t="s">
        <v>1547</v>
      </c>
      <c r="S90" s="1124">
        <v>14.64</v>
      </c>
      <c r="T90" s="1123">
        <v>0.1338</v>
      </c>
      <c r="U90" s="1123">
        <v>1.5299999999999999E-2</v>
      </c>
      <c r="V90" s="1123">
        <v>4.3200000000000002E-2</v>
      </c>
      <c r="W90" s="1123">
        <v>9.9000000000000005E-2</v>
      </c>
      <c r="X90" s="1126" t="s">
        <v>1547</v>
      </c>
      <c r="Y90" s="1123">
        <v>1.1818</v>
      </c>
      <c r="Z90" s="1123">
        <v>1.1818</v>
      </c>
      <c r="AA90" s="1123">
        <v>0.44369999999999998</v>
      </c>
    </row>
    <row r="91" spans="1:27" ht="12" customHeight="1">
      <c r="A91" s="1126" t="s">
        <v>1546</v>
      </c>
      <c r="B91" s="1125">
        <v>17</v>
      </c>
      <c r="C91" s="1123">
        <v>0.1086</v>
      </c>
      <c r="D91" s="1123">
        <v>8.2500000000000004E-2</v>
      </c>
      <c r="E91" s="1123">
        <v>0.21049999999999999</v>
      </c>
      <c r="F91" s="1123">
        <v>0.23330000000000001</v>
      </c>
      <c r="G91" s="1124">
        <v>0.72</v>
      </c>
      <c r="H91" s="1124">
        <v>0.79</v>
      </c>
      <c r="I91" s="1123">
        <v>4.8599999999999997E-2</v>
      </c>
      <c r="J91" s="1123">
        <v>0.28339999999999999</v>
      </c>
      <c r="K91" s="1123">
        <v>3.1600000000000003E-2</v>
      </c>
      <c r="L91" s="1123">
        <v>0.18629999999999999</v>
      </c>
      <c r="M91" s="1123">
        <v>4.3900000000000002E-2</v>
      </c>
      <c r="N91" s="1124">
        <v>3.03</v>
      </c>
      <c r="O91" s="1124">
        <v>1.52</v>
      </c>
      <c r="P91" s="1124">
        <v>11.42</v>
      </c>
      <c r="Q91" s="1124">
        <v>18.739999999999998</v>
      </c>
      <c r="R91" s="1124">
        <v>6.2</v>
      </c>
      <c r="S91" s="1124">
        <v>28.23</v>
      </c>
      <c r="T91" s="1123">
        <v>8.2100000000000006E-2</v>
      </c>
      <c r="U91" s="1123">
        <v>5.2200000000000003E-2</v>
      </c>
      <c r="V91" s="1123">
        <v>2.1000000000000001E-2</v>
      </c>
      <c r="W91" s="1123">
        <v>0.7016</v>
      </c>
      <c r="X91" s="1123">
        <v>0.40239999999999998</v>
      </c>
      <c r="Y91" s="1123">
        <v>0.3206</v>
      </c>
      <c r="Z91" s="1123">
        <v>0.3206</v>
      </c>
      <c r="AA91" s="1123">
        <v>8.1100000000000005E-2</v>
      </c>
    </row>
    <row r="92" spans="1:27" ht="12" customHeight="1">
      <c r="A92" s="1126" t="s">
        <v>1545</v>
      </c>
      <c r="B92" s="1125">
        <v>4</v>
      </c>
      <c r="C92" s="1123">
        <v>1.67E-2</v>
      </c>
      <c r="D92" s="1123">
        <v>0.41949999999999998</v>
      </c>
      <c r="E92" s="1123">
        <v>0.15310000000000001</v>
      </c>
      <c r="F92" s="1123">
        <v>0.23139999999999999</v>
      </c>
      <c r="G92" s="1124">
        <v>0.65</v>
      </c>
      <c r="H92" s="1124">
        <v>0.73</v>
      </c>
      <c r="I92" s="1123">
        <v>4.6199999999999998E-2</v>
      </c>
      <c r="J92" s="1123">
        <v>0.16389999999999999</v>
      </c>
      <c r="K92" s="1123">
        <v>2.5000000000000001E-2</v>
      </c>
      <c r="L92" s="1123">
        <v>0.16619999999999999</v>
      </c>
      <c r="M92" s="1123">
        <v>4.1500000000000002E-2</v>
      </c>
      <c r="N92" s="1124">
        <v>0.45</v>
      </c>
      <c r="O92" s="1124">
        <v>8.5500000000000007</v>
      </c>
      <c r="P92" s="1124">
        <v>15.87</v>
      </c>
      <c r="Q92" s="1124">
        <v>20.58</v>
      </c>
      <c r="R92" s="1124">
        <v>7.76</v>
      </c>
      <c r="S92" s="1124">
        <v>24.71</v>
      </c>
      <c r="T92" s="1123">
        <v>2.7699999999999999E-2</v>
      </c>
      <c r="U92" s="1123">
        <v>0.12909999999999999</v>
      </c>
      <c r="V92" s="1123">
        <v>3.27E-2</v>
      </c>
      <c r="W92" s="1123">
        <v>0.10299999999999999</v>
      </c>
      <c r="X92" s="1123">
        <v>0.28349999999999997</v>
      </c>
      <c r="Y92" s="1123">
        <v>0.35630000000000001</v>
      </c>
      <c r="Z92" s="1123">
        <v>0.35630000000000001</v>
      </c>
      <c r="AA92" s="1123">
        <v>0.41560000000000002</v>
      </c>
    </row>
    <row r="93" spans="1:27" ht="12" customHeight="1">
      <c r="A93" s="1126" t="s">
        <v>1544</v>
      </c>
      <c r="B93" s="1125">
        <v>34</v>
      </c>
      <c r="C93" s="1123">
        <v>7.5999999999999998E-2</v>
      </c>
      <c r="D93" s="1123">
        <v>5.1700000000000003E-2</v>
      </c>
      <c r="E93" s="1123">
        <v>5.7599999999999998E-2</v>
      </c>
      <c r="F93" s="1123">
        <v>0.23980000000000001</v>
      </c>
      <c r="G93" s="1124">
        <v>1.28</v>
      </c>
      <c r="H93" s="1124">
        <v>1.44</v>
      </c>
      <c r="I93" s="1123">
        <v>7.6100000000000001E-2</v>
      </c>
      <c r="J93" s="1123">
        <v>0.32990000000000003</v>
      </c>
      <c r="K93" s="1123">
        <v>3.1600000000000003E-2</v>
      </c>
      <c r="L93" s="1123">
        <v>0.20799999999999999</v>
      </c>
      <c r="M93" s="1123">
        <v>6.5100000000000005E-2</v>
      </c>
      <c r="N93" s="1124">
        <v>1.31</v>
      </c>
      <c r="O93" s="1124">
        <v>2.59</v>
      </c>
      <c r="P93" s="1124">
        <v>9.93</v>
      </c>
      <c r="Q93" s="1124">
        <v>31.3</v>
      </c>
      <c r="R93" s="1124">
        <v>4.9000000000000004</v>
      </c>
      <c r="S93" s="1124">
        <v>20.71</v>
      </c>
      <c r="T93" s="1123">
        <v>4.9599999999999998E-2</v>
      </c>
      <c r="U93" s="1123">
        <v>0.1206</v>
      </c>
      <c r="V93" s="1123">
        <v>7.85E-2</v>
      </c>
      <c r="W93" s="1123">
        <v>3.2507999999999999</v>
      </c>
      <c r="X93" s="1123">
        <v>5.5399999999999998E-2</v>
      </c>
      <c r="Y93" s="1123">
        <v>0.34410000000000002</v>
      </c>
      <c r="Z93" s="1123">
        <v>0.34410000000000002</v>
      </c>
      <c r="AA93" s="1123">
        <v>5.2499999999999998E-2</v>
      </c>
    </row>
    <row r="94" spans="1:27" ht="12" customHeight="1">
      <c r="A94" s="1126" t="s">
        <v>1543</v>
      </c>
      <c r="B94" s="1125">
        <v>16</v>
      </c>
      <c r="C94" s="1123">
        <v>2.7300000000000001E-2</v>
      </c>
      <c r="D94" s="1123">
        <v>0.1923</v>
      </c>
      <c r="E94" s="1123">
        <v>5.91E-2</v>
      </c>
      <c r="F94" s="1123">
        <v>0.121</v>
      </c>
      <c r="G94" s="1124">
        <v>0.6</v>
      </c>
      <c r="H94" s="1124">
        <v>0.89</v>
      </c>
      <c r="I94" s="1123">
        <v>5.2900000000000003E-2</v>
      </c>
      <c r="J94" s="1123">
        <v>0.1883</v>
      </c>
      <c r="K94" s="1123">
        <v>2.5000000000000001E-2</v>
      </c>
      <c r="L94" s="1123">
        <v>0.40899999999999997</v>
      </c>
      <c r="M94" s="1123">
        <v>3.8699999999999998E-2</v>
      </c>
      <c r="N94" s="1124">
        <v>0.35</v>
      </c>
      <c r="O94" s="1124">
        <v>4.8099999999999996</v>
      </c>
      <c r="P94" s="1124">
        <v>14.3</v>
      </c>
      <c r="Q94" s="1124">
        <v>25.38</v>
      </c>
      <c r="R94" s="1124">
        <v>2.09</v>
      </c>
      <c r="S94" s="1124">
        <v>21.94</v>
      </c>
      <c r="T94" s="1123">
        <v>0.114</v>
      </c>
      <c r="U94" s="1123">
        <v>0.34439999999999998</v>
      </c>
      <c r="V94" s="1123">
        <v>0.20669999999999999</v>
      </c>
      <c r="W94" s="1123">
        <v>1.2523</v>
      </c>
      <c r="X94" s="1123">
        <v>8.4400000000000003E-2</v>
      </c>
      <c r="Y94" s="1123">
        <v>0.80769999999999997</v>
      </c>
      <c r="Z94" s="1123">
        <v>0.80769999999999997</v>
      </c>
      <c r="AA94" s="1123">
        <v>0.18959999999999999</v>
      </c>
    </row>
    <row r="95" spans="1:27" ht="12" customHeight="1">
      <c r="A95" s="1126" t="s">
        <v>1542</v>
      </c>
      <c r="B95" s="1125">
        <v>14</v>
      </c>
      <c r="C95" s="1123">
        <v>0.14580000000000001</v>
      </c>
      <c r="D95" s="1123">
        <v>0.30149999999999999</v>
      </c>
      <c r="E95" s="1123">
        <v>7.2900000000000006E-2</v>
      </c>
      <c r="F95" s="1123">
        <v>0.12529999999999999</v>
      </c>
      <c r="G95" s="1124">
        <v>0.61</v>
      </c>
      <c r="H95" s="1124">
        <v>0.77</v>
      </c>
      <c r="I95" s="1123">
        <v>4.7500000000000001E-2</v>
      </c>
      <c r="J95" s="1123">
        <v>0.27089999999999997</v>
      </c>
      <c r="K95" s="1123">
        <v>3.1600000000000003E-2</v>
      </c>
      <c r="L95" s="1123">
        <v>0.25559999999999999</v>
      </c>
      <c r="M95" s="1123">
        <v>4.1300000000000003E-2</v>
      </c>
      <c r="N95" s="1124">
        <v>0.27</v>
      </c>
      <c r="O95" s="1124">
        <v>10.39</v>
      </c>
      <c r="P95" s="1124">
        <v>22.42</v>
      </c>
      <c r="Q95" s="1124">
        <v>34.619999999999997</v>
      </c>
      <c r="R95" s="1124">
        <v>3.94</v>
      </c>
      <c r="S95" s="1124">
        <v>43.42</v>
      </c>
      <c r="T95" s="1123">
        <v>0.1822</v>
      </c>
      <c r="U95" s="1123">
        <v>0.4461</v>
      </c>
      <c r="V95" s="1123">
        <v>0.32269999999999999</v>
      </c>
      <c r="W95" s="1123">
        <v>1.3048999999999999</v>
      </c>
      <c r="X95" s="1123">
        <v>0.1812</v>
      </c>
      <c r="Y95" s="1123">
        <v>0.56979999999999997</v>
      </c>
      <c r="Z95" s="1123">
        <v>0.3306</v>
      </c>
      <c r="AA95" s="1123">
        <v>0.2994</v>
      </c>
    </row>
    <row r="96" spans="1:27" ht="12" customHeight="1">
      <c r="A96" s="1122"/>
      <c r="B96" s="1121"/>
      <c r="C96" s="1119"/>
      <c r="D96" s="1119"/>
      <c r="E96" s="1119"/>
      <c r="F96" s="1119"/>
      <c r="G96" s="1120"/>
      <c r="H96" s="1120"/>
      <c r="I96" s="1119"/>
      <c r="J96" s="1119"/>
      <c r="K96" s="1119"/>
      <c r="L96" s="1119"/>
      <c r="M96" s="1119"/>
      <c r="N96" s="1120"/>
      <c r="O96" s="1120"/>
      <c r="P96" s="1120"/>
      <c r="Q96" s="1120"/>
      <c r="R96" s="1120"/>
      <c r="S96" s="1120"/>
      <c r="T96" s="1119"/>
      <c r="U96" s="1119"/>
      <c r="V96" s="1119"/>
      <c r="W96" s="1119"/>
      <c r="X96" s="1119"/>
      <c r="Y96" s="1119"/>
      <c r="Z96" s="1119"/>
      <c r="AA96" s="1119"/>
    </row>
    <row r="97" spans="1:27" ht="12" customHeight="1">
      <c r="A97" s="1122"/>
      <c r="B97" s="1121"/>
      <c r="C97" s="1119"/>
      <c r="D97" s="1119"/>
      <c r="E97" s="1119"/>
      <c r="F97" s="1119"/>
      <c r="G97" s="1120"/>
      <c r="H97" s="1120"/>
      <c r="I97" s="1119"/>
      <c r="J97" s="1119"/>
      <c r="K97" s="1119"/>
      <c r="L97" s="1119"/>
      <c r="M97" s="1119"/>
      <c r="N97" s="1120"/>
      <c r="O97" s="1120"/>
      <c r="P97" s="1120"/>
      <c r="Q97" s="1120"/>
      <c r="R97" s="1120"/>
      <c r="S97" s="1120"/>
      <c r="T97" s="1119"/>
      <c r="U97" s="1119"/>
      <c r="V97" s="1119"/>
      <c r="W97" s="1119"/>
      <c r="X97" s="1119"/>
      <c r="Y97" s="1119"/>
      <c r="Z97" s="1119"/>
      <c r="AA97" s="1119"/>
    </row>
    <row r="98" spans="1:27" ht="12" customHeight="1"/>
    <row r="99" spans="1:27" ht="12" customHeight="1"/>
    <row r="100" spans="1:27" ht="12" customHeight="1"/>
    <row r="101" spans="1:27" ht="12" customHeight="1"/>
    <row r="102" spans="1:27" ht="12" customHeight="1"/>
    <row r="103" spans="1:27" ht="12" customHeight="1"/>
    <row r="104" spans="1:27" ht="12" customHeight="1"/>
    <row r="105" spans="1:27" ht="12" customHeight="1"/>
    <row r="106" spans="1:27" ht="12" customHeight="1"/>
    <row r="107" spans="1:27" ht="12" customHeight="1"/>
    <row r="108" spans="1:27" ht="12" customHeight="1"/>
    <row r="109" spans="1:27" ht="12" customHeight="1"/>
    <row r="110" spans="1:27" ht="12" customHeight="1"/>
    <row r="111" spans="1:27" ht="12" customHeight="1"/>
    <row r="112" spans="1:27" ht="12" customHeight="1"/>
    <row r="113" s="1118" customFormat="1" ht="12" customHeight="1"/>
    <row r="114" s="1118" customFormat="1" ht="12" customHeight="1"/>
    <row r="115" s="1118" customFormat="1" ht="12" customHeight="1"/>
    <row r="116" s="1118" customFormat="1" ht="12" customHeight="1"/>
    <row r="117" s="1118" customFormat="1" ht="12" customHeight="1"/>
    <row r="118" s="1118" customFormat="1" ht="12" customHeight="1"/>
    <row r="119" s="1118" customFormat="1" ht="12" customHeight="1"/>
    <row r="120" s="1118" customFormat="1" ht="12" customHeight="1"/>
    <row r="121" s="1118" customFormat="1" ht="12" customHeight="1"/>
    <row r="122" s="1118" customFormat="1" ht="12" customHeight="1"/>
    <row r="123" s="1118" customFormat="1" ht="12" customHeight="1"/>
    <row r="124" s="1118" customFormat="1" ht="12" customHeight="1"/>
    <row r="125" s="1118" customFormat="1" ht="12" customHeight="1"/>
    <row r="126" s="1118" customFormat="1" ht="12" customHeight="1"/>
    <row r="127" s="1118" customFormat="1" ht="12" customHeight="1"/>
    <row r="128" s="1118" customFormat="1" ht="12" customHeight="1"/>
    <row r="129" s="1118" customFormat="1" ht="12" customHeight="1"/>
    <row r="130" s="1118" customFormat="1" ht="12" customHeight="1"/>
    <row r="131" s="1118" customFormat="1" ht="12" customHeight="1"/>
    <row r="132" s="1118" customFormat="1" ht="12" customHeight="1"/>
    <row r="133" s="1118" customFormat="1" ht="12" customHeight="1"/>
    <row r="134" s="1118" customFormat="1" ht="12" customHeight="1"/>
    <row r="135" s="1118" customFormat="1" ht="12" customHeight="1"/>
    <row r="136" s="1118" customFormat="1" ht="12" customHeight="1"/>
    <row r="137" s="1118" customFormat="1" ht="12" customHeight="1"/>
    <row r="138" s="1118" customFormat="1" ht="12" customHeight="1"/>
    <row r="139" s="1118" customFormat="1" ht="12" customHeight="1"/>
    <row r="140" s="1118" customFormat="1" ht="12" customHeight="1"/>
    <row r="141" s="1118" customFormat="1" ht="12" customHeight="1"/>
    <row r="142" s="1118" customFormat="1" ht="12" customHeight="1"/>
    <row r="143" s="1118" customFormat="1" ht="12" customHeight="1"/>
    <row r="144" s="1118" customFormat="1" ht="12" customHeight="1"/>
    <row r="145" s="1118" customFormat="1" ht="12" customHeight="1"/>
    <row r="146" s="1118" customFormat="1" ht="12" customHeight="1"/>
    <row r="147" s="1118" customFormat="1" ht="12" customHeight="1"/>
    <row r="148" s="1118" customFormat="1" ht="12" customHeight="1"/>
    <row r="149" s="1118" customFormat="1" ht="12" customHeight="1"/>
    <row r="150" s="1118" customFormat="1" ht="12" customHeight="1"/>
    <row r="151" s="1118" customFormat="1" ht="12" customHeight="1"/>
    <row r="152" s="1118" customFormat="1" ht="12" customHeight="1"/>
    <row r="153" s="1118" customFormat="1" ht="12" customHeight="1"/>
    <row r="154" s="1118" customFormat="1" ht="12" customHeight="1"/>
    <row r="155" s="1118" customFormat="1" ht="12" customHeight="1"/>
    <row r="156" s="1118" customFormat="1" ht="12" customHeight="1"/>
    <row r="157" s="1118" customFormat="1" ht="12" customHeight="1"/>
    <row r="158" s="1118" customFormat="1" ht="12" customHeight="1"/>
    <row r="159" s="1118" customFormat="1" ht="12" customHeight="1"/>
    <row r="160" s="1118" customFormat="1" ht="12" customHeight="1"/>
    <row r="161" s="1118" customFormat="1" ht="12" customHeight="1"/>
    <row r="162" s="1118" customFormat="1" ht="12" customHeight="1"/>
    <row r="163" s="1118" customFormat="1" ht="12" customHeight="1"/>
    <row r="164" s="1118" customFormat="1" ht="12" customHeight="1"/>
    <row r="165" s="1118" customFormat="1" ht="12" customHeight="1"/>
    <row r="166" s="1118" customFormat="1" ht="12" customHeight="1"/>
    <row r="167" s="1118" customFormat="1" ht="12" customHeight="1"/>
    <row r="168" s="1118" customFormat="1" ht="12" customHeight="1"/>
    <row r="169" s="1118" customFormat="1" ht="12" customHeight="1"/>
    <row r="170" s="1118" customFormat="1" ht="12" customHeight="1"/>
    <row r="171" s="1118" customFormat="1" ht="12" customHeight="1"/>
    <row r="172" s="1118" customFormat="1" ht="12" customHeight="1"/>
    <row r="173" s="1118" customFormat="1" ht="12" customHeight="1"/>
    <row r="174" s="1118" customFormat="1" ht="12" customHeight="1"/>
    <row r="175" s="1118" customFormat="1" ht="12" customHeight="1"/>
    <row r="176" s="1118" customFormat="1" ht="12" customHeight="1"/>
    <row r="177" s="1118" customFormat="1" ht="12" customHeight="1"/>
    <row r="178" s="1118" customFormat="1" ht="12" customHeight="1"/>
    <row r="179" s="1118" customFormat="1" ht="12" customHeight="1"/>
    <row r="180" s="1118" customFormat="1" ht="12" customHeight="1"/>
    <row r="181" s="1118" customFormat="1" ht="12" customHeight="1"/>
    <row r="182" s="1118" customFormat="1" ht="12" customHeight="1"/>
    <row r="183" s="1118" customFormat="1" ht="12" customHeight="1"/>
    <row r="184" s="1118" customFormat="1" ht="12" customHeight="1"/>
    <row r="185" s="1118" customFormat="1" ht="12" customHeight="1"/>
    <row r="186" s="1118" customFormat="1" ht="12" customHeight="1"/>
    <row r="187" s="1118" customFormat="1" ht="12" customHeight="1"/>
    <row r="188" s="1118" customFormat="1" ht="12" customHeight="1"/>
    <row r="189" s="1118" customFormat="1" ht="12" customHeight="1"/>
    <row r="190" s="1118" customFormat="1" ht="12" customHeight="1"/>
    <row r="191" s="1118" customFormat="1" ht="12" customHeight="1"/>
    <row r="192" s="1118" customFormat="1" ht="12" customHeight="1"/>
    <row r="193" s="1118" customFormat="1" ht="12" customHeight="1"/>
    <row r="194" s="1118" customFormat="1" ht="12" customHeight="1"/>
    <row r="195" s="1118" customFormat="1" ht="12" customHeight="1"/>
    <row r="196" s="1118" customFormat="1" ht="12" customHeight="1"/>
    <row r="197" s="1118" customFormat="1" ht="12" customHeight="1"/>
    <row r="198" s="1118" customFormat="1" ht="12" customHeight="1"/>
    <row r="199" s="1118" customFormat="1" ht="12" customHeight="1"/>
    <row r="200" s="1118" customFormat="1" ht="12" customHeight="1"/>
    <row r="201" s="1118" customFormat="1" ht="12" customHeight="1"/>
    <row r="202" s="1118" customFormat="1" ht="12" customHeight="1"/>
    <row r="203" s="1118" customFormat="1" ht="12" customHeight="1"/>
    <row r="204" s="1118" customFormat="1" ht="12" customHeight="1"/>
    <row r="205" s="1118" customFormat="1" ht="12" customHeight="1"/>
    <row r="206" s="1118" customFormat="1" ht="12" customHeight="1"/>
    <row r="207" s="1118" customFormat="1" ht="12" customHeight="1"/>
    <row r="208" s="1118" customFormat="1" ht="12" customHeight="1"/>
    <row r="209" s="1118" customFormat="1" ht="12" customHeight="1"/>
    <row r="210" s="1118" customFormat="1" ht="12" customHeight="1"/>
    <row r="211" s="1118" customFormat="1" ht="12" customHeight="1"/>
    <row r="212" s="1118" customFormat="1" ht="12" customHeight="1"/>
    <row r="213" s="1118" customFormat="1" ht="12" customHeight="1"/>
    <row r="214" s="1118" customFormat="1" ht="12" customHeight="1"/>
    <row r="215" s="1118" customFormat="1" ht="12" customHeight="1"/>
    <row r="216" s="1118" customFormat="1" ht="12" customHeight="1"/>
    <row r="217" s="1118" customFormat="1" ht="12" customHeight="1"/>
    <row r="218" s="1118" customFormat="1" ht="12" customHeight="1"/>
    <row r="219" s="1118" customFormat="1" ht="12" customHeight="1"/>
    <row r="220" s="1118" customFormat="1" ht="12" customHeight="1"/>
    <row r="221" s="1118" customFormat="1" ht="12" customHeight="1"/>
    <row r="222" s="1118" customFormat="1" ht="12" customHeight="1"/>
    <row r="223" s="1118" customFormat="1" ht="12" customHeight="1"/>
    <row r="224" s="1118" customFormat="1" ht="12" customHeight="1"/>
    <row r="225" s="1118" customFormat="1" ht="12" customHeight="1"/>
    <row r="226" s="1118" customFormat="1" ht="12" customHeight="1"/>
    <row r="227" s="1118" customFormat="1" ht="12" customHeight="1"/>
    <row r="228" s="1118" customFormat="1" ht="12" customHeight="1"/>
    <row r="229" s="1118" customFormat="1" ht="12" customHeight="1"/>
    <row r="230" s="1118" customFormat="1" ht="12" customHeight="1"/>
    <row r="231" s="1118" customFormat="1" ht="12" customHeight="1"/>
    <row r="232" s="1118" customFormat="1" ht="12" customHeight="1"/>
    <row r="233" s="1118" customFormat="1" ht="12" customHeight="1"/>
    <row r="234" s="1118" customFormat="1" ht="12" customHeight="1"/>
    <row r="235" s="1118" customFormat="1" ht="12" customHeight="1"/>
    <row r="236" s="1118" customFormat="1" ht="12" customHeight="1"/>
    <row r="237" s="1118" customFormat="1" ht="12" customHeight="1"/>
    <row r="238" s="1118" customFormat="1" ht="12" customHeight="1"/>
    <row r="239" s="1118" customFormat="1" ht="12" customHeight="1"/>
    <row r="240" s="1118" customFormat="1" ht="12" customHeight="1"/>
    <row r="241" s="1118" customFormat="1" ht="12" customHeight="1"/>
    <row r="242" s="1118" customFormat="1" ht="12" customHeight="1"/>
    <row r="243" s="1118" customFormat="1" ht="12" customHeight="1"/>
    <row r="244" s="1118" customFormat="1" ht="12" customHeight="1"/>
    <row r="245" s="1118" customFormat="1" ht="12" customHeight="1"/>
    <row r="246" s="1118" customFormat="1" ht="12" customHeight="1"/>
    <row r="247" s="1118" customFormat="1" ht="12" customHeight="1"/>
    <row r="248" s="1118" customFormat="1" ht="12" customHeight="1"/>
    <row r="249" s="1118" customFormat="1" ht="12" customHeight="1"/>
    <row r="250" s="1118" customFormat="1" ht="12" customHeight="1"/>
    <row r="251" s="1118" customFormat="1" ht="12" customHeight="1"/>
    <row r="252" s="1118" customFormat="1" ht="12" customHeight="1"/>
    <row r="253" s="1118" customFormat="1" ht="12" customHeight="1"/>
    <row r="254" s="1118" customFormat="1" ht="12" customHeight="1"/>
    <row r="255" s="1118" customFormat="1" ht="12" customHeight="1"/>
    <row r="256" s="1118" customFormat="1" ht="12" customHeight="1"/>
    <row r="257" s="1118" customFormat="1" ht="12" customHeight="1"/>
    <row r="258" s="1118" customFormat="1" ht="12" customHeight="1"/>
    <row r="259" s="1118" customFormat="1" ht="12" customHeight="1"/>
    <row r="260" s="1118" customFormat="1" ht="12" customHeight="1"/>
    <row r="261" s="1118" customFormat="1" ht="12" customHeight="1"/>
    <row r="262" s="1118" customFormat="1" ht="12" customHeight="1"/>
    <row r="263" s="1118" customFormat="1" ht="12" customHeight="1"/>
    <row r="264" s="1118" customFormat="1" ht="12" customHeight="1"/>
    <row r="265" s="1118" customFormat="1" ht="12" customHeight="1"/>
    <row r="266" s="1118" customFormat="1" ht="12" customHeight="1"/>
    <row r="267" s="1118" customFormat="1" ht="12" customHeight="1"/>
    <row r="268" s="1118" customFormat="1" ht="12" customHeight="1"/>
    <row r="269" s="1118" customFormat="1" ht="12" customHeight="1"/>
    <row r="270" s="1118" customFormat="1" ht="12" customHeight="1"/>
    <row r="271" s="1118" customFormat="1" ht="12" customHeight="1"/>
    <row r="272" s="1118" customFormat="1" ht="12" customHeight="1"/>
    <row r="273" s="1118" customFormat="1" ht="12" customHeight="1"/>
    <row r="274" s="1118" customFormat="1" ht="12" customHeight="1"/>
    <row r="275" s="1118" customFormat="1" ht="12" customHeight="1"/>
    <row r="276" s="1118" customFormat="1" ht="12" customHeight="1"/>
    <row r="277" s="1118" customFormat="1" ht="12" customHeight="1"/>
    <row r="278" s="1118" customFormat="1" ht="12" customHeight="1"/>
    <row r="279" s="1118" customFormat="1" ht="12" customHeight="1"/>
    <row r="280" s="1118" customFormat="1" ht="12" customHeight="1"/>
    <row r="281" s="1118" customFormat="1" ht="12" customHeight="1"/>
    <row r="282" s="1118" customFormat="1" ht="12" customHeight="1"/>
    <row r="283" s="1118" customFormat="1" ht="12" customHeight="1"/>
    <row r="284" s="1118" customFormat="1" ht="12" customHeight="1"/>
    <row r="285" s="1118" customFormat="1" ht="12" customHeight="1"/>
    <row r="286" s="1118" customFormat="1" ht="12" customHeight="1"/>
    <row r="287" s="1118" customFormat="1" ht="12" customHeight="1"/>
    <row r="288" s="1118" customFormat="1" ht="12" customHeight="1"/>
    <row r="289" s="1118" customFormat="1" ht="12" customHeight="1"/>
    <row r="290" s="1118" customFormat="1" ht="12" customHeight="1"/>
    <row r="291" s="1118" customFormat="1" ht="12" customHeight="1"/>
    <row r="292" s="1118" customFormat="1" ht="12" customHeight="1"/>
    <row r="293" s="1118" customFormat="1" ht="12" customHeight="1"/>
    <row r="294" s="1118" customFormat="1" ht="12" customHeight="1"/>
    <row r="295" s="1118" customFormat="1" ht="12" customHeight="1"/>
    <row r="296" s="1118" customFormat="1" ht="15.75" customHeight="1"/>
    <row r="297" s="1118" customFormat="1" ht="15.75" customHeight="1"/>
    <row r="298" s="1118" customFormat="1" ht="15.75" customHeight="1"/>
    <row r="299" s="1118" customFormat="1" ht="15.75" customHeight="1"/>
    <row r="300" s="1118" customFormat="1" ht="15.75" customHeight="1"/>
    <row r="301" s="1118" customFormat="1" ht="15.75" customHeight="1"/>
    <row r="302" s="1118" customFormat="1" ht="15.75" customHeight="1"/>
    <row r="303" s="1118" customFormat="1" ht="15.75" customHeight="1"/>
    <row r="304" s="1118" customFormat="1" ht="15.75" customHeight="1"/>
    <row r="305" s="1118" customFormat="1" ht="15.75" customHeight="1"/>
    <row r="306" s="1118" customFormat="1" ht="15.75" customHeight="1"/>
    <row r="307" s="1118" customFormat="1" ht="15.75" customHeight="1"/>
    <row r="308" s="1118" customFormat="1" ht="15.75" customHeight="1"/>
    <row r="309" s="1118" customFormat="1" ht="15.75" customHeight="1"/>
    <row r="310" s="1118" customFormat="1" ht="15.75" customHeight="1"/>
    <row r="311" s="1118" customFormat="1" ht="15.75" customHeight="1"/>
    <row r="312" s="1118" customFormat="1" ht="15.75" customHeight="1"/>
    <row r="313" s="1118" customFormat="1" ht="15.75" customHeight="1"/>
    <row r="314" s="1118" customFormat="1" ht="15.75" customHeight="1"/>
    <row r="315" s="1118" customFormat="1" ht="15.75" customHeight="1"/>
    <row r="316" s="1118" customFormat="1" ht="15.75" customHeight="1"/>
    <row r="317" s="1118" customFormat="1" ht="15.75" customHeight="1"/>
    <row r="318" s="1118" customFormat="1" ht="15.75" customHeight="1"/>
    <row r="319" s="1118" customFormat="1" ht="15.75" customHeight="1"/>
    <row r="320" s="1118" customFormat="1" ht="15.75" customHeight="1"/>
    <row r="321" s="1118" customFormat="1" ht="15.75" customHeight="1"/>
    <row r="322" s="1118" customFormat="1" ht="15.75" customHeight="1"/>
    <row r="323" s="1118" customFormat="1" ht="15.75" customHeight="1"/>
    <row r="324" s="1118" customFormat="1" ht="15.75" customHeight="1"/>
    <row r="325" s="1118" customFormat="1" ht="15.75" customHeight="1"/>
    <row r="326" s="1118" customFormat="1" ht="15.75" customHeight="1"/>
    <row r="327" s="1118" customFormat="1" ht="15.75" customHeight="1"/>
    <row r="328" s="1118" customFormat="1" ht="15.75" customHeight="1"/>
    <row r="329" s="1118" customFormat="1" ht="15.75" customHeight="1"/>
    <row r="330" s="1118" customFormat="1" ht="15.75" customHeight="1"/>
    <row r="331" s="1118" customFormat="1" ht="15.75" customHeight="1"/>
    <row r="332" s="1118" customFormat="1" ht="15.75" customHeight="1"/>
    <row r="333" s="1118" customFormat="1" ht="15.75" customHeight="1"/>
    <row r="334" s="1118" customFormat="1" ht="15.75" customHeight="1"/>
    <row r="335" s="1118" customFormat="1" ht="15.75" customHeight="1"/>
    <row r="336" s="1118" customFormat="1" ht="15.75" customHeight="1"/>
    <row r="337" s="1118" customFormat="1" ht="15.75" customHeight="1"/>
    <row r="338" s="1118" customFormat="1" ht="15.75" customHeight="1"/>
    <row r="339" s="1118" customFormat="1" ht="15.75" customHeight="1"/>
    <row r="340" s="1118" customFormat="1" ht="15.75" customHeight="1"/>
    <row r="341" s="1118" customFormat="1" ht="15.75" customHeight="1"/>
    <row r="342" s="1118" customFormat="1" ht="15.75" customHeight="1"/>
    <row r="343" s="1118" customFormat="1" ht="15.75" customHeight="1"/>
    <row r="344" s="1118" customFormat="1" ht="15.75" customHeight="1"/>
    <row r="345" s="1118" customFormat="1" ht="15.75" customHeight="1"/>
    <row r="346" s="1118" customFormat="1" ht="15.75" customHeight="1"/>
    <row r="347" s="1118" customFormat="1" ht="15.75" customHeight="1"/>
    <row r="348" s="1118" customFormat="1" ht="15.75" customHeight="1"/>
    <row r="349" s="1118" customFormat="1" ht="15.75" customHeight="1"/>
    <row r="350" s="1118" customFormat="1" ht="15.75" customHeight="1"/>
    <row r="351" s="1118" customFormat="1" ht="15.75" customHeight="1"/>
    <row r="352" s="1118" customFormat="1" ht="15.75" customHeight="1"/>
    <row r="353" s="1118" customFormat="1" ht="15.75" customHeight="1"/>
    <row r="354" s="1118" customFormat="1" ht="15.75" customHeight="1"/>
    <row r="355" s="1118" customFormat="1" ht="15.75" customHeight="1"/>
    <row r="356" s="1118" customFormat="1" ht="15.75" customHeight="1"/>
    <row r="357" s="1118" customFormat="1" ht="15.75" customHeight="1"/>
    <row r="358" s="1118" customFormat="1" ht="15.75" customHeight="1"/>
    <row r="359" s="1118" customFormat="1" ht="15.75" customHeight="1"/>
    <row r="360" s="1118" customFormat="1" ht="15.75" customHeight="1"/>
    <row r="361" s="1118" customFormat="1" ht="15.75" customHeight="1"/>
    <row r="362" s="1118" customFormat="1" ht="15.75" customHeight="1"/>
    <row r="363" s="1118" customFormat="1" ht="15.75" customHeight="1"/>
    <row r="364" s="1118" customFormat="1" ht="15.75" customHeight="1"/>
    <row r="365" s="1118" customFormat="1" ht="15.75" customHeight="1"/>
    <row r="366" s="1118" customFormat="1" ht="15.75" customHeight="1"/>
    <row r="367" s="1118" customFormat="1" ht="15.75" customHeight="1"/>
    <row r="368" s="1118" customFormat="1" ht="15.75" customHeight="1"/>
    <row r="369" s="1118" customFormat="1" ht="15.75" customHeight="1"/>
    <row r="370" s="1118" customFormat="1" ht="15.75" customHeight="1"/>
    <row r="371" s="1118" customFormat="1" ht="15.75" customHeight="1"/>
    <row r="372" s="1118" customFormat="1" ht="15.75" customHeight="1"/>
    <row r="373" s="1118" customFormat="1" ht="15.75" customHeight="1"/>
    <row r="374" s="1118" customFormat="1" ht="15.75" customHeight="1"/>
    <row r="375" s="1118" customFormat="1" ht="15.75" customHeight="1"/>
    <row r="376" s="1118" customFormat="1" ht="15.75" customHeight="1"/>
    <row r="377" s="1118" customFormat="1" ht="15.75" customHeight="1"/>
    <row r="378" s="1118" customFormat="1" ht="15.75" customHeight="1"/>
    <row r="379" s="1118" customFormat="1" ht="15.75" customHeight="1"/>
    <row r="380" s="1118" customFormat="1" ht="15.75" customHeight="1"/>
    <row r="381" s="1118" customFormat="1" ht="15.75" customHeight="1"/>
    <row r="382" s="1118" customFormat="1" ht="15.75" customHeight="1"/>
    <row r="383" s="1118" customFormat="1" ht="15.75" customHeight="1"/>
    <row r="384" s="1118" customFormat="1" ht="15.75" customHeight="1"/>
    <row r="385" s="1118" customFormat="1" ht="15.75" customHeight="1"/>
    <row r="386" s="1118" customFormat="1" ht="15.75" customHeight="1"/>
    <row r="387" s="1118" customFormat="1" ht="15.75" customHeight="1"/>
    <row r="388" s="1118" customFormat="1" ht="15.75" customHeight="1"/>
    <row r="389" s="1118" customFormat="1" ht="15.75" customHeight="1"/>
    <row r="390" s="1118" customFormat="1" ht="15.75" customHeight="1"/>
    <row r="391" s="1118" customFormat="1" ht="15.75" customHeight="1"/>
    <row r="392" s="1118" customFormat="1" ht="15.75" customHeight="1"/>
    <row r="393" s="1118" customFormat="1" ht="15.75" customHeight="1"/>
    <row r="394" s="1118" customFormat="1" ht="15.75" customHeight="1"/>
    <row r="395" s="1118" customFormat="1" ht="15.75" customHeight="1"/>
    <row r="396" s="1118" customFormat="1" ht="15.75" customHeight="1"/>
    <row r="397" s="1118" customFormat="1" ht="15.75" customHeight="1"/>
    <row r="398" s="1118" customFormat="1" ht="15.75" customHeight="1"/>
    <row r="399" s="1118" customFormat="1" ht="15.75" customHeight="1"/>
    <row r="400" s="1118" customFormat="1" ht="15.75" customHeight="1"/>
    <row r="401" s="1118" customFormat="1" ht="15.75" customHeight="1"/>
    <row r="402" s="1118" customFormat="1" ht="15.75" customHeight="1"/>
    <row r="403" s="1118" customFormat="1" ht="15.75" customHeight="1"/>
    <row r="404" s="1118" customFormat="1" ht="15.75" customHeight="1"/>
    <row r="405" s="1118" customFormat="1" ht="15.75" customHeight="1"/>
    <row r="406" s="1118" customFormat="1" ht="15.75" customHeight="1"/>
    <row r="407" s="1118" customFormat="1" ht="15.75" customHeight="1"/>
    <row r="408" s="1118" customFormat="1" ht="15.75" customHeight="1"/>
    <row r="409" s="1118" customFormat="1" ht="15.75" customHeight="1"/>
    <row r="410" s="1118" customFormat="1" ht="15.75" customHeight="1"/>
    <row r="411" s="1118" customFormat="1" ht="15.75" customHeight="1"/>
    <row r="412" s="1118" customFormat="1" ht="15.75" customHeight="1"/>
    <row r="413" s="1118" customFormat="1" ht="15.75" customHeight="1"/>
    <row r="414" s="1118" customFormat="1" ht="15.75" customHeight="1"/>
    <row r="415" s="1118" customFormat="1" ht="15.75" customHeight="1"/>
    <row r="416" s="1118" customFormat="1" ht="15.75" customHeight="1"/>
    <row r="417" s="1118" customFormat="1" ht="15.75" customHeight="1"/>
    <row r="418" s="1118" customFormat="1" ht="15.75" customHeight="1"/>
    <row r="419" s="1118" customFormat="1" ht="15.75" customHeight="1"/>
    <row r="420" s="1118" customFormat="1" ht="15.75" customHeight="1"/>
    <row r="421" s="1118" customFormat="1" ht="15.75" customHeight="1"/>
    <row r="422" s="1118" customFormat="1" ht="15.75" customHeight="1"/>
    <row r="423" s="1118" customFormat="1" ht="15.75" customHeight="1"/>
    <row r="424" s="1118" customFormat="1" ht="15.75" customHeight="1"/>
    <row r="425" s="1118" customFormat="1" ht="15.75" customHeight="1"/>
    <row r="426" s="1118" customFormat="1" ht="15.75" customHeight="1"/>
    <row r="427" s="1118" customFormat="1" ht="15.75" customHeight="1"/>
    <row r="428" s="1118" customFormat="1" ht="15.75" customHeight="1"/>
    <row r="429" s="1118" customFormat="1" ht="15.75" customHeight="1"/>
    <row r="430" s="1118" customFormat="1" ht="15.75" customHeight="1"/>
    <row r="431" s="1118" customFormat="1" ht="15.75" customHeight="1"/>
    <row r="432" s="1118" customFormat="1" ht="15.75" customHeight="1"/>
    <row r="433" s="1118" customFormat="1" ht="15.75" customHeight="1"/>
    <row r="434" s="1118" customFormat="1" ht="15.75" customHeight="1"/>
    <row r="435" s="1118" customFormat="1" ht="15.75" customHeight="1"/>
    <row r="436" s="1118" customFormat="1" ht="15.75" customHeight="1"/>
    <row r="437" s="1118" customFormat="1" ht="15.75" customHeight="1"/>
    <row r="438" s="1118" customFormat="1" ht="15.75" customHeight="1"/>
    <row r="439" s="1118" customFormat="1" ht="15.75" customHeight="1"/>
    <row r="440" s="1118" customFormat="1" ht="15.75" customHeight="1"/>
    <row r="441" s="1118" customFormat="1" ht="15.75" customHeight="1"/>
    <row r="442" s="1118" customFormat="1" ht="15.75" customHeight="1"/>
    <row r="443" s="1118" customFormat="1" ht="15.75" customHeight="1"/>
    <row r="444" s="1118" customFormat="1" ht="15.75" customHeight="1"/>
    <row r="445" s="1118" customFormat="1" ht="15.75" customHeight="1"/>
    <row r="446" s="1118" customFormat="1" ht="15.75" customHeight="1"/>
    <row r="447" s="1118" customFormat="1" ht="15.75" customHeight="1"/>
    <row r="448" s="1118" customFormat="1" ht="15.75" customHeight="1"/>
    <row r="449" s="1118" customFormat="1" ht="15.75" customHeight="1"/>
    <row r="450" s="1118" customFormat="1" ht="15.75" customHeight="1"/>
    <row r="451" s="1118" customFormat="1" ht="15.75" customHeight="1"/>
    <row r="452" s="1118" customFormat="1" ht="15.75" customHeight="1"/>
    <row r="453" s="1118" customFormat="1" ht="15.75" customHeight="1"/>
    <row r="454" s="1118" customFormat="1" ht="15.75" customHeight="1"/>
    <row r="455" s="1118" customFormat="1" ht="15.75" customHeight="1"/>
    <row r="456" s="1118" customFormat="1" ht="15.75" customHeight="1"/>
    <row r="457" s="1118" customFormat="1" ht="15.75" customHeight="1"/>
    <row r="458" s="1118" customFormat="1" ht="15.75" customHeight="1"/>
    <row r="459" s="1118" customFormat="1" ht="15.75" customHeight="1"/>
    <row r="460" s="1118" customFormat="1" ht="15.75" customHeight="1"/>
    <row r="461" s="1118" customFormat="1" ht="15.75" customHeight="1"/>
    <row r="462" s="1118" customFormat="1" ht="15.75" customHeight="1"/>
    <row r="463" s="1118" customFormat="1" ht="15.75" customHeight="1"/>
    <row r="464" s="1118" customFormat="1" ht="15.75" customHeight="1"/>
    <row r="465" s="1118" customFormat="1" ht="15.75" customHeight="1"/>
    <row r="466" s="1118" customFormat="1" ht="15.75" customHeight="1"/>
    <row r="467" s="1118" customFormat="1" ht="15.75" customHeight="1"/>
    <row r="468" s="1118" customFormat="1" ht="15.75" customHeight="1"/>
    <row r="469" s="1118" customFormat="1" ht="15.75" customHeight="1"/>
    <row r="470" s="1118" customFormat="1" ht="15.75" customHeight="1"/>
    <row r="471" s="1118" customFormat="1" ht="15.75" customHeight="1"/>
    <row r="472" s="1118" customFormat="1" ht="15.75" customHeight="1"/>
    <row r="473" s="1118" customFormat="1" ht="15.75" customHeight="1"/>
    <row r="474" s="1118" customFormat="1" ht="15.75" customHeight="1"/>
    <row r="475" s="1118" customFormat="1" ht="15.75" customHeight="1"/>
    <row r="476" s="1118" customFormat="1" ht="15.75" customHeight="1"/>
    <row r="477" s="1118" customFormat="1" ht="15.75" customHeight="1"/>
    <row r="478" s="1118" customFormat="1" ht="15.75" customHeight="1"/>
    <row r="479" s="1118" customFormat="1" ht="15.75" customHeight="1"/>
    <row r="480" s="1118" customFormat="1" ht="15.75" customHeight="1"/>
    <row r="481" s="1118" customFormat="1" ht="15.75" customHeight="1"/>
    <row r="482" s="1118" customFormat="1" ht="15.75" customHeight="1"/>
    <row r="483" s="1118" customFormat="1" ht="15.75" customHeight="1"/>
    <row r="484" s="1118" customFormat="1" ht="15.75" customHeight="1"/>
    <row r="485" s="1118" customFormat="1" ht="15.75" customHeight="1"/>
    <row r="486" s="1118" customFormat="1" ht="15.75" customHeight="1"/>
    <row r="487" s="1118" customFormat="1" ht="15.75" customHeight="1"/>
    <row r="488" s="1118" customFormat="1" ht="15.75" customHeight="1"/>
    <row r="489" s="1118" customFormat="1" ht="15.75" customHeight="1"/>
    <row r="490" s="1118" customFormat="1" ht="15.75" customHeight="1"/>
    <row r="491" s="1118" customFormat="1" ht="15.75" customHeight="1"/>
    <row r="492" s="1118" customFormat="1" ht="15.75" customHeight="1"/>
    <row r="493" s="1118" customFormat="1" ht="15.75" customHeight="1"/>
    <row r="494" s="1118" customFormat="1" ht="15.75" customHeight="1"/>
    <row r="495" s="1118" customFormat="1" ht="15.75" customHeight="1"/>
    <row r="496" s="1118" customFormat="1" ht="15.75" customHeight="1"/>
    <row r="497" s="1118" customFormat="1" ht="15.75" customHeight="1"/>
    <row r="498" s="1118" customFormat="1" ht="15.75" customHeight="1"/>
    <row r="499" s="1118" customFormat="1" ht="15.75" customHeight="1"/>
    <row r="500" s="1118" customFormat="1" ht="15.75" customHeight="1"/>
    <row r="501" s="1118" customFormat="1" ht="15.75" customHeight="1"/>
    <row r="502" s="1118" customFormat="1" ht="15.75" customHeight="1"/>
    <row r="503" s="1118" customFormat="1" ht="15.75" customHeight="1"/>
    <row r="504" s="1118" customFormat="1" ht="15.75" customHeight="1"/>
    <row r="505" s="1118" customFormat="1" ht="15.75" customHeight="1"/>
    <row r="506" s="1118" customFormat="1" ht="15.75" customHeight="1"/>
    <row r="507" s="1118" customFormat="1" ht="15.75" customHeight="1"/>
    <row r="508" s="1118" customFormat="1" ht="15.75" customHeight="1"/>
    <row r="509" s="1118" customFormat="1" ht="15.75" customHeight="1"/>
    <row r="510" s="1118" customFormat="1" ht="15.75" customHeight="1"/>
    <row r="511" s="1118" customFormat="1" ht="15.75" customHeight="1"/>
    <row r="512" s="1118" customFormat="1" ht="15.75" customHeight="1"/>
    <row r="513" s="1118" customFormat="1" ht="15.75" customHeight="1"/>
    <row r="514" s="1118" customFormat="1" ht="15.75" customHeight="1"/>
    <row r="515" s="1118" customFormat="1" ht="15.75" customHeight="1"/>
    <row r="516" s="1118" customFormat="1" ht="15.75" customHeight="1"/>
    <row r="517" s="1118" customFormat="1" ht="15.75" customHeight="1"/>
    <row r="518" s="1118" customFormat="1" ht="15.75" customHeight="1"/>
    <row r="519" s="1118" customFormat="1" ht="15.75" customHeight="1"/>
    <row r="520" s="1118" customFormat="1" ht="15.75" customHeight="1"/>
    <row r="521" s="1118" customFormat="1" ht="15.75" customHeight="1"/>
    <row r="522" s="1118" customFormat="1" ht="15.75" customHeight="1"/>
    <row r="523" s="1118" customFormat="1" ht="15.75" customHeight="1"/>
    <row r="524" s="1118" customFormat="1" ht="15.75" customHeight="1"/>
    <row r="525" s="1118" customFormat="1" ht="15.75" customHeight="1"/>
    <row r="526" s="1118" customFormat="1" ht="15.75" customHeight="1"/>
    <row r="527" s="1118" customFormat="1" ht="15.75" customHeight="1"/>
    <row r="528" s="1118" customFormat="1" ht="15.75" customHeight="1"/>
    <row r="529" s="1118" customFormat="1" ht="15.75" customHeight="1"/>
    <row r="530" s="1118" customFormat="1" ht="15.75" customHeight="1"/>
    <row r="531" s="1118" customFormat="1" ht="15.75" customHeight="1"/>
    <row r="532" s="1118" customFormat="1" ht="15.75" customHeight="1"/>
    <row r="533" s="1118" customFormat="1" ht="15.75" customHeight="1"/>
    <row r="534" s="1118" customFormat="1" ht="15.75" customHeight="1"/>
    <row r="535" s="1118" customFormat="1" ht="15.75" customHeight="1"/>
    <row r="536" s="1118" customFormat="1" ht="15.75" customHeight="1"/>
    <row r="537" s="1118" customFormat="1" ht="15.75" customHeight="1"/>
    <row r="538" s="1118" customFormat="1" ht="15.75" customHeight="1"/>
    <row r="539" s="1118" customFormat="1" ht="15.75" customHeight="1"/>
    <row r="540" s="1118" customFormat="1" ht="15.75" customHeight="1"/>
    <row r="541" s="1118" customFormat="1" ht="15.75" customHeight="1"/>
    <row r="542" s="1118" customFormat="1" ht="15.75" customHeight="1"/>
    <row r="543" s="1118" customFormat="1" ht="15.75" customHeight="1"/>
    <row r="544" s="1118" customFormat="1" ht="15.75" customHeight="1"/>
    <row r="545" s="1118" customFormat="1" ht="15.75" customHeight="1"/>
    <row r="546" s="1118" customFormat="1" ht="15.75" customHeight="1"/>
    <row r="547" s="1118" customFormat="1" ht="15.75" customHeight="1"/>
    <row r="548" s="1118" customFormat="1" ht="15.75" customHeight="1"/>
    <row r="549" s="1118" customFormat="1" ht="15.75" customHeight="1"/>
    <row r="550" s="1118" customFormat="1" ht="15.75" customHeight="1"/>
    <row r="551" s="1118" customFormat="1" ht="15.75" customHeight="1"/>
    <row r="552" s="1118" customFormat="1" ht="15.75" customHeight="1"/>
    <row r="553" s="1118" customFormat="1" ht="15.75" customHeight="1"/>
    <row r="554" s="1118" customFormat="1" ht="15.75" customHeight="1"/>
    <row r="555" s="1118" customFormat="1" ht="15.75" customHeight="1"/>
    <row r="556" s="1118" customFormat="1" ht="15.75" customHeight="1"/>
    <row r="557" s="1118" customFormat="1" ht="15.75" customHeight="1"/>
    <row r="558" s="1118" customFormat="1" ht="15.75" customHeight="1"/>
    <row r="559" s="1118" customFormat="1" ht="15.75" customHeight="1"/>
    <row r="560" s="1118" customFormat="1" ht="15.75" customHeight="1"/>
    <row r="561" s="1118" customFormat="1" ht="15.75" customHeight="1"/>
    <row r="562" s="1118" customFormat="1" ht="15.75" customHeight="1"/>
    <row r="563" s="1118" customFormat="1" ht="15.75" customHeight="1"/>
    <row r="564" s="1118" customFormat="1" ht="15.75" customHeight="1"/>
    <row r="565" s="1118" customFormat="1" ht="15.75" customHeight="1"/>
    <row r="566" s="1118" customFormat="1" ht="15.75" customHeight="1"/>
    <row r="567" s="1118" customFormat="1" ht="15.75" customHeight="1"/>
    <row r="568" s="1118" customFormat="1" ht="15.75" customHeight="1"/>
    <row r="569" s="1118" customFormat="1" ht="15.75" customHeight="1"/>
    <row r="570" s="1118" customFormat="1" ht="15.75" customHeight="1"/>
    <row r="571" s="1118" customFormat="1" ht="15.75" customHeight="1"/>
    <row r="572" s="1118" customFormat="1" ht="15.75" customHeight="1"/>
    <row r="573" s="1118" customFormat="1" ht="15.75" customHeight="1"/>
    <row r="574" s="1118" customFormat="1" ht="15.75" customHeight="1"/>
    <row r="575" s="1118" customFormat="1" ht="15.75" customHeight="1"/>
    <row r="576" s="1118" customFormat="1" ht="15.75" customHeight="1"/>
    <row r="577" s="1118" customFormat="1" ht="15.75" customHeight="1"/>
    <row r="578" s="1118" customFormat="1" ht="15.75" customHeight="1"/>
    <row r="579" s="1118" customFormat="1" ht="15.75" customHeight="1"/>
    <row r="580" s="1118" customFormat="1" ht="15.75" customHeight="1"/>
    <row r="581" s="1118" customFormat="1" ht="15.75" customHeight="1"/>
    <row r="582" s="1118" customFormat="1" ht="15.75" customHeight="1"/>
    <row r="583" s="1118" customFormat="1" ht="15.75" customHeight="1"/>
    <row r="584" s="1118" customFormat="1" ht="15.75" customHeight="1"/>
    <row r="585" s="1118" customFormat="1" ht="15.75" customHeight="1"/>
    <row r="586" s="1118" customFormat="1" ht="15.75" customHeight="1"/>
    <row r="587" s="1118" customFormat="1" ht="15.75" customHeight="1"/>
    <row r="588" s="1118" customFormat="1" ht="15.75" customHeight="1"/>
    <row r="589" s="1118" customFormat="1" ht="15.75" customHeight="1"/>
    <row r="590" s="1118" customFormat="1" ht="15.75" customHeight="1"/>
    <row r="591" s="1118" customFormat="1" ht="15.75" customHeight="1"/>
    <row r="592" s="1118" customFormat="1" ht="15.75" customHeight="1"/>
    <row r="593" s="1118" customFormat="1" ht="15.75" customHeight="1"/>
    <row r="594" s="1118" customFormat="1" ht="15.75" customHeight="1"/>
    <row r="595" s="1118" customFormat="1" ht="15.75" customHeight="1"/>
    <row r="596" s="1118" customFormat="1" ht="15.75" customHeight="1"/>
    <row r="597" s="1118" customFormat="1" ht="15.75" customHeight="1"/>
    <row r="598" s="1118" customFormat="1" ht="15.75" customHeight="1"/>
    <row r="599" s="1118" customFormat="1" ht="15.75" customHeight="1"/>
    <row r="600" s="1118" customFormat="1" ht="15.75" customHeight="1"/>
    <row r="601" s="1118" customFormat="1" ht="15.75" customHeight="1"/>
    <row r="602" s="1118" customFormat="1" ht="15.75" customHeight="1"/>
    <row r="603" s="1118" customFormat="1" ht="15.75" customHeight="1"/>
    <row r="604" s="1118" customFormat="1" ht="15.75" customHeight="1"/>
    <row r="605" s="1118" customFormat="1" ht="15.75" customHeight="1"/>
    <row r="606" s="1118" customFormat="1" ht="15.75" customHeight="1"/>
    <row r="607" s="1118" customFormat="1" ht="15.75" customHeight="1"/>
    <row r="608" s="1118" customFormat="1" ht="15.75" customHeight="1"/>
    <row r="609" s="1118" customFormat="1" ht="15.75" customHeight="1"/>
    <row r="610" s="1118" customFormat="1" ht="15.75" customHeight="1"/>
    <row r="611" s="1118" customFormat="1" ht="15.75" customHeight="1"/>
    <row r="612" s="1118" customFormat="1" ht="15.75" customHeight="1"/>
    <row r="613" s="1118" customFormat="1" ht="15.75" customHeight="1"/>
    <row r="614" s="1118" customFormat="1" ht="15.75" customHeight="1"/>
    <row r="615" s="1118" customFormat="1" ht="15.75" customHeight="1"/>
    <row r="616" s="1118" customFormat="1" ht="15.75" customHeight="1"/>
    <row r="617" s="1118" customFormat="1" ht="15.75" customHeight="1"/>
    <row r="618" s="1118" customFormat="1" ht="15.75" customHeight="1"/>
    <row r="619" s="1118" customFormat="1" ht="15.75" customHeight="1"/>
    <row r="620" s="1118" customFormat="1" ht="15.75" customHeight="1"/>
    <row r="621" s="1118" customFormat="1" ht="15.75" customHeight="1"/>
    <row r="622" s="1118" customFormat="1" ht="15.75" customHeight="1"/>
    <row r="623" s="1118" customFormat="1" ht="15.75" customHeight="1"/>
    <row r="624" s="1118" customFormat="1" ht="15.75" customHeight="1"/>
    <row r="625" s="1118" customFormat="1" ht="15.75" customHeight="1"/>
    <row r="626" s="1118" customFormat="1" ht="15.75" customHeight="1"/>
    <row r="627" s="1118" customFormat="1" ht="15.75" customHeight="1"/>
    <row r="628" s="1118" customFormat="1" ht="15.75" customHeight="1"/>
    <row r="629" s="1118" customFormat="1" ht="15.75" customHeight="1"/>
    <row r="630" s="1118" customFormat="1" ht="15.75" customHeight="1"/>
    <row r="631" s="1118" customFormat="1" ht="15.75" customHeight="1"/>
    <row r="632" s="1118" customFormat="1" ht="15.75" customHeight="1"/>
    <row r="633" s="1118" customFormat="1" ht="15.75" customHeight="1"/>
    <row r="634" s="1118" customFormat="1" ht="15.75" customHeight="1"/>
    <row r="635" s="1118" customFormat="1" ht="15.75" customHeight="1"/>
    <row r="636" s="1118" customFormat="1" ht="15.75" customHeight="1"/>
    <row r="637" s="1118" customFormat="1" ht="15.75" customHeight="1"/>
    <row r="638" s="1118" customFormat="1" ht="15.75" customHeight="1"/>
    <row r="639" s="1118" customFormat="1" ht="15.75" customHeight="1"/>
    <row r="640" s="1118" customFormat="1" ht="15.75" customHeight="1"/>
    <row r="641" s="1118" customFormat="1" ht="15.75" customHeight="1"/>
    <row r="642" s="1118" customFormat="1" ht="15.75" customHeight="1"/>
    <row r="643" s="1118" customFormat="1" ht="15.75" customHeight="1"/>
    <row r="644" s="1118" customFormat="1" ht="15.75" customHeight="1"/>
    <row r="645" s="1118" customFormat="1" ht="15.75" customHeight="1"/>
    <row r="646" s="1118" customFormat="1" ht="15.75" customHeight="1"/>
    <row r="647" s="1118" customFormat="1" ht="15.75" customHeight="1"/>
    <row r="648" s="1118" customFormat="1" ht="15.75" customHeight="1"/>
    <row r="649" s="1118" customFormat="1" ht="15.75" customHeight="1"/>
    <row r="650" s="1118" customFormat="1" ht="15.75" customHeight="1"/>
    <row r="651" s="1118" customFormat="1" ht="15.75" customHeight="1"/>
    <row r="652" s="1118" customFormat="1" ht="15.75" customHeight="1"/>
    <row r="653" s="1118" customFormat="1" ht="15.75" customHeight="1"/>
    <row r="654" s="1118" customFormat="1" ht="15.75" customHeight="1"/>
    <row r="655" s="1118" customFormat="1" ht="15.75" customHeight="1"/>
    <row r="656" s="1118" customFormat="1" ht="15.75" customHeight="1"/>
    <row r="657" s="1118" customFormat="1" ht="15.75" customHeight="1"/>
    <row r="658" s="1118" customFormat="1" ht="15.75" customHeight="1"/>
    <row r="659" s="1118" customFormat="1" ht="15.75" customHeight="1"/>
    <row r="660" s="1118" customFormat="1" ht="15.75" customHeight="1"/>
    <row r="661" s="1118" customFormat="1" ht="15.75" customHeight="1"/>
    <row r="662" s="1118" customFormat="1" ht="15.75" customHeight="1"/>
    <row r="663" s="1118" customFormat="1" ht="15.75" customHeight="1"/>
    <row r="664" s="1118" customFormat="1" ht="15.75" customHeight="1"/>
    <row r="665" s="1118" customFormat="1" ht="15.75" customHeight="1"/>
    <row r="666" s="1118" customFormat="1" ht="15.75" customHeight="1"/>
    <row r="667" s="1118" customFormat="1" ht="15.75" customHeight="1"/>
    <row r="668" s="1118" customFormat="1" ht="15.75" customHeight="1"/>
    <row r="669" s="1118" customFormat="1" ht="15.75" customHeight="1"/>
    <row r="670" s="1118" customFormat="1" ht="15.75" customHeight="1"/>
    <row r="671" s="1118" customFormat="1" ht="15.75" customHeight="1"/>
    <row r="672" s="1118" customFormat="1" ht="15.75" customHeight="1"/>
    <row r="673" s="1118" customFormat="1" ht="15.75" customHeight="1"/>
    <row r="674" s="1118" customFormat="1" ht="15.75" customHeight="1"/>
    <row r="675" s="1118" customFormat="1" ht="15.75" customHeight="1"/>
    <row r="676" s="1118" customFormat="1" ht="15.75" customHeight="1"/>
    <row r="677" s="1118" customFormat="1" ht="15.75" customHeight="1"/>
    <row r="678" s="1118" customFormat="1" ht="15.75" customHeight="1"/>
    <row r="679" s="1118" customFormat="1" ht="15.75" customHeight="1"/>
    <row r="680" s="1118" customFormat="1" ht="15.75" customHeight="1"/>
    <row r="681" s="1118" customFormat="1" ht="15.75" customHeight="1"/>
    <row r="682" s="1118" customFormat="1" ht="15.75" customHeight="1"/>
    <row r="683" s="1118" customFormat="1" ht="15.75" customHeight="1"/>
    <row r="684" s="1118" customFormat="1" ht="15.75" customHeight="1"/>
    <row r="685" s="1118" customFormat="1" ht="15.75" customHeight="1"/>
    <row r="686" s="1118" customFormat="1" ht="15.75" customHeight="1"/>
    <row r="687" s="1118" customFormat="1" ht="15.75" customHeight="1"/>
    <row r="688" s="1118" customFormat="1" ht="15.75" customHeight="1"/>
    <row r="689" s="1118" customFormat="1" ht="15.75" customHeight="1"/>
    <row r="690" s="1118" customFormat="1" ht="15.75" customHeight="1"/>
    <row r="691" s="1118" customFormat="1" ht="15.75" customHeight="1"/>
    <row r="692" s="1118" customFormat="1" ht="15.75" customHeight="1"/>
    <row r="693" s="1118" customFormat="1" ht="15.75" customHeight="1"/>
    <row r="694" s="1118" customFormat="1" ht="15.75" customHeight="1"/>
    <row r="695" s="1118" customFormat="1" ht="15.75" customHeight="1"/>
    <row r="696" s="1118" customFormat="1" ht="15.75" customHeight="1"/>
    <row r="697" s="1118" customFormat="1" ht="15.75" customHeight="1"/>
    <row r="698" s="1118" customFormat="1" ht="15.75" customHeight="1"/>
    <row r="699" s="1118" customFormat="1" ht="15.75" customHeight="1"/>
    <row r="700" s="1118" customFormat="1" ht="15.75" customHeight="1"/>
    <row r="701" s="1118" customFormat="1" ht="15.75" customHeight="1"/>
    <row r="702" s="1118" customFormat="1" ht="15.75" customHeight="1"/>
    <row r="703" s="1118" customFormat="1" ht="15.75" customHeight="1"/>
    <row r="704" s="1118" customFormat="1" ht="15.75" customHeight="1"/>
    <row r="705" s="1118" customFormat="1" ht="15.75" customHeight="1"/>
    <row r="706" s="1118" customFormat="1" ht="15.75" customHeight="1"/>
    <row r="707" s="1118" customFormat="1" ht="15.75" customHeight="1"/>
    <row r="708" s="1118" customFormat="1" ht="15.75" customHeight="1"/>
    <row r="709" s="1118" customFormat="1" ht="15.75" customHeight="1"/>
    <row r="710" s="1118" customFormat="1" ht="15.75" customHeight="1"/>
    <row r="711" s="1118" customFormat="1" ht="15.75" customHeight="1"/>
    <row r="712" s="1118" customFormat="1" ht="15.75" customHeight="1"/>
    <row r="713" s="1118" customFormat="1" ht="15.75" customHeight="1"/>
    <row r="714" s="1118" customFormat="1" ht="15.75" customHeight="1"/>
    <row r="715" s="1118" customFormat="1" ht="15.75" customHeight="1"/>
    <row r="716" s="1118" customFormat="1" ht="15.75" customHeight="1"/>
    <row r="717" s="1118" customFormat="1" ht="15.75" customHeight="1"/>
    <row r="718" s="1118" customFormat="1" ht="15.75" customHeight="1"/>
    <row r="719" s="1118" customFormat="1" ht="15.75" customHeight="1"/>
    <row r="720" s="1118" customFormat="1" ht="15.75" customHeight="1"/>
    <row r="721" s="1118" customFormat="1" ht="15.75" customHeight="1"/>
    <row r="722" s="1118" customFormat="1" ht="15.75" customHeight="1"/>
    <row r="723" s="1118" customFormat="1" ht="15.75" customHeight="1"/>
    <row r="724" s="1118" customFormat="1" ht="15.75" customHeight="1"/>
    <row r="725" s="1118" customFormat="1" ht="15.75" customHeight="1"/>
    <row r="726" s="1118" customFormat="1" ht="15.75" customHeight="1"/>
    <row r="727" s="1118" customFormat="1" ht="15.75" customHeight="1"/>
    <row r="728" s="1118" customFormat="1" ht="15.75" customHeight="1"/>
    <row r="729" s="1118" customFormat="1" ht="15.75" customHeight="1"/>
    <row r="730" s="1118" customFormat="1" ht="15.75" customHeight="1"/>
    <row r="731" s="1118" customFormat="1" ht="15.75" customHeight="1"/>
    <row r="732" s="1118" customFormat="1" ht="15.75" customHeight="1"/>
    <row r="733" s="1118" customFormat="1" ht="15.75" customHeight="1"/>
    <row r="734" s="1118" customFormat="1" ht="15.75" customHeight="1"/>
    <row r="735" s="1118" customFormat="1" ht="15.75" customHeight="1"/>
    <row r="736" s="1118" customFormat="1" ht="15.75" customHeight="1"/>
    <row r="737" s="1118" customFormat="1" ht="15.75" customHeight="1"/>
    <row r="738" s="1118" customFormat="1" ht="15.75" customHeight="1"/>
    <row r="739" s="1118" customFormat="1" ht="15.75" customHeight="1"/>
    <row r="740" s="1118" customFormat="1" ht="15.75" customHeight="1"/>
    <row r="741" s="1118" customFormat="1" ht="15.75" customHeight="1"/>
    <row r="742" s="1118" customFormat="1" ht="15.75" customHeight="1"/>
    <row r="743" s="1118" customFormat="1" ht="15.75" customHeight="1"/>
    <row r="744" s="1118" customFormat="1" ht="15.75" customHeight="1"/>
    <row r="745" s="1118" customFormat="1" ht="15.75" customHeight="1"/>
    <row r="746" s="1118" customFormat="1" ht="15.75" customHeight="1"/>
    <row r="747" s="1118" customFormat="1" ht="15.75" customHeight="1"/>
    <row r="748" s="1118" customFormat="1" ht="15.75" customHeight="1"/>
    <row r="749" s="1118" customFormat="1" ht="15.75" customHeight="1"/>
    <row r="750" s="1118" customFormat="1" ht="15.75" customHeight="1"/>
    <row r="751" s="1118" customFormat="1" ht="15.75" customHeight="1"/>
    <row r="752" s="1118" customFormat="1" ht="15.75" customHeight="1"/>
    <row r="753" s="1118" customFormat="1" ht="15.75" customHeight="1"/>
    <row r="754" s="1118" customFormat="1" ht="15.75" customHeight="1"/>
    <row r="755" s="1118" customFormat="1" ht="15.75" customHeight="1"/>
    <row r="756" s="1118" customFormat="1" ht="15.75" customHeight="1"/>
    <row r="757" s="1118" customFormat="1" ht="15.75" customHeight="1"/>
    <row r="758" s="1118" customFormat="1" ht="15.75" customHeight="1"/>
    <row r="759" s="1118" customFormat="1" ht="15.75" customHeight="1"/>
    <row r="760" s="1118" customFormat="1" ht="15.75" customHeight="1"/>
    <row r="761" s="1118" customFormat="1" ht="15.75" customHeight="1"/>
    <row r="762" s="1118" customFormat="1" ht="15.75" customHeight="1"/>
    <row r="763" s="1118" customFormat="1" ht="15.75" customHeight="1"/>
    <row r="764" s="1118" customFormat="1" ht="15.75" customHeight="1"/>
    <row r="765" s="1118" customFormat="1" ht="15.75" customHeight="1"/>
    <row r="766" s="1118" customFormat="1" ht="15.75" customHeight="1"/>
    <row r="767" s="1118" customFormat="1" ht="15.75" customHeight="1"/>
    <row r="768" s="1118" customFormat="1" ht="15.75" customHeight="1"/>
    <row r="769" s="1118" customFormat="1" ht="15.75" customHeight="1"/>
    <row r="770" s="1118" customFormat="1" ht="15.75" customHeight="1"/>
    <row r="771" s="1118" customFormat="1" ht="15.75" customHeight="1"/>
    <row r="772" s="1118" customFormat="1" ht="15.75" customHeight="1"/>
    <row r="773" s="1118" customFormat="1" ht="15.75" customHeight="1"/>
    <row r="774" s="1118" customFormat="1" ht="15.75" customHeight="1"/>
    <row r="775" s="1118" customFormat="1" ht="15.75" customHeight="1"/>
    <row r="776" s="1118" customFormat="1" ht="15.75" customHeight="1"/>
    <row r="777" s="1118" customFormat="1" ht="15.75" customHeight="1"/>
    <row r="778" s="1118" customFormat="1" ht="15.75" customHeight="1"/>
    <row r="779" s="1118" customFormat="1" ht="15.75" customHeight="1"/>
    <row r="780" s="1118" customFormat="1" ht="15.75" customHeight="1"/>
    <row r="781" s="1118" customFormat="1" ht="15.75" customHeight="1"/>
    <row r="782" s="1118" customFormat="1" ht="15.75" customHeight="1"/>
    <row r="783" s="1118" customFormat="1" ht="15.75" customHeight="1"/>
    <row r="784" s="1118" customFormat="1" ht="15.75" customHeight="1"/>
    <row r="785" s="1118" customFormat="1" ht="15.75" customHeight="1"/>
    <row r="786" s="1118" customFormat="1" ht="15.75" customHeight="1"/>
    <row r="787" s="1118" customFormat="1" ht="15.75" customHeight="1"/>
    <row r="788" s="1118" customFormat="1" ht="15.75" customHeight="1"/>
    <row r="789" s="1118" customFormat="1" ht="15.75" customHeight="1"/>
    <row r="790" s="1118" customFormat="1" ht="15.75" customHeight="1"/>
    <row r="791" s="1118" customFormat="1" ht="15.75" customHeight="1"/>
    <row r="792" s="1118" customFormat="1" ht="15.75" customHeight="1"/>
    <row r="793" s="1118" customFormat="1" ht="15.75" customHeight="1"/>
    <row r="794" s="1118" customFormat="1" ht="15.75" customHeight="1"/>
    <row r="795" s="1118" customFormat="1" ht="15.75" customHeight="1"/>
    <row r="796" s="1118" customFormat="1" ht="15.75" customHeight="1"/>
    <row r="797" s="1118" customFormat="1" ht="15.75" customHeight="1"/>
    <row r="798" s="1118" customFormat="1" ht="15.75" customHeight="1"/>
    <row r="799" s="1118" customFormat="1" ht="15.75" customHeight="1"/>
    <row r="800" s="1118" customFormat="1" ht="15.75" customHeight="1"/>
    <row r="801" s="1118" customFormat="1" ht="15.75" customHeight="1"/>
    <row r="802" s="1118" customFormat="1" ht="15.75" customHeight="1"/>
    <row r="803" s="1118" customFormat="1" ht="15.75" customHeight="1"/>
    <row r="804" s="1118" customFormat="1" ht="15.75" customHeight="1"/>
    <row r="805" s="1118" customFormat="1" ht="15.75" customHeight="1"/>
    <row r="806" s="1118" customFormat="1" ht="15.75" customHeight="1"/>
    <row r="807" s="1118" customFormat="1" ht="15.75" customHeight="1"/>
    <row r="808" s="1118" customFormat="1" ht="15.75" customHeight="1"/>
    <row r="809" s="1118" customFormat="1" ht="15.75" customHeight="1"/>
    <row r="810" s="1118" customFormat="1" ht="15.75" customHeight="1"/>
    <row r="811" s="1118" customFormat="1" ht="15.75" customHeight="1"/>
    <row r="812" s="1118" customFormat="1" ht="15.75" customHeight="1"/>
    <row r="813" s="1118" customFormat="1" ht="15.75" customHeight="1"/>
    <row r="814" s="1118" customFormat="1" ht="15.75" customHeight="1"/>
    <row r="815" s="1118" customFormat="1" ht="15.75" customHeight="1"/>
    <row r="816" s="1118" customFormat="1" ht="15.75" customHeight="1"/>
    <row r="817" s="1118" customFormat="1" ht="15.75" customHeight="1"/>
    <row r="818" s="1118" customFormat="1" ht="15.75" customHeight="1"/>
    <row r="819" s="1118" customFormat="1" ht="15.75" customHeight="1"/>
    <row r="820" s="1118" customFormat="1" ht="15.75" customHeight="1"/>
    <row r="821" s="1118" customFormat="1" ht="15.75" customHeight="1"/>
    <row r="822" s="1118" customFormat="1" ht="15.75" customHeight="1"/>
    <row r="823" s="1118" customFormat="1" ht="15.75" customHeight="1"/>
    <row r="824" s="1118" customFormat="1" ht="15.75" customHeight="1"/>
    <row r="825" s="1118" customFormat="1" ht="15.75" customHeight="1"/>
    <row r="826" s="1118" customFormat="1" ht="15.75" customHeight="1"/>
    <row r="827" s="1118" customFormat="1" ht="15.75" customHeight="1"/>
    <row r="828" s="1118" customFormat="1" ht="15.75" customHeight="1"/>
    <row r="829" s="1118" customFormat="1" ht="15.75" customHeight="1"/>
    <row r="830" s="1118" customFormat="1" ht="15.75" customHeight="1"/>
    <row r="831" s="1118" customFormat="1" ht="15.75" customHeight="1"/>
    <row r="832" s="1118" customFormat="1" ht="15.75" customHeight="1"/>
    <row r="833" s="1118" customFormat="1" ht="15.75" customHeight="1"/>
    <row r="834" s="1118" customFormat="1" ht="15.75" customHeight="1"/>
    <row r="835" s="1118" customFormat="1" ht="15.75" customHeight="1"/>
    <row r="836" s="1118" customFormat="1" ht="15.75" customHeight="1"/>
    <row r="837" s="1118" customFormat="1" ht="15.75" customHeight="1"/>
    <row r="838" s="1118" customFormat="1" ht="15.75" customHeight="1"/>
    <row r="839" s="1118" customFormat="1" ht="15.75" customHeight="1"/>
    <row r="840" s="1118" customFormat="1" ht="15.75" customHeight="1"/>
    <row r="841" s="1118" customFormat="1" ht="15.75" customHeight="1"/>
    <row r="842" s="1118" customFormat="1" ht="15.75" customHeight="1"/>
    <row r="843" s="1118" customFormat="1" ht="15.75" customHeight="1"/>
    <row r="844" s="1118" customFormat="1" ht="15.75" customHeight="1"/>
    <row r="845" s="1118" customFormat="1" ht="15.75" customHeight="1"/>
    <row r="846" s="1118" customFormat="1" ht="15.75" customHeight="1"/>
    <row r="847" s="1118" customFormat="1" ht="15.75" customHeight="1"/>
    <row r="848" s="1118" customFormat="1" ht="15.75" customHeight="1"/>
    <row r="849" s="1118" customFormat="1" ht="15.75" customHeight="1"/>
    <row r="850" s="1118" customFormat="1" ht="15.75" customHeight="1"/>
    <row r="851" s="1118" customFormat="1" ht="15.75" customHeight="1"/>
    <row r="852" s="1118" customFormat="1" ht="15.75" customHeight="1"/>
    <row r="853" s="1118" customFormat="1" ht="15.75" customHeight="1"/>
    <row r="854" s="1118" customFormat="1" ht="15.75" customHeight="1"/>
    <row r="855" s="1118" customFormat="1" ht="15.75" customHeight="1"/>
    <row r="856" s="1118" customFormat="1" ht="15.75" customHeight="1"/>
    <row r="857" s="1118" customFormat="1" ht="15.75" customHeight="1"/>
    <row r="858" s="1118" customFormat="1" ht="15.75" customHeight="1"/>
    <row r="859" s="1118" customFormat="1" ht="15.75" customHeight="1"/>
    <row r="860" s="1118" customFormat="1" ht="15.75" customHeight="1"/>
    <row r="861" s="1118" customFormat="1" ht="15.75" customHeight="1"/>
    <row r="862" s="1118" customFormat="1" ht="15.75" customHeight="1"/>
    <row r="863" s="1118" customFormat="1" ht="15.75" customHeight="1"/>
    <row r="864" s="1118" customFormat="1" ht="15.75" customHeight="1"/>
    <row r="865" s="1118" customFormat="1" ht="15.75" customHeight="1"/>
    <row r="866" s="1118" customFormat="1" ht="15.75" customHeight="1"/>
    <row r="867" s="1118" customFormat="1" ht="15.75" customHeight="1"/>
    <row r="868" s="1118" customFormat="1" ht="15.75" customHeight="1"/>
    <row r="869" s="1118" customFormat="1" ht="15.75" customHeight="1"/>
    <row r="870" s="1118" customFormat="1" ht="15.75" customHeight="1"/>
    <row r="871" s="1118" customFormat="1" ht="15.75" customHeight="1"/>
    <row r="872" s="1118" customFormat="1" ht="15.75" customHeight="1"/>
    <row r="873" s="1118" customFormat="1" ht="15.75" customHeight="1"/>
    <row r="874" s="1118" customFormat="1" ht="15.75" customHeight="1"/>
    <row r="875" s="1118" customFormat="1" ht="15.75" customHeight="1"/>
    <row r="876" s="1118" customFormat="1" ht="15.75" customHeight="1"/>
    <row r="877" s="1118" customFormat="1" ht="15.75" customHeight="1"/>
    <row r="878" s="1118" customFormat="1" ht="15.75" customHeight="1"/>
    <row r="879" s="1118" customFormat="1" ht="15.75" customHeight="1"/>
    <row r="880" s="1118" customFormat="1" ht="15.75" customHeight="1"/>
    <row r="881" s="1118" customFormat="1" ht="15.75" customHeight="1"/>
    <row r="882" s="1118" customFormat="1" ht="15.75" customHeight="1"/>
    <row r="883" s="1118" customFormat="1" ht="15.75" customHeight="1"/>
    <row r="884" s="1118" customFormat="1" ht="15.75" customHeight="1"/>
    <row r="885" s="1118" customFormat="1" ht="15.75" customHeight="1"/>
    <row r="886" s="1118" customFormat="1" ht="15.75" customHeight="1"/>
    <row r="887" s="1118" customFormat="1" ht="15.75" customHeight="1"/>
    <row r="888" s="1118" customFormat="1" ht="15.75" customHeight="1"/>
    <row r="889" s="1118" customFormat="1" ht="15.75" customHeight="1"/>
    <row r="890" s="1118" customFormat="1" ht="15.75" customHeight="1"/>
    <row r="891" s="1118" customFormat="1" ht="15.75" customHeight="1"/>
    <row r="892" s="1118" customFormat="1" ht="15.75" customHeight="1"/>
    <row r="893" s="1118" customFormat="1" ht="15.75" customHeight="1"/>
    <row r="894" s="1118" customFormat="1" ht="15.75" customHeight="1"/>
    <row r="895" s="1118" customFormat="1" ht="15.75" customHeight="1"/>
    <row r="896" s="1118" customFormat="1" ht="15.75" customHeight="1"/>
    <row r="897" s="1118" customFormat="1" ht="15.75" customHeight="1"/>
    <row r="898" s="1118" customFormat="1" ht="15.75" customHeight="1"/>
    <row r="899" s="1118" customFormat="1" ht="15.75" customHeight="1"/>
    <row r="900" s="1118" customFormat="1" ht="15.75" customHeight="1"/>
    <row r="901" s="1118" customFormat="1" ht="15.75" customHeight="1"/>
    <row r="902" s="1118" customFormat="1" ht="15.75" customHeight="1"/>
    <row r="903" s="1118" customFormat="1" ht="15.75" customHeight="1"/>
    <row r="904" s="1118" customFormat="1" ht="15.75" customHeight="1"/>
    <row r="905" s="1118" customFormat="1" ht="15.75" customHeight="1"/>
    <row r="906" s="1118" customFormat="1" ht="15.75" customHeight="1"/>
    <row r="907" s="1118" customFormat="1" ht="15.75" customHeight="1"/>
    <row r="908" s="1118" customFormat="1" ht="15.75" customHeight="1"/>
    <row r="909" s="1118" customFormat="1" ht="15.75" customHeight="1"/>
    <row r="910" s="1118" customFormat="1" ht="15.75" customHeight="1"/>
    <row r="911" s="1118" customFormat="1" ht="15.75" customHeight="1"/>
    <row r="912" s="1118" customFormat="1" ht="15.75" customHeight="1"/>
    <row r="913" s="1118" customFormat="1" ht="15.75" customHeight="1"/>
    <row r="914" s="1118" customFormat="1" ht="15.75" customHeight="1"/>
    <row r="915" s="1118" customFormat="1" ht="15.75" customHeight="1"/>
    <row r="916" s="1118" customFormat="1" ht="15.75" customHeight="1"/>
    <row r="917" s="1118" customFormat="1" ht="15.75" customHeight="1"/>
    <row r="918" s="1118" customFormat="1" ht="15.75" customHeight="1"/>
    <row r="919" s="1118" customFormat="1" ht="15.75" customHeight="1"/>
    <row r="920" s="1118" customFormat="1" ht="15.75" customHeight="1"/>
    <row r="921" s="1118" customFormat="1" ht="15.75" customHeight="1"/>
    <row r="922" s="1118" customFormat="1" ht="15.75" customHeight="1"/>
    <row r="923" s="1118" customFormat="1" ht="15.75" customHeight="1"/>
    <row r="924" s="1118" customFormat="1" ht="15.75" customHeight="1"/>
    <row r="925" s="1118" customFormat="1" ht="15.75" customHeight="1"/>
    <row r="926" s="1118" customFormat="1" ht="15.75" customHeight="1"/>
    <row r="927" s="1118" customFormat="1" ht="15.75" customHeight="1"/>
    <row r="928" s="1118" customFormat="1" ht="15.75" customHeight="1"/>
    <row r="929" s="1118" customFormat="1" ht="15.75" customHeight="1"/>
    <row r="930" s="1118" customFormat="1" ht="15.75" customHeight="1"/>
    <row r="931" s="1118" customFormat="1" ht="15.75" customHeight="1"/>
    <row r="932" s="1118" customFormat="1" ht="15.75" customHeight="1"/>
    <row r="933" s="1118" customFormat="1" ht="15.75" customHeight="1"/>
    <row r="934" s="1118" customFormat="1" ht="15.75" customHeight="1"/>
    <row r="935" s="1118" customFormat="1" ht="15.75" customHeight="1"/>
    <row r="936" s="1118" customFormat="1" ht="15.75" customHeight="1"/>
    <row r="937" s="1118" customFormat="1" ht="15.75" customHeight="1"/>
    <row r="938" s="1118" customFormat="1" ht="15.75" customHeight="1"/>
    <row r="939" s="1118" customFormat="1" ht="15.75" customHeight="1"/>
    <row r="940" s="1118" customFormat="1" ht="15.75" customHeight="1"/>
    <row r="941" s="1118" customFormat="1" ht="15.75" customHeight="1"/>
    <row r="942" s="1118" customFormat="1" ht="15.75" customHeight="1"/>
    <row r="943" s="1118" customFormat="1" ht="15.75" customHeight="1"/>
    <row r="944" s="1118" customFormat="1" ht="15.75" customHeight="1"/>
    <row r="945" s="1118" customFormat="1" ht="15.75" customHeight="1"/>
    <row r="946" s="1118" customFormat="1" ht="15.75" customHeight="1"/>
    <row r="947" s="1118" customFormat="1" ht="15.75" customHeight="1"/>
    <row r="948" s="1118" customFormat="1" ht="15.75" customHeight="1"/>
    <row r="949" s="1118" customFormat="1" ht="15.75" customHeight="1"/>
    <row r="950" s="1118" customFormat="1" ht="15.75" customHeight="1"/>
    <row r="951" s="1118" customFormat="1" ht="15.75" customHeight="1"/>
    <row r="952" s="1118" customFormat="1" ht="15.75" customHeight="1"/>
    <row r="953" s="1118" customFormat="1" ht="15.75" customHeight="1"/>
    <row r="954" s="1118" customFormat="1" ht="15.75" customHeight="1"/>
    <row r="955" s="1118" customFormat="1" ht="15.75" customHeight="1"/>
    <row r="956" s="1118" customFormat="1" ht="15.75" customHeight="1"/>
    <row r="957" s="1118" customFormat="1" ht="15.75" customHeight="1"/>
    <row r="958" s="1118" customFormat="1" ht="15.75" customHeight="1"/>
    <row r="959" s="1118" customFormat="1" ht="15.75" customHeight="1"/>
    <row r="960" s="1118" customFormat="1" ht="15.75" customHeight="1"/>
    <row r="961" s="1118" customFormat="1" ht="15.75" customHeight="1"/>
    <row r="962" s="1118" customFormat="1" ht="15.75" customHeight="1"/>
    <row r="963" s="1118" customFormat="1" ht="15.75" customHeight="1"/>
    <row r="964" s="1118" customFormat="1" ht="15.75" customHeight="1"/>
    <row r="965" s="1118" customFormat="1" ht="15.75" customHeight="1"/>
    <row r="966" s="1118" customFormat="1" ht="15.75" customHeight="1"/>
    <row r="967" s="1118" customFormat="1" ht="15.75" customHeight="1"/>
    <row r="968" s="1118" customFormat="1" ht="15.75" customHeight="1"/>
    <row r="969" s="1118" customFormat="1" ht="15.75" customHeight="1"/>
    <row r="970" s="1118" customFormat="1" ht="15.75" customHeight="1"/>
    <row r="971" s="1118" customFormat="1" ht="15.75" customHeight="1"/>
    <row r="972" s="1118" customFormat="1" ht="15.75" customHeight="1"/>
    <row r="973" s="1118" customFormat="1" ht="15.75" customHeight="1"/>
    <row r="974" s="1118" customFormat="1" ht="15.75" customHeight="1"/>
    <row r="975" s="1118" customFormat="1" ht="15.75" customHeight="1"/>
    <row r="976" s="1118" customFormat="1" ht="15.75" customHeight="1"/>
    <row r="977" s="1118" customFormat="1" ht="15.75" customHeight="1"/>
    <row r="978" s="1118" customFormat="1" ht="15.75" customHeight="1"/>
    <row r="979" s="1118" customFormat="1" ht="15.75" customHeight="1"/>
    <row r="980" s="1118" customFormat="1" ht="15.75" customHeight="1"/>
    <row r="981" s="1118" customFormat="1" ht="15.75" customHeight="1"/>
    <row r="982" s="1118" customFormat="1" ht="15.75" customHeight="1"/>
    <row r="983" s="1118" customFormat="1" ht="15.75" customHeight="1"/>
    <row r="984" s="1118" customFormat="1" ht="15.75" customHeight="1"/>
    <row r="985" s="1118" customFormat="1" ht="15.75" customHeight="1"/>
    <row r="986" s="1118" customFormat="1" ht="15.75" customHeight="1"/>
    <row r="987" s="1118" customFormat="1" ht="15.75" customHeight="1"/>
    <row r="988" s="1118" customFormat="1" ht="15.75" customHeight="1"/>
    <row r="989" s="1118" customFormat="1" ht="15.75" customHeight="1"/>
    <row r="990" s="1118" customFormat="1" ht="15.75" customHeight="1"/>
    <row r="991" s="1118" customFormat="1" ht="15.75" customHeight="1"/>
    <row r="992" s="1118" customFormat="1" ht="15.75" customHeight="1"/>
    <row r="993" s="1118" customFormat="1" ht="15.75" customHeight="1"/>
    <row r="994" s="1118" customFormat="1" ht="15.75" customHeight="1"/>
    <row r="995" s="1118" customFormat="1" ht="15.75" customHeight="1"/>
    <row r="996" s="1118" customFormat="1" ht="15.75" customHeight="1"/>
    <row r="997" s="1118" customFormat="1" ht="15.75" customHeight="1"/>
    <row r="998" s="1118" customFormat="1" ht="15.75" customHeight="1"/>
    <row r="999" s="1118" customFormat="1" ht="15.75" customHeight="1"/>
    <row r="1000" s="1118" customFormat="1" ht="15.75" customHeight="1"/>
  </sheetData>
  <pageMargins left="0.75" right="0.75" top="1" bottom="1" header="0" footer="0"/>
  <pageSetup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Z1000"/>
  <sheetViews>
    <sheetView workbookViewId="0"/>
  </sheetViews>
  <sheetFormatPr defaultColWidth="12.5703125" defaultRowHeight="15" customHeight="1"/>
  <cols>
    <col min="1" max="1" width="3.42578125" customWidth="1"/>
    <col min="2" max="2" width="30.7109375" customWidth="1"/>
    <col min="3" max="4" width="10.7109375" customWidth="1"/>
    <col min="5" max="5" width="5.5703125" customWidth="1"/>
    <col min="6" max="8" width="10.7109375" customWidth="1"/>
    <col min="9" max="9" width="6" customWidth="1"/>
    <col min="10" max="10" width="10.7109375" customWidth="1"/>
    <col min="11" max="12" width="11" customWidth="1"/>
    <col min="13" max="16" width="10.7109375" customWidth="1"/>
    <col min="17" max="17" width="12.42578125" customWidth="1"/>
    <col min="18" max="26" width="10.7109375" customWidth="1"/>
  </cols>
  <sheetData>
    <row r="1" spans="1:26" ht="13.5" customHeight="1">
      <c r="D1" s="4" t="s">
        <v>628</v>
      </c>
      <c r="E1" s="14"/>
      <c r="F1" s="1187" t="s">
        <v>629</v>
      </c>
      <c r="G1" s="1186"/>
      <c r="H1" s="1186"/>
      <c r="I1" s="14"/>
      <c r="J1" s="1187" t="s">
        <v>17</v>
      </c>
      <c r="K1" s="1186"/>
      <c r="L1" s="1186"/>
    </row>
    <row r="2" spans="1:26" ht="13.5" customHeight="1">
      <c r="D2" s="4" t="s">
        <v>234</v>
      </c>
      <c r="E2" s="4"/>
      <c r="F2" s="4" t="s">
        <v>1</v>
      </c>
      <c r="G2" s="4" t="s">
        <v>2</v>
      </c>
      <c r="H2" s="4" t="s">
        <v>3</v>
      </c>
      <c r="I2" s="4"/>
      <c r="J2" s="4" t="s">
        <v>1</v>
      </c>
      <c r="K2" s="4" t="s">
        <v>2</v>
      </c>
      <c r="L2" s="4" t="s">
        <v>3</v>
      </c>
    </row>
    <row r="3" spans="1:26" ht="13.5" customHeight="1">
      <c r="F3" s="239"/>
      <c r="G3" s="239"/>
      <c r="H3" s="239"/>
      <c r="J3" s="239"/>
      <c r="K3" s="239"/>
      <c r="L3" s="239"/>
    </row>
    <row r="4" spans="1:26" ht="13.5" customHeight="1">
      <c r="A4" s="65"/>
      <c r="B4" s="65" t="s">
        <v>630</v>
      </c>
      <c r="C4" s="65"/>
      <c r="D4" s="65"/>
      <c r="E4" s="65"/>
      <c r="F4" s="150"/>
      <c r="G4" s="150"/>
      <c r="H4" s="150"/>
      <c r="I4" s="65"/>
      <c r="J4" s="150"/>
      <c r="K4" s="150"/>
      <c r="L4" s="150"/>
      <c r="M4" s="150"/>
    </row>
    <row r="5" spans="1:26" ht="13.5" customHeight="1">
      <c r="B5" s="2" t="s">
        <v>118</v>
      </c>
      <c r="D5" s="240" t="e">
        <f>+'Main support'!#REF!</f>
        <v>#REF!</v>
      </c>
      <c r="E5" s="102"/>
      <c r="F5" s="241"/>
      <c r="G5" s="241"/>
      <c r="H5" s="241"/>
      <c r="J5" s="239"/>
      <c r="K5" s="239"/>
      <c r="L5" s="239"/>
    </row>
    <row r="6" spans="1:26" ht="13.5" customHeight="1">
      <c r="B6" s="2" t="s">
        <v>119</v>
      </c>
      <c r="D6" s="240" t="e">
        <f>+'Main support'!#REF!</f>
        <v>#REF!</v>
      </c>
      <c r="E6" s="102"/>
      <c r="F6" s="239"/>
      <c r="G6" s="239"/>
      <c r="H6" s="239"/>
      <c r="J6" s="239"/>
      <c r="K6" s="239"/>
      <c r="L6" s="239"/>
    </row>
    <row r="7" spans="1:26" ht="13.5" customHeight="1">
      <c r="A7" s="15"/>
      <c r="B7" s="15" t="s">
        <v>631</v>
      </c>
      <c r="C7" s="15"/>
      <c r="D7" s="242" t="e">
        <f>SUM(D5:D6)</f>
        <v>#REF!</v>
      </c>
      <c r="E7" s="107"/>
      <c r="F7" s="243">
        <f>+Comps!$U$17</f>
        <v>0.76326429085722358</v>
      </c>
      <c r="G7" s="243">
        <f>+Comps!$U$15</f>
        <v>1.5657079285665256</v>
      </c>
      <c r="H7" s="243">
        <f>+Comps!$U$18</f>
        <v>2.6617860499255266</v>
      </c>
      <c r="I7" s="15"/>
      <c r="J7" s="16" t="e">
        <f t="shared" ref="J7:L7" si="0">+F7*$D$7</f>
        <v>#REF!</v>
      </c>
      <c r="K7" s="16" t="e">
        <f t="shared" si="0"/>
        <v>#REF!</v>
      </c>
      <c r="L7" s="16" t="e">
        <f t="shared" si="0"/>
        <v>#REF!</v>
      </c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3.5" customHeight="1">
      <c r="D8" s="17"/>
      <c r="F8" s="244"/>
      <c r="G8" s="244"/>
      <c r="H8" s="244"/>
      <c r="J8" s="17"/>
      <c r="K8" s="17"/>
      <c r="L8" s="17"/>
    </row>
    <row r="9" spans="1:26" ht="13.5" customHeight="1">
      <c r="B9" s="65" t="s">
        <v>632</v>
      </c>
      <c r="C9" s="65"/>
      <c r="D9" s="245"/>
      <c r="E9" s="65"/>
      <c r="F9" s="246"/>
      <c r="G9" s="246"/>
      <c r="H9" s="246"/>
      <c r="I9" s="65"/>
      <c r="J9" s="245"/>
      <c r="K9" s="245"/>
      <c r="L9" s="245"/>
    </row>
    <row r="10" spans="1:26" ht="13.5" customHeight="1">
      <c r="B10" s="2" t="s">
        <v>120</v>
      </c>
      <c r="D10" s="240" t="e">
        <f>+'Main support'!#REF!</f>
        <v>#REF!</v>
      </c>
      <c r="F10" s="244"/>
      <c r="G10" s="244"/>
      <c r="H10" s="244"/>
      <c r="J10" s="17"/>
      <c r="K10" s="17"/>
      <c r="L10" s="17"/>
    </row>
    <row r="11" spans="1:26" ht="13.5" customHeight="1">
      <c r="A11" s="15"/>
      <c r="B11" s="15" t="s">
        <v>633</v>
      </c>
      <c r="C11" s="15"/>
      <c r="D11" s="242" t="e">
        <f>SUM(D10)</f>
        <v>#REF!</v>
      </c>
      <c r="E11" s="15"/>
      <c r="F11" s="243">
        <f>+Comps!$U$26</f>
        <v>4.1567456161423113</v>
      </c>
      <c r="G11" s="243">
        <f>+Comps!$U$24</f>
        <v>7.913264267383286</v>
      </c>
      <c r="H11" s="243">
        <f>+Comps!$U$27</f>
        <v>13.71726054595795</v>
      </c>
      <c r="I11" s="15"/>
      <c r="J11" s="16" t="e">
        <f t="shared" ref="J11:L11" si="1">+F11*$D$11</f>
        <v>#REF!</v>
      </c>
      <c r="K11" s="16" t="e">
        <f t="shared" si="1"/>
        <v>#REF!</v>
      </c>
      <c r="L11" s="16" t="e">
        <f t="shared" si="1"/>
        <v>#REF!</v>
      </c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3.5" customHeight="1">
      <c r="D12" s="17"/>
      <c r="F12" s="244"/>
      <c r="G12" s="244"/>
      <c r="H12" s="244"/>
      <c r="J12" s="17"/>
      <c r="K12" s="17"/>
      <c r="L12" s="17"/>
    </row>
    <row r="13" spans="1:26" ht="13.5" customHeight="1">
      <c r="B13" s="65" t="s">
        <v>634</v>
      </c>
      <c r="C13" s="65"/>
      <c r="D13" s="245"/>
      <c r="E13" s="65"/>
      <c r="F13" s="246"/>
      <c r="G13" s="246"/>
      <c r="H13" s="246"/>
      <c r="I13" s="65"/>
      <c r="J13" s="245"/>
      <c r="K13" s="245"/>
      <c r="L13" s="245"/>
    </row>
    <row r="14" spans="1:26" ht="13.5" customHeight="1">
      <c r="B14" s="2" t="s">
        <v>30</v>
      </c>
      <c r="D14" s="240" t="e">
        <f>+'Main support'!#REF!</f>
        <v>#REF!</v>
      </c>
      <c r="F14" s="244"/>
      <c r="G14" s="244"/>
      <c r="H14" s="244"/>
      <c r="J14" s="17"/>
      <c r="K14" s="17"/>
      <c r="L14" s="17"/>
    </row>
    <row r="15" spans="1:26" ht="13.5" customHeight="1">
      <c r="A15" s="15"/>
      <c r="B15" s="15" t="s">
        <v>635</v>
      </c>
      <c r="C15" s="15"/>
      <c r="D15" s="242" t="e">
        <f>SUM(D14)</f>
        <v>#REF!</v>
      </c>
      <c r="E15" s="15"/>
      <c r="F15" s="243">
        <f>+Comps!U35</f>
        <v>6.2847710010592825</v>
      </c>
      <c r="G15" s="243">
        <f>+Comps!$U$33</f>
        <v>8.8375400622801763</v>
      </c>
      <c r="H15" s="243">
        <f>+Comps!U36</f>
        <v>12.322375194948316</v>
      </c>
      <c r="I15" s="15"/>
      <c r="J15" s="16" t="e">
        <f t="shared" ref="J15:L15" si="2">+F15*$D$15</f>
        <v>#REF!</v>
      </c>
      <c r="K15" s="16" t="e">
        <f t="shared" si="2"/>
        <v>#REF!</v>
      </c>
      <c r="L15" s="16" t="e">
        <f t="shared" si="2"/>
        <v>#REF!</v>
      </c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3.5" customHeight="1">
      <c r="D16" s="17"/>
      <c r="F16" s="244"/>
      <c r="G16" s="244"/>
      <c r="H16" s="244"/>
      <c r="J16" s="17"/>
      <c r="K16" s="17"/>
      <c r="L16" s="17"/>
    </row>
    <row r="17" spans="1:26" ht="13.5" customHeight="1">
      <c r="B17" s="65" t="s">
        <v>636</v>
      </c>
      <c r="C17" s="65"/>
      <c r="D17" s="245"/>
      <c r="E17" s="65"/>
      <c r="F17" s="246"/>
      <c r="G17" s="246"/>
      <c r="H17" s="246"/>
      <c r="I17" s="65"/>
      <c r="J17" s="245"/>
      <c r="K17" s="245"/>
      <c r="L17" s="245"/>
    </row>
    <row r="18" spans="1:26" ht="13.5" customHeight="1">
      <c r="B18" s="2" t="s">
        <v>121</v>
      </c>
      <c r="D18" s="240" t="e">
        <f>+'Main support'!#REF!</f>
        <v>#REF!</v>
      </c>
      <c r="F18" s="244"/>
      <c r="G18" s="244"/>
      <c r="H18" s="244"/>
      <c r="J18" s="17"/>
      <c r="K18" s="17"/>
      <c r="L18" s="17"/>
    </row>
    <row r="19" spans="1:26" ht="13.5" customHeight="1">
      <c r="A19" s="15"/>
      <c r="B19" s="15" t="s">
        <v>637</v>
      </c>
      <c r="C19" s="15"/>
      <c r="D19" s="242" t="e">
        <f>SUM(D18)</f>
        <v>#REF!</v>
      </c>
      <c r="E19" s="15"/>
      <c r="F19" s="243">
        <f>+Comps!U45</f>
        <v>4.8754736374204439</v>
      </c>
      <c r="G19" s="243">
        <f>+Comps!$U$43</f>
        <v>6.5395421500994555</v>
      </c>
      <c r="H19" s="243">
        <f>+Comps!U46</f>
        <v>9.6957528747698376</v>
      </c>
      <c r="I19" s="15"/>
      <c r="J19" s="16" t="e">
        <f t="shared" ref="J19:L19" si="3">+F19*$D$19</f>
        <v>#REF!</v>
      </c>
      <c r="K19" s="16" t="e">
        <f t="shared" si="3"/>
        <v>#REF!</v>
      </c>
      <c r="L19" s="16" t="e">
        <f t="shared" si="3"/>
        <v>#REF!</v>
      </c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3.5" customHeight="1">
      <c r="A20" s="15"/>
      <c r="B20" s="15"/>
      <c r="C20" s="15"/>
      <c r="D20" s="16"/>
      <c r="E20" s="15"/>
      <c r="F20" s="247"/>
      <c r="G20" s="247"/>
      <c r="H20" s="247"/>
      <c r="I20" s="15"/>
      <c r="J20" s="16"/>
      <c r="K20" s="16"/>
      <c r="L20" s="16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3.5" customHeight="1">
      <c r="B21" s="65" t="s">
        <v>638</v>
      </c>
      <c r="C21" s="65"/>
      <c r="D21" s="245"/>
      <c r="E21" s="65"/>
      <c r="F21" s="246"/>
      <c r="G21" s="246"/>
      <c r="H21" s="246"/>
      <c r="I21" s="65"/>
      <c r="J21" s="245"/>
      <c r="K21" s="245"/>
      <c r="L21" s="245"/>
    </row>
    <row r="22" spans="1:26" ht="13.5" customHeight="1">
      <c r="B22" s="2" t="s">
        <v>639</v>
      </c>
      <c r="D22" s="240" t="e">
        <f>+'Main support'!#REF!</f>
        <v>#REF!</v>
      </c>
      <c r="F22" s="244"/>
      <c r="G22" s="244"/>
      <c r="H22" s="244"/>
      <c r="J22" s="17"/>
      <c r="K22" s="17"/>
      <c r="L22" s="17"/>
    </row>
    <row r="23" spans="1:26" ht="13.5" customHeight="1">
      <c r="A23" s="15"/>
      <c r="B23" s="15" t="s">
        <v>640</v>
      </c>
      <c r="C23" s="15"/>
      <c r="D23" s="242" t="e">
        <f>SUM(D22)</f>
        <v>#REF!</v>
      </c>
      <c r="E23" s="15"/>
      <c r="F23" s="243">
        <f>+Comps!U55</f>
        <v>4.0762518134943164</v>
      </c>
      <c r="G23" s="243">
        <f>Comps!$U$53</f>
        <v>9.0238301078619276</v>
      </c>
      <c r="H23" s="243">
        <f>+Comps!U56</f>
        <v>19.184401591358139</v>
      </c>
      <c r="I23" s="15"/>
      <c r="J23" s="16" t="e">
        <f t="shared" ref="J23:L23" si="4">+F23*$D$23</f>
        <v>#REF!</v>
      </c>
      <c r="K23" s="16" t="e">
        <f t="shared" si="4"/>
        <v>#REF!</v>
      </c>
      <c r="L23" s="16" t="e">
        <f t="shared" si="4"/>
        <v>#REF!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3.5" customHeight="1">
      <c r="D24" s="17"/>
      <c r="F24" s="244"/>
      <c r="G24" s="244"/>
      <c r="H24" s="244"/>
      <c r="J24" s="17"/>
      <c r="K24" s="17"/>
      <c r="L24" s="17"/>
    </row>
    <row r="25" spans="1:26" ht="13.5" customHeight="1">
      <c r="D25" s="17"/>
      <c r="F25" s="244"/>
      <c r="G25" s="244"/>
      <c r="H25" s="244"/>
      <c r="J25" s="17"/>
      <c r="K25" s="17"/>
      <c r="L25" s="17"/>
    </row>
    <row r="26" spans="1:26" ht="13.5" customHeight="1">
      <c r="A26" s="15"/>
      <c r="B26" s="15" t="s">
        <v>641</v>
      </c>
      <c r="C26" s="15"/>
      <c r="D26" s="16" t="e">
        <f>+D7+D23+D15+D19+D11</f>
        <v>#REF!</v>
      </c>
      <c r="E26" s="15"/>
      <c r="F26" s="247" t="e">
        <f>+J26/D26</f>
        <v>#REF!</v>
      </c>
      <c r="G26" s="247" t="e">
        <f>+K26/D26</f>
        <v>#REF!</v>
      </c>
      <c r="H26" s="247" t="e">
        <f>+L26/D26</f>
        <v>#REF!</v>
      </c>
      <c r="I26" s="15"/>
      <c r="J26" s="16" t="e">
        <f t="shared" ref="J26:L26" si="5">+J7+J23+J15+J19+J11</f>
        <v>#REF!</v>
      </c>
      <c r="K26" s="16" t="e">
        <f t="shared" si="5"/>
        <v>#REF!</v>
      </c>
      <c r="L26" s="16" t="e">
        <f t="shared" si="5"/>
        <v>#REF!</v>
      </c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3.5" customHeight="1">
      <c r="J27" s="17"/>
      <c r="K27" s="17"/>
      <c r="L27" s="17"/>
    </row>
    <row r="28" spans="1:26" ht="13.5" customHeight="1">
      <c r="B28" s="59" t="s">
        <v>620</v>
      </c>
      <c r="C28" s="59"/>
      <c r="D28" s="59"/>
      <c r="E28" s="59"/>
      <c r="F28" s="59"/>
      <c r="G28" s="59"/>
      <c r="H28" s="59"/>
      <c r="I28" s="59"/>
      <c r="J28" s="69">
        <f>-Comps!I8</f>
        <v>-59107</v>
      </c>
      <c r="K28" s="69">
        <f t="shared" ref="K28:L28" si="6">+J28</f>
        <v>-59107</v>
      </c>
      <c r="L28" s="69">
        <f t="shared" si="6"/>
        <v>-59107</v>
      </c>
    </row>
    <row r="29" spans="1:26" ht="13.5" customHeight="1">
      <c r="B29" s="15" t="s">
        <v>642</v>
      </c>
      <c r="C29" s="15"/>
      <c r="D29" s="15"/>
      <c r="E29" s="15"/>
      <c r="F29" s="15"/>
      <c r="G29" s="15"/>
      <c r="H29" s="15"/>
      <c r="I29" s="15"/>
      <c r="J29" s="242" t="e">
        <f t="shared" ref="J29:L29" si="7">+J26+J28</f>
        <v>#REF!</v>
      </c>
      <c r="K29" s="242" t="e">
        <f t="shared" si="7"/>
        <v>#REF!</v>
      </c>
      <c r="L29" s="242" t="e">
        <f t="shared" si="7"/>
        <v>#REF!</v>
      </c>
    </row>
    <row r="30" spans="1:26" ht="13.5" customHeight="1">
      <c r="B30" s="15"/>
      <c r="C30" s="15"/>
      <c r="D30" s="15"/>
      <c r="E30" s="15"/>
      <c r="F30" s="15"/>
      <c r="G30" s="15"/>
      <c r="H30" s="15"/>
      <c r="I30" s="15"/>
      <c r="J30" s="16"/>
      <c r="K30" s="16"/>
      <c r="L30" s="16"/>
    </row>
    <row r="31" spans="1:26" ht="13.5" customHeight="1">
      <c r="B31" s="59" t="s">
        <v>643</v>
      </c>
      <c r="C31" s="59"/>
      <c r="D31" s="59"/>
      <c r="E31" s="59"/>
      <c r="F31" s="59"/>
      <c r="G31" s="59"/>
      <c r="H31" s="59"/>
      <c r="I31" s="59"/>
      <c r="J31" s="248">
        <f>+Comps!E8</f>
        <v>518.20000000000005</v>
      </c>
      <c r="K31" s="249">
        <f t="shared" ref="K31:L31" si="8">+J31</f>
        <v>518.20000000000005</v>
      </c>
      <c r="L31" s="249">
        <f t="shared" si="8"/>
        <v>518.20000000000005</v>
      </c>
    </row>
    <row r="32" spans="1:26" ht="13.5" customHeight="1">
      <c r="A32" s="15"/>
      <c r="B32" s="15" t="s">
        <v>644</v>
      </c>
      <c r="C32" s="15"/>
      <c r="D32" s="15"/>
      <c r="E32" s="15"/>
      <c r="F32" s="15"/>
      <c r="G32" s="15"/>
      <c r="H32" s="15"/>
      <c r="I32" s="15"/>
      <c r="J32" s="16" t="e">
        <f t="shared" ref="J32:L32" si="9">+J29/J31</f>
        <v>#REF!</v>
      </c>
      <c r="K32" s="16" t="e">
        <f t="shared" si="9"/>
        <v>#REF!</v>
      </c>
      <c r="L32" s="16" t="e">
        <f t="shared" si="9"/>
        <v>#REF!</v>
      </c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2:16" ht="13.5" customHeight="1"/>
    <row r="34" spans="2:16" ht="13.5" customHeight="1"/>
    <row r="35" spans="2:16" ht="13.5" customHeight="1"/>
    <row r="36" spans="2:16" ht="13.5" customHeight="1">
      <c r="D36" s="4" t="str">
        <f t="shared" ref="D36:D37" si="10">D1</f>
        <v>2021E</v>
      </c>
      <c r="E36" s="14"/>
      <c r="F36" s="1187" t="str">
        <f t="shared" ref="F36:F37" si="11">F1</f>
        <v>Comparable Multiple Range</v>
      </c>
      <c r="G36" s="1186"/>
      <c r="H36" s="1186"/>
      <c r="I36" s="14"/>
      <c r="J36" s="1187" t="str">
        <f t="shared" ref="J36:J37" si="12">J1</f>
        <v>Implied Enterprise Value</v>
      </c>
      <c r="K36" s="1186"/>
      <c r="L36" s="1186"/>
    </row>
    <row r="37" spans="2:16" ht="13.5" customHeight="1">
      <c r="D37" s="4" t="str">
        <f t="shared" si="10"/>
        <v>Revenue</v>
      </c>
      <c r="E37" s="4"/>
      <c r="F37" s="4" t="str">
        <f t="shared" si="11"/>
        <v>Low</v>
      </c>
      <c r="G37" s="4" t="str">
        <f t="shared" ref="G37:H37" si="13">G2</f>
        <v>Mid</v>
      </c>
      <c r="H37" s="4" t="str">
        <f t="shared" si="13"/>
        <v>High</v>
      </c>
      <c r="I37" s="4"/>
      <c r="J37" s="4" t="str">
        <f t="shared" si="12"/>
        <v>Low</v>
      </c>
      <c r="K37" s="4" t="str">
        <f t="shared" ref="K37:L37" si="14">K2</f>
        <v>Mid</v>
      </c>
      <c r="L37" s="4" t="str">
        <f t="shared" si="14"/>
        <v>High</v>
      </c>
    </row>
    <row r="38" spans="2:16" ht="13.5" customHeight="1">
      <c r="B38" s="250" t="str">
        <f>B4</f>
        <v>Amazon 1P</v>
      </c>
      <c r="C38" s="250"/>
      <c r="D38" s="17" t="e">
        <f>D7</f>
        <v>#REF!</v>
      </c>
      <c r="E38" s="250"/>
      <c r="F38" s="251">
        <f t="shared" ref="F38:H38" si="15">F7</f>
        <v>0.76326429085722358</v>
      </c>
      <c r="G38" s="251">
        <f t="shared" si="15"/>
        <v>1.5657079285665256</v>
      </c>
      <c r="H38" s="251">
        <f t="shared" si="15"/>
        <v>2.6617860499255266</v>
      </c>
      <c r="I38" s="250"/>
      <c r="J38" s="17" t="e">
        <f t="shared" ref="J38:L38" si="16">J7</f>
        <v>#REF!</v>
      </c>
      <c r="K38" s="17" t="e">
        <f t="shared" si="16"/>
        <v>#REF!</v>
      </c>
      <c r="L38" s="17" t="e">
        <f t="shared" si="16"/>
        <v>#REF!</v>
      </c>
    </row>
    <row r="39" spans="2:16" ht="13.5" customHeight="1">
      <c r="B39" s="250" t="str">
        <f>B9</f>
        <v>Amazon 3P</v>
      </c>
      <c r="C39" s="250"/>
      <c r="D39" s="17" t="e">
        <f>D11</f>
        <v>#REF!</v>
      </c>
      <c r="E39" s="250"/>
      <c r="F39" s="251">
        <f t="shared" ref="F39:H39" si="17">F11</f>
        <v>4.1567456161423113</v>
      </c>
      <c r="G39" s="251">
        <f t="shared" si="17"/>
        <v>7.913264267383286</v>
      </c>
      <c r="H39" s="251">
        <f t="shared" si="17"/>
        <v>13.71726054595795</v>
      </c>
      <c r="I39" s="250"/>
      <c r="J39" s="17" t="e">
        <f t="shared" ref="J39:L39" si="18">J11</f>
        <v>#REF!</v>
      </c>
      <c r="K39" s="17" t="e">
        <f t="shared" si="18"/>
        <v>#REF!</v>
      </c>
      <c r="L39" s="17" t="e">
        <f t="shared" si="18"/>
        <v>#REF!</v>
      </c>
    </row>
    <row r="40" spans="2:16" ht="13.5" customHeight="1">
      <c r="B40" s="250" t="str">
        <f>B13</f>
        <v>Advertising</v>
      </c>
      <c r="C40" s="250"/>
      <c r="D40" s="17" t="e">
        <f>D15</f>
        <v>#REF!</v>
      </c>
      <c r="E40" s="250"/>
      <c r="F40" s="251">
        <f t="shared" ref="F40:H40" si="19">F15</f>
        <v>6.2847710010592825</v>
      </c>
      <c r="G40" s="251">
        <f t="shared" si="19"/>
        <v>8.8375400622801763</v>
      </c>
      <c r="H40" s="251">
        <f t="shared" si="19"/>
        <v>12.322375194948316</v>
      </c>
      <c r="I40" s="250"/>
      <c r="J40" s="17" t="e">
        <f t="shared" ref="J40:L40" si="20">J15</f>
        <v>#REF!</v>
      </c>
      <c r="K40" s="17" t="e">
        <f t="shared" si="20"/>
        <v>#REF!</v>
      </c>
      <c r="L40" s="17" t="e">
        <f t="shared" si="20"/>
        <v>#REF!</v>
      </c>
    </row>
    <row r="41" spans="2:16" ht="13.5" customHeight="1">
      <c r="B41" s="250" t="str">
        <f>B17</f>
        <v>Cloud</v>
      </c>
      <c r="C41" s="250"/>
      <c r="D41" s="17" t="e">
        <f>D19</f>
        <v>#REF!</v>
      </c>
      <c r="E41" s="250"/>
      <c r="F41" s="251">
        <f t="shared" ref="F41:H41" si="21">F19</f>
        <v>4.8754736374204439</v>
      </c>
      <c r="G41" s="251">
        <f t="shared" si="21"/>
        <v>6.5395421500994555</v>
      </c>
      <c r="H41" s="251">
        <f t="shared" si="21"/>
        <v>9.6957528747698376</v>
      </c>
      <c r="I41" s="250"/>
      <c r="J41" s="17" t="e">
        <f t="shared" ref="J41:L41" si="22">J19</f>
        <v>#REF!</v>
      </c>
      <c r="K41" s="17" t="e">
        <f t="shared" si="22"/>
        <v>#REF!</v>
      </c>
      <c r="L41" s="17" t="e">
        <f t="shared" si="22"/>
        <v>#REF!</v>
      </c>
    </row>
    <row r="42" spans="2:16" ht="13.5" customHeight="1">
      <c r="B42" s="250" t="str">
        <f>B21</f>
        <v>Subscription</v>
      </c>
      <c r="C42" s="250"/>
      <c r="D42" s="17" t="e">
        <f>D23</f>
        <v>#REF!</v>
      </c>
      <c r="E42" s="250"/>
      <c r="F42" s="251">
        <f t="shared" ref="F42:H42" si="23">F23</f>
        <v>4.0762518134943164</v>
      </c>
      <c r="G42" s="251">
        <f t="shared" si="23"/>
        <v>9.0238301078619276</v>
      </c>
      <c r="H42" s="251">
        <f t="shared" si="23"/>
        <v>19.184401591358139</v>
      </c>
      <c r="I42" s="250"/>
      <c r="J42" s="17" t="e">
        <f t="shared" ref="J42:L42" si="24">J23</f>
        <v>#REF!</v>
      </c>
      <c r="K42" s="17" t="e">
        <f t="shared" si="24"/>
        <v>#REF!</v>
      </c>
      <c r="L42" s="17" t="e">
        <f t="shared" si="24"/>
        <v>#REF!</v>
      </c>
    </row>
    <row r="43" spans="2:16" ht="13.5" customHeight="1">
      <c r="B43" s="66" t="s">
        <v>641</v>
      </c>
      <c r="C43" s="66"/>
      <c r="D43" s="242" t="e">
        <f>SUM(D38:D42)</f>
        <v>#REF!</v>
      </c>
      <c r="E43" s="66"/>
      <c r="F43" s="252" t="e">
        <f>+J43/D43</f>
        <v>#REF!</v>
      </c>
      <c r="G43" s="252" t="e">
        <f>+K43/D43</f>
        <v>#REF!</v>
      </c>
      <c r="H43" s="252" t="e">
        <f>+L43/D43</f>
        <v>#REF!</v>
      </c>
      <c r="I43" s="66"/>
      <c r="J43" s="242" t="e">
        <f t="shared" ref="J43:L43" si="25">SUM(J38:J42)</f>
        <v>#REF!</v>
      </c>
      <c r="K43" s="242" t="e">
        <f t="shared" si="25"/>
        <v>#REF!</v>
      </c>
      <c r="L43" s="242" t="e">
        <f t="shared" si="25"/>
        <v>#REF!</v>
      </c>
    </row>
    <row r="44" spans="2:16" ht="13.5" customHeight="1">
      <c r="B44" s="15"/>
      <c r="C44" s="15"/>
      <c r="D44" s="16"/>
      <c r="E44" s="15"/>
      <c r="F44" s="247"/>
      <c r="G44" s="247"/>
      <c r="H44" s="247"/>
      <c r="I44" s="15"/>
      <c r="J44" s="16"/>
      <c r="K44" s="16"/>
      <c r="L44" s="16"/>
    </row>
    <row r="45" spans="2:16" ht="13.5" customHeight="1">
      <c r="B45" s="2" t="str">
        <f>B28</f>
        <v>Less: Net Debt</v>
      </c>
      <c r="J45" s="253">
        <f t="shared" ref="J45:L45" si="26">J28</f>
        <v>-59107</v>
      </c>
      <c r="K45" s="253">
        <f t="shared" si="26"/>
        <v>-59107</v>
      </c>
      <c r="L45" s="253">
        <f t="shared" si="26"/>
        <v>-59107</v>
      </c>
      <c r="M45" s="253"/>
      <c r="N45" s="253"/>
      <c r="O45" s="253"/>
      <c r="P45" s="253"/>
    </row>
    <row r="46" spans="2:16" ht="13.5" customHeight="1">
      <c r="J46" s="9"/>
      <c r="K46" s="9"/>
      <c r="L46" s="9"/>
    </row>
    <row r="47" spans="2:16" ht="13.5" customHeight="1">
      <c r="B47" s="66" t="str">
        <f>B29</f>
        <v>Total Amazon Implied Equity Value</v>
      </c>
      <c r="C47" s="66"/>
      <c r="D47" s="242"/>
      <c r="E47" s="66"/>
      <c r="F47" s="252"/>
      <c r="G47" s="252"/>
      <c r="H47" s="252"/>
      <c r="I47" s="66"/>
      <c r="J47" s="242" t="e">
        <f t="shared" ref="J47:L47" si="27">J29</f>
        <v>#REF!</v>
      </c>
      <c r="K47" s="242" t="e">
        <f t="shared" si="27"/>
        <v>#REF!</v>
      </c>
      <c r="L47" s="242" t="e">
        <f t="shared" si="27"/>
        <v>#REF!</v>
      </c>
    </row>
    <row r="48" spans="2:16" ht="13.5" customHeight="1">
      <c r="H48" s="247"/>
      <c r="I48" s="247"/>
      <c r="J48" s="254"/>
      <c r="K48" s="255"/>
      <c r="L48" s="255"/>
    </row>
    <row r="49" spans="2:17" ht="13.5" customHeight="1">
      <c r="B49" s="2" t="str">
        <f>B31</f>
        <v>Fully Diluted Shares Outstanding (MM)</v>
      </c>
      <c r="J49" s="255">
        <f t="shared" ref="J49:L49" si="28">J31</f>
        <v>518.20000000000005</v>
      </c>
      <c r="K49" s="255">
        <f t="shared" si="28"/>
        <v>518.20000000000005</v>
      </c>
      <c r="L49" s="255">
        <f t="shared" si="28"/>
        <v>518.20000000000005</v>
      </c>
    </row>
    <row r="50" spans="2:17" ht="13.5" customHeight="1"/>
    <row r="51" spans="2:17" ht="13.5" customHeight="1">
      <c r="B51" s="66" t="str">
        <f>B32</f>
        <v>Total Amazon Implied Equity Value per Share ($/sh.)</v>
      </c>
      <c r="C51" s="66"/>
      <c r="D51" s="242"/>
      <c r="E51" s="66"/>
      <c r="F51" s="252"/>
      <c r="G51" s="252"/>
      <c r="H51" s="252"/>
      <c r="I51" s="66"/>
      <c r="J51" s="242" t="e">
        <f t="shared" ref="J51:L51" si="29">J32</f>
        <v>#REF!</v>
      </c>
      <c r="K51" s="242" t="e">
        <f t="shared" si="29"/>
        <v>#REF!</v>
      </c>
      <c r="L51" s="242" t="e">
        <f t="shared" si="29"/>
        <v>#REF!</v>
      </c>
    </row>
    <row r="52" spans="2:17" ht="13.5" customHeight="1"/>
    <row r="53" spans="2:17" ht="13.5" customHeight="1">
      <c r="B53" s="27"/>
      <c r="C53" s="50"/>
      <c r="D53" s="50"/>
      <c r="E53" s="50"/>
      <c r="F53" s="50"/>
    </row>
    <row r="54" spans="2:17" ht="13.5" customHeight="1">
      <c r="B54" s="6"/>
      <c r="C54" s="6"/>
      <c r="D54" s="6"/>
      <c r="E54" s="6"/>
      <c r="F54" s="6"/>
    </row>
    <row r="55" spans="2:17" ht="13.5" customHeight="1">
      <c r="B55" s="6"/>
      <c r="C55" s="6"/>
      <c r="D55" s="6"/>
      <c r="E55" s="6"/>
      <c r="F55" s="6"/>
    </row>
    <row r="56" spans="2:17" ht="13.5" customHeight="1">
      <c r="B56" s="6"/>
      <c r="C56" s="6"/>
      <c r="D56" s="6"/>
      <c r="E56" s="6"/>
      <c r="F56" s="6"/>
    </row>
    <row r="57" spans="2:17" ht="13.5" customHeight="1">
      <c r="B57" s="6"/>
      <c r="C57" s="6"/>
      <c r="D57" s="6"/>
      <c r="E57" s="6"/>
      <c r="F57" s="6"/>
    </row>
    <row r="58" spans="2:17" ht="13.5" customHeight="1">
      <c r="B58" s="6"/>
      <c r="C58" s="6"/>
      <c r="D58" s="6"/>
      <c r="E58" s="6"/>
      <c r="F58" s="6"/>
    </row>
    <row r="59" spans="2:17" ht="13.5" customHeight="1">
      <c r="B59" s="6"/>
      <c r="C59" s="6"/>
      <c r="D59" s="6"/>
      <c r="E59" s="6"/>
      <c r="F59" s="6"/>
    </row>
    <row r="60" spans="2:17" ht="13.5" customHeight="1">
      <c r="B60" s="6"/>
      <c r="C60" s="6"/>
      <c r="D60" s="6"/>
      <c r="E60" s="6"/>
      <c r="F60" s="6"/>
      <c r="P60" s="12"/>
      <c r="Q60" s="6"/>
    </row>
    <row r="61" spans="2:17" ht="13.5" customHeight="1">
      <c r="B61" s="6"/>
      <c r="C61" s="6"/>
      <c r="D61" s="6"/>
      <c r="E61" s="6"/>
      <c r="F61" s="6"/>
      <c r="P61" s="12"/>
      <c r="Q61" s="11"/>
    </row>
    <row r="62" spans="2:17" ht="13.5" customHeight="1">
      <c r="B62" s="6"/>
      <c r="C62" s="6"/>
      <c r="E62" s="6"/>
      <c r="F62" s="6"/>
      <c r="P62" s="12"/>
      <c r="Q62" s="256"/>
    </row>
    <row r="63" spans="2:17" ht="13.5" customHeight="1">
      <c r="B63" s="6"/>
      <c r="C63" s="6"/>
      <c r="D63" s="6"/>
      <c r="E63" s="6"/>
      <c r="F63" s="6"/>
      <c r="P63" s="12"/>
      <c r="Q63" s="256"/>
    </row>
    <row r="64" spans="2:17" ht="13.5" customHeight="1">
      <c r="B64" s="6"/>
      <c r="C64" s="6"/>
      <c r="D64" s="6"/>
      <c r="E64" s="6"/>
      <c r="F64" s="6"/>
      <c r="P64" s="12"/>
      <c r="Q64" s="256"/>
    </row>
    <row r="65" spans="2:17" ht="13.5" customHeight="1">
      <c r="B65" s="6"/>
      <c r="C65" s="6"/>
      <c r="D65" s="6"/>
      <c r="E65" s="6"/>
      <c r="F65" s="6"/>
      <c r="P65" s="12"/>
      <c r="Q65" s="256"/>
    </row>
    <row r="66" spans="2:17" ht="13.5" customHeight="1">
      <c r="B66" s="6"/>
      <c r="C66" s="6"/>
      <c r="D66" s="6"/>
      <c r="E66" s="6"/>
      <c r="F66" s="6"/>
      <c r="P66" s="12"/>
      <c r="Q66" s="256"/>
    </row>
    <row r="67" spans="2:17" ht="13.5" customHeight="1">
      <c r="B67" s="12"/>
      <c r="C67" s="6"/>
      <c r="D67" s="6"/>
      <c r="E67" s="6"/>
      <c r="F67" s="6"/>
      <c r="P67" s="12"/>
      <c r="Q67" s="256"/>
    </row>
    <row r="68" spans="2:17" ht="13.5" customHeight="1">
      <c r="B68" s="6"/>
      <c r="C68" s="11"/>
      <c r="D68" s="11"/>
      <c r="E68" s="11"/>
      <c r="F68" s="11"/>
    </row>
    <row r="69" spans="2:17" ht="13.5" customHeight="1">
      <c r="B69" s="12"/>
      <c r="C69" s="13"/>
      <c r="D69" s="13"/>
      <c r="E69" s="13"/>
      <c r="F69" s="13"/>
    </row>
    <row r="70" spans="2:17" ht="13.5" customHeight="1">
      <c r="B70" s="6"/>
      <c r="C70" s="6"/>
      <c r="D70" s="6"/>
      <c r="E70" s="6"/>
      <c r="F70" s="6"/>
    </row>
    <row r="71" spans="2:17" ht="13.5" customHeight="1"/>
    <row r="72" spans="2:17" ht="13.5" customHeight="1"/>
    <row r="73" spans="2:17" ht="13.5" customHeight="1"/>
    <row r="74" spans="2:17" ht="13.5" customHeight="1"/>
    <row r="75" spans="2:17" ht="13.5" customHeight="1"/>
    <row r="76" spans="2:17" ht="13.5" customHeight="1"/>
    <row r="77" spans="2:17" ht="13.5" customHeight="1"/>
    <row r="78" spans="2:17" ht="13.5" customHeight="1"/>
    <row r="79" spans="2:17" ht="13.5" customHeight="1"/>
    <row r="80" spans="2:17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F1:H1"/>
    <mergeCell ref="J1:L1"/>
    <mergeCell ref="F36:H36"/>
    <mergeCell ref="J36:L36"/>
  </mergeCells>
  <pageMargins left="0.7" right="0.7" top="0.75" bottom="0.75" header="0" footer="0"/>
  <pageSetup scale="75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5" tint="0.59999389629810485"/>
  </sheetPr>
  <dimension ref="A1:Z1006"/>
  <sheetViews>
    <sheetView topLeftCell="G1" zoomScale="40" zoomScaleNormal="40" workbookViewId="0">
      <selection activeCell="U50" sqref="U50"/>
    </sheetView>
  </sheetViews>
  <sheetFormatPr defaultColWidth="12.5703125" defaultRowHeight="15" customHeight="1"/>
  <cols>
    <col min="1" max="1" width="4.85546875" customWidth="1"/>
    <col min="2" max="20" width="15.7109375" customWidth="1"/>
    <col min="21" max="21" width="21.42578125" customWidth="1"/>
    <col min="22" max="25" width="15.7109375" customWidth="1"/>
    <col min="26" max="26" width="10.7109375" customWidth="1"/>
  </cols>
  <sheetData>
    <row r="1" spans="1:26" ht="21.75" customHeight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5.75" customHeight="1">
      <c r="A2" s="6"/>
      <c r="B2" s="20"/>
      <c r="C2" s="20" t="s">
        <v>645</v>
      </c>
      <c r="D2" s="20"/>
      <c r="E2" s="20"/>
      <c r="F2" s="20"/>
      <c r="G2" s="20"/>
      <c r="H2" s="20"/>
      <c r="I2" s="20"/>
      <c r="J2" s="20"/>
      <c r="K2" s="20"/>
      <c r="L2" s="6"/>
      <c r="M2" s="20" t="s">
        <v>646</v>
      </c>
      <c r="N2" s="20"/>
      <c r="O2" s="20"/>
      <c r="P2" s="20"/>
      <c r="Q2" s="20"/>
      <c r="R2" s="20"/>
      <c r="S2" s="6"/>
      <c r="T2" s="1057" t="s">
        <v>1485</v>
      </c>
      <c r="Y2" s="6"/>
      <c r="Z2" s="6"/>
    </row>
    <row r="3" spans="1:26" ht="20.2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1057" t="s">
        <v>1486</v>
      </c>
      <c r="U3" s="1057"/>
      <c r="V3" s="1057"/>
      <c r="W3" s="1057"/>
      <c r="X3" s="1057"/>
      <c r="Y3" s="6"/>
      <c r="Z3" s="6"/>
    </row>
    <row r="4" spans="1:26" ht="16.5" customHeight="1">
      <c r="A4" s="6"/>
      <c r="B4" s="6"/>
      <c r="C4" s="6"/>
      <c r="D4" s="6"/>
      <c r="E4" s="27" t="s">
        <v>647</v>
      </c>
      <c r="F4" s="27" t="s">
        <v>648</v>
      </c>
      <c r="G4" s="27" t="s">
        <v>649</v>
      </c>
      <c r="H4" s="27" t="s">
        <v>649</v>
      </c>
      <c r="I4" s="27" t="s">
        <v>650</v>
      </c>
      <c r="J4" s="27" t="s">
        <v>651</v>
      </c>
      <c r="K4" s="27" t="s">
        <v>652</v>
      </c>
      <c r="L4" s="6"/>
      <c r="M4" s="257" t="s">
        <v>653</v>
      </c>
      <c r="N4" s="6"/>
      <c r="O4" s="6"/>
      <c r="P4" s="6"/>
      <c r="Q4" s="6"/>
      <c r="R4" s="6"/>
      <c r="S4" s="6"/>
      <c r="T4" s="1057" t="s">
        <v>1487</v>
      </c>
      <c r="U4" s="1057"/>
      <c r="V4" s="1057"/>
      <c r="W4" s="1057"/>
      <c r="X4" s="1057"/>
      <c r="Y4" s="6"/>
      <c r="Z4" s="6"/>
    </row>
    <row r="5" spans="1:26" ht="16.5" customHeight="1">
      <c r="A5" s="6"/>
      <c r="B5" s="258" t="s">
        <v>654</v>
      </c>
      <c r="C5" s="259" t="s">
        <v>655</v>
      </c>
      <c r="D5" s="260" t="s">
        <v>656</v>
      </c>
      <c r="E5" s="260" t="s">
        <v>657</v>
      </c>
      <c r="F5" s="260" t="s">
        <v>658</v>
      </c>
      <c r="G5" s="260" t="s">
        <v>658</v>
      </c>
      <c r="H5" s="260" t="s">
        <v>659</v>
      </c>
      <c r="I5" s="260" t="s">
        <v>660</v>
      </c>
      <c r="J5" s="260" t="s">
        <v>661</v>
      </c>
      <c r="K5" s="260" t="s">
        <v>662</v>
      </c>
      <c r="L5" s="6"/>
      <c r="M5" s="191"/>
      <c r="N5" s="191"/>
      <c r="O5" s="191"/>
      <c r="P5" s="191"/>
      <c r="Q5" s="261" t="s">
        <v>1</v>
      </c>
      <c r="R5" s="261" t="s">
        <v>3</v>
      </c>
      <c r="S5" s="6"/>
      <c r="T5" s="6"/>
      <c r="U5" s="6"/>
      <c r="V5" s="6"/>
      <c r="W5" s="6"/>
      <c r="X5" s="6"/>
      <c r="Y5" s="6"/>
      <c r="Z5" s="6"/>
    </row>
    <row r="6" spans="1:26" ht="16.5" customHeight="1">
      <c r="A6" s="6"/>
      <c r="B6" s="262"/>
      <c r="C6" s="263" t="str">
        <f>Comps!B11</f>
        <v>Walmart Inc.</v>
      </c>
      <c r="D6" s="262" t="s">
        <v>663</v>
      </c>
      <c r="E6" s="264">
        <f>Comps!G11</f>
        <v>63702</v>
      </c>
      <c r="F6" s="264">
        <f>Comps!F11</f>
        <v>375499.31244000001</v>
      </c>
      <c r="G6" s="265">
        <f t="shared" ref="G6:G23" si="0">E6/F6</f>
        <v>0.16964611622339193</v>
      </c>
      <c r="H6" s="265">
        <f t="shared" ref="H6:H23" si="1">E6/(F6+E6)</f>
        <v>0.14504055018893514</v>
      </c>
      <c r="I6" s="266">
        <v>0.32200000000000001</v>
      </c>
      <c r="J6" s="267">
        <v>0.47127999999999998</v>
      </c>
      <c r="K6" s="268">
        <f t="shared" ref="K6:K23" si="2">J6/(1+(1-I6)*G6)</f>
        <v>0.42266503898244318</v>
      </c>
      <c r="L6" s="6"/>
      <c r="M6" s="6" t="s">
        <v>664</v>
      </c>
      <c r="N6" s="6"/>
      <c r="O6" s="6"/>
      <c r="P6" s="6"/>
      <c r="Q6" s="269">
        <v>0.1</v>
      </c>
      <c r="R6" s="269">
        <v>0.1</v>
      </c>
      <c r="S6" s="6"/>
      <c r="T6" s="6"/>
      <c r="U6" s="6"/>
      <c r="V6" s="6"/>
      <c r="W6" s="6"/>
      <c r="X6" s="6"/>
      <c r="Y6" s="6"/>
      <c r="Z6" s="6"/>
    </row>
    <row r="7" spans="1:26" ht="16.5" customHeight="1">
      <c r="A7" s="6"/>
      <c r="B7" s="262"/>
      <c r="C7" s="263" t="str">
        <f>Comps!B12</f>
        <v>The Home Depot, Inc.</v>
      </c>
      <c r="D7" s="262" t="s">
        <v>663</v>
      </c>
      <c r="E7" s="264">
        <f>Comps!G12</f>
        <v>43422</v>
      </c>
      <c r="F7" s="264">
        <f>Comps!F12</f>
        <v>311425.20292000001</v>
      </c>
      <c r="G7" s="265">
        <f t="shared" si="0"/>
        <v>0.13942994848478718</v>
      </c>
      <c r="H7" s="265">
        <f t="shared" si="1"/>
        <v>0.12236816196572768</v>
      </c>
      <c r="I7" s="266">
        <v>0.32200000000000001</v>
      </c>
      <c r="J7" s="267">
        <v>1.01098</v>
      </c>
      <c r="K7" s="268">
        <f t="shared" si="2"/>
        <v>0.92366290781830651</v>
      </c>
      <c r="L7" s="6"/>
      <c r="M7" s="6" t="s">
        <v>665</v>
      </c>
      <c r="N7" s="6"/>
      <c r="O7" s="6"/>
      <c r="P7" s="6"/>
      <c r="Q7" s="265">
        <f t="shared" ref="Q7:R7" si="3">1-Q6</f>
        <v>0.9</v>
      </c>
      <c r="R7" s="265">
        <f t="shared" si="3"/>
        <v>0.9</v>
      </c>
      <c r="S7" s="6"/>
      <c r="T7" s="6"/>
      <c r="U7" s="6"/>
      <c r="V7" s="6"/>
      <c r="W7" s="6"/>
      <c r="X7" s="6"/>
      <c r="Y7" s="6"/>
      <c r="Z7" s="6"/>
    </row>
    <row r="8" spans="1:26" ht="16.5" customHeight="1">
      <c r="A8" s="6"/>
      <c r="B8" s="262"/>
      <c r="C8" s="263" t="str">
        <f>Comps!B13</f>
        <v>Lowe's Companies, Inc.</v>
      </c>
      <c r="D8" s="262" t="s">
        <v>663</v>
      </c>
      <c r="E8" s="264">
        <f>Comps!G13</f>
        <v>26211</v>
      </c>
      <c r="F8" s="264">
        <f>Comps!F13</f>
        <v>131995.55592000001</v>
      </c>
      <c r="G8" s="265">
        <f t="shared" si="0"/>
        <v>0.19857486729239571</v>
      </c>
      <c r="H8" s="265">
        <f t="shared" si="1"/>
        <v>0.16567581442866416</v>
      </c>
      <c r="I8" s="266">
        <v>0.32200000000000001</v>
      </c>
      <c r="J8" s="267">
        <v>1.3357300000000001</v>
      </c>
      <c r="K8" s="268">
        <f t="shared" si="2"/>
        <v>1.177234493684957</v>
      </c>
      <c r="L8" s="6"/>
      <c r="M8" s="6" t="s">
        <v>666</v>
      </c>
      <c r="N8" s="6"/>
      <c r="O8" s="6"/>
      <c r="P8" s="6"/>
      <c r="Q8" s="36">
        <f t="shared" ref="Q8:R8" si="4">Q6/Q7</f>
        <v>0.11111111111111112</v>
      </c>
      <c r="R8" s="36">
        <f t="shared" si="4"/>
        <v>0.11111111111111112</v>
      </c>
      <c r="S8" s="6"/>
      <c r="T8" s="6"/>
      <c r="U8" s="6"/>
      <c r="V8" s="6"/>
      <c r="W8" s="6"/>
      <c r="X8" s="6"/>
      <c r="Y8" s="6"/>
      <c r="Z8" s="6"/>
    </row>
    <row r="9" spans="1:26" ht="16.5" customHeight="1">
      <c r="A9" s="6"/>
      <c r="B9" s="262"/>
      <c r="C9" s="263" t="str">
        <f>Comps!B14</f>
        <v>Target Corporation</v>
      </c>
      <c r="D9" s="262" t="s">
        <v>663</v>
      </c>
      <c r="E9" s="264">
        <f>Comps!G14</f>
        <v>15109</v>
      </c>
      <c r="F9" s="264">
        <f>Comps!F14</f>
        <v>95746.137521500015</v>
      </c>
      <c r="G9" s="265">
        <f t="shared" si="0"/>
        <v>0.15780271028277501</v>
      </c>
      <c r="H9" s="265">
        <f t="shared" si="1"/>
        <v>0.13629499126343744</v>
      </c>
      <c r="I9" s="266">
        <v>0.32200000000000001</v>
      </c>
      <c r="J9" s="267">
        <v>0.99399000000000004</v>
      </c>
      <c r="K9" s="268">
        <f t="shared" si="2"/>
        <v>0.89792119773377832</v>
      </c>
      <c r="L9" s="6"/>
      <c r="M9" s="23" t="s">
        <v>667</v>
      </c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6.5" customHeight="1">
      <c r="A10" s="6"/>
      <c r="B10" s="262"/>
      <c r="C10" s="263" t="str">
        <f>Comps!B21</f>
        <v>Alibaba Group Holding Limited</v>
      </c>
      <c r="D10" s="262" t="s">
        <v>668</v>
      </c>
      <c r="E10" s="264">
        <f>Comps!G21</f>
        <v>22676.377759999999</v>
      </c>
      <c r="F10" s="264">
        <f>Comps!F21</f>
        <v>666540.62970659998</v>
      </c>
      <c r="G10" s="265">
        <f t="shared" si="0"/>
        <v>3.4020998494843087E-2</v>
      </c>
      <c r="H10" s="265">
        <f t="shared" si="1"/>
        <v>3.2901651460043112E-2</v>
      </c>
      <c r="I10" s="266">
        <v>0.25</v>
      </c>
      <c r="J10" s="267">
        <v>0.88324000000000003</v>
      </c>
      <c r="K10" s="268">
        <f t="shared" si="2"/>
        <v>0.86126419898695195</v>
      </c>
      <c r="L10" s="6"/>
      <c r="M10" s="6" t="s">
        <v>669</v>
      </c>
      <c r="N10" s="6"/>
      <c r="O10" s="6"/>
      <c r="P10" s="6"/>
      <c r="Q10" s="6"/>
      <c r="R10" s="270">
        <f>+Comps!F8</f>
        <v>1593444.2720000001</v>
      </c>
      <c r="S10" s="6"/>
      <c r="T10" s="6"/>
      <c r="U10" s="6"/>
      <c r="V10" s="6"/>
      <c r="W10" s="6"/>
      <c r="X10" s="6"/>
      <c r="Y10" s="6"/>
      <c r="Z10" s="6"/>
    </row>
    <row r="11" spans="1:26" ht="16.5" customHeight="1">
      <c r="A11" s="6"/>
      <c r="B11" s="262"/>
      <c r="C11" s="263" t="str">
        <f>Comps!B22</f>
        <v>eBay Inc.</v>
      </c>
      <c r="D11" s="262" t="s">
        <v>663</v>
      </c>
      <c r="E11" s="264">
        <f>Comps!G22</f>
        <v>8317</v>
      </c>
      <c r="F11" s="264">
        <f>Comps!F22</f>
        <v>42647.22</v>
      </c>
      <c r="G11" s="265">
        <f t="shared" si="0"/>
        <v>0.19501857330911604</v>
      </c>
      <c r="H11" s="265">
        <f t="shared" si="1"/>
        <v>0.1631929224071319</v>
      </c>
      <c r="I11" s="266">
        <v>0.32200000000000001</v>
      </c>
      <c r="J11" s="267">
        <v>1.1569400000000001</v>
      </c>
      <c r="K11" s="268">
        <f t="shared" si="2"/>
        <v>1.0218308727062211</v>
      </c>
      <c r="L11" s="6"/>
      <c r="M11" s="6" t="s">
        <v>670</v>
      </c>
      <c r="N11" s="6"/>
      <c r="O11" s="6"/>
      <c r="P11" s="6"/>
      <c r="Q11" s="6"/>
      <c r="R11" s="270">
        <f>Comps!G8</f>
        <v>101229</v>
      </c>
      <c r="S11" s="6"/>
      <c r="T11" s="6"/>
      <c r="U11" s="6"/>
      <c r="V11" s="6"/>
      <c r="W11" s="6"/>
      <c r="X11" s="6"/>
      <c r="Y11" s="6"/>
      <c r="Z11" s="6"/>
    </row>
    <row r="12" spans="1:26" ht="16.5" customHeight="1">
      <c r="A12" s="6"/>
      <c r="B12" s="262"/>
      <c r="C12" s="263" t="str">
        <f>Comps!B23</f>
        <v>Etsy, Inc.</v>
      </c>
      <c r="D12" s="262" t="s">
        <v>663</v>
      </c>
      <c r="E12" s="264">
        <f>Comps!G23</f>
        <v>-206.38200000000006</v>
      </c>
      <c r="F12" s="264">
        <f>Comps!F23</f>
        <v>31155.716525257354</v>
      </c>
      <c r="G12" s="265">
        <f t="shared" si="0"/>
        <v>-6.6242097122911634E-3</v>
      </c>
      <c r="H12" s="265">
        <f t="shared" si="1"/>
        <v>-6.6683824762556482E-3</v>
      </c>
      <c r="I12" s="266">
        <v>0.32200000000000001</v>
      </c>
      <c r="J12" s="267">
        <v>1.6172200000000001</v>
      </c>
      <c r="K12" s="268">
        <f t="shared" si="2"/>
        <v>1.6245160495252799</v>
      </c>
      <c r="L12" s="6"/>
      <c r="M12" s="6" t="s">
        <v>666</v>
      </c>
      <c r="N12" s="6"/>
      <c r="O12" s="6"/>
      <c r="P12" s="6"/>
      <c r="Q12" s="6"/>
      <c r="R12" s="36">
        <f>+R11/R10</f>
        <v>6.3528421908940147E-2</v>
      </c>
      <c r="S12" s="6"/>
      <c r="T12" s="6"/>
      <c r="U12" s="6"/>
      <c r="V12" s="6"/>
      <c r="W12" s="6"/>
      <c r="X12" s="6"/>
      <c r="Y12" s="6"/>
      <c r="Z12" s="6"/>
    </row>
    <row r="13" spans="1:26" ht="16.5" customHeight="1">
      <c r="A13" s="6"/>
      <c r="B13" s="262"/>
      <c r="C13" s="263" t="str">
        <f>Comps!B30</f>
        <v>Alphabet Inc.</v>
      </c>
      <c r="D13" s="262" t="s">
        <v>663</v>
      </c>
      <c r="E13" s="264">
        <f>Comps!G30</f>
        <v>27872</v>
      </c>
      <c r="F13" s="264">
        <f>Comps!F30</f>
        <v>1415764.0500702399</v>
      </c>
      <c r="G13" s="265">
        <f t="shared" si="0"/>
        <v>1.9686896272452455E-2</v>
      </c>
      <c r="H13" s="265">
        <f t="shared" si="1"/>
        <v>1.930680520110584E-2</v>
      </c>
      <c r="I13" s="266">
        <v>0.32200000000000001</v>
      </c>
      <c r="J13" s="267">
        <v>0.99927999999999995</v>
      </c>
      <c r="K13" s="268">
        <f t="shared" si="2"/>
        <v>0.98611758288379436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6.5" customHeight="1">
      <c r="A14" s="6"/>
      <c r="B14" s="262"/>
      <c r="C14" s="263" t="str">
        <f>Comps!B31</f>
        <v>Facebook, Inc.</v>
      </c>
      <c r="D14" s="262" t="s">
        <v>663</v>
      </c>
      <c r="E14" s="264">
        <f>Comps!G31</f>
        <v>11177</v>
      </c>
      <c r="F14" s="264">
        <f>Comps!F31</f>
        <v>857349.60827000008</v>
      </c>
      <c r="G14" s="265">
        <f t="shared" si="0"/>
        <v>1.3036688758222529E-2</v>
      </c>
      <c r="H14" s="265">
        <f t="shared" si="1"/>
        <v>1.2868920645117864E-2</v>
      </c>
      <c r="I14" s="266">
        <v>0.32200000000000001</v>
      </c>
      <c r="J14" s="267">
        <v>1.25265</v>
      </c>
      <c r="K14" s="268">
        <f t="shared" si="2"/>
        <v>1.2416749899999879</v>
      </c>
      <c r="L14" s="6"/>
      <c r="M14" s="23" t="s">
        <v>671</v>
      </c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6.5" customHeight="1">
      <c r="A15" s="6"/>
      <c r="B15" s="262"/>
      <c r="C15" s="263" t="str">
        <f>Comps!B32</f>
        <v>Twitter, Inc.</v>
      </c>
      <c r="D15" s="262" t="s">
        <v>663</v>
      </c>
      <c r="E15" s="264">
        <f>Comps!G32</f>
        <v>2644.4559999999997</v>
      </c>
      <c r="F15" s="264">
        <f>Comps!F32</f>
        <v>58620.605461727697</v>
      </c>
      <c r="G15" s="265">
        <f t="shared" si="0"/>
        <v>4.5111373026102838E-2</v>
      </c>
      <c r="H15" s="265">
        <f t="shared" si="1"/>
        <v>4.3164177704318345E-2</v>
      </c>
      <c r="I15" s="266">
        <v>0.32200000000000001</v>
      </c>
      <c r="J15" s="267">
        <v>0.81044000000000005</v>
      </c>
      <c r="K15" s="268">
        <f t="shared" si="2"/>
        <v>0.78638792358244203</v>
      </c>
      <c r="L15" s="6"/>
      <c r="M15" s="6" t="s">
        <v>672</v>
      </c>
      <c r="N15" s="6"/>
      <c r="O15" s="6"/>
      <c r="P15" s="6"/>
      <c r="Q15" s="269">
        <f>+'Control Panel'!$F$15</f>
        <v>0.05</v>
      </c>
      <c r="R15" s="269">
        <f>+'Control Panel'!$F$15</f>
        <v>0.05</v>
      </c>
      <c r="S15" s="6"/>
      <c r="T15" s="6"/>
      <c r="U15" s="6"/>
      <c r="V15" s="6"/>
      <c r="W15" s="6"/>
      <c r="X15" s="6"/>
      <c r="Y15" s="6"/>
      <c r="Z15" s="6"/>
    </row>
    <row r="16" spans="1:26" ht="16.5" customHeight="1">
      <c r="A16" s="6"/>
      <c r="B16" s="262"/>
      <c r="C16" s="263" t="str">
        <f>Comps!B39</f>
        <v>salesforce.com, inc.</v>
      </c>
      <c r="D16" s="262" t="s">
        <v>663</v>
      </c>
      <c r="E16" s="264">
        <f>Comps!G39</f>
        <v>6413</v>
      </c>
      <c r="F16" s="264">
        <f>Comps!F39</f>
        <v>204522.4</v>
      </c>
      <c r="G16" s="265">
        <f t="shared" si="0"/>
        <v>3.1355978611633736E-2</v>
      </c>
      <c r="H16" s="265">
        <f t="shared" si="1"/>
        <v>3.0402673045870916E-2</v>
      </c>
      <c r="I16" s="266">
        <v>0.32200000000000001</v>
      </c>
      <c r="J16" s="267">
        <v>1.11138</v>
      </c>
      <c r="K16" s="268">
        <f t="shared" si="2"/>
        <v>1.0882446228693741</v>
      </c>
      <c r="L16" s="6"/>
      <c r="M16" s="191" t="s">
        <v>660</v>
      </c>
      <c r="N16" s="191"/>
      <c r="O16" s="191"/>
      <c r="P16" s="191"/>
      <c r="Q16" s="271">
        <f>+_TaxRate</f>
        <v>0.32200000000000001</v>
      </c>
      <c r="R16" s="271">
        <f>+_TaxRate</f>
        <v>0.32200000000000001</v>
      </c>
      <c r="S16" s="6"/>
      <c r="T16" s="6"/>
      <c r="U16" s="6"/>
      <c r="V16" s="6"/>
      <c r="W16" s="6"/>
      <c r="X16" s="6"/>
      <c r="Y16" s="6"/>
      <c r="Z16" s="6"/>
    </row>
    <row r="17" spans="1:26" ht="16.5" customHeight="1">
      <c r="A17" s="6"/>
      <c r="B17" s="262"/>
      <c r="C17" s="263" t="str">
        <f>Comps!B40</f>
        <v>Oracle Corporation</v>
      </c>
      <c r="D17" s="262" t="s">
        <v>663</v>
      </c>
      <c r="E17" s="264">
        <f>Comps!G40</f>
        <v>69299</v>
      </c>
      <c r="F17" s="264">
        <f>Comps!F40</f>
        <v>193280.42</v>
      </c>
      <c r="G17" s="265">
        <f t="shared" si="0"/>
        <v>0.35854123247455688</v>
      </c>
      <c r="H17" s="265">
        <f t="shared" si="1"/>
        <v>0.26391634195855862</v>
      </c>
      <c r="I17" s="266">
        <v>0.32200000000000001</v>
      </c>
      <c r="J17" s="267">
        <v>0.78769</v>
      </c>
      <c r="K17" s="268">
        <f t="shared" si="2"/>
        <v>0.63365435685963967</v>
      </c>
      <c r="L17" s="6"/>
      <c r="M17" s="19" t="s">
        <v>673</v>
      </c>
      <c r="N17" s="19"/>
      <c r="O17" s="19"/>
      <c r="P17" s="19"/>
      <c r="Q17" s="272">
        <f t="shared" ref="Q17:R17" si="5">+Q15*(1-Q16)</f>
        <v>3.39E-2</v>
      </c>
      <c r="R17" s="272">
        <f t="shared" si="5"/>
        <v>3.39E-2</v>
      </c>
      <c r="S17" s="6"/>
      <c r="T17" s="6"/>
      <c r="U17" s="6"/>
      <c r="V17" s="6"/>
      <c r="W17" s="6"/>
      <c r="X17" s="6"/>
      <c r="Y17" s="6"/>
      <c r="Z17" s="6"/>
    </row>
    <row r="18" spans="1:26" ht="16.5" customHeight="1">
      <c r="A18" s="6"/>
      <c r="B18" s="262"/>
      <c r="C18" s="263" t="str">
        <f>Comps!B41</f>
        <v>SAP SE</v>
      </c>
      <c r="D18" s="262" t="s">
        <v>674</v>
      </c>
      <c r="E18" s="264">
        <f>Comps!G41</f>
        <v>18914.984710000001</v>
      </c>
      <c r="F18" s="264">
        <f>Comps!F41</f>
        <v>147559.42229339117</v>
      </c>
      <c r="G18" s="265">
        <f t="shared" si="0"/>
        <v>0.12818554326128692</v>
      </c>
      <c r="H18" s="265">
        <f t="shared" si="1"/>
        <v>0.11362097664426397</v>
      </c>
      <c r="I18" s="266">
        <v>0.29902000000000001</v>
      </c>
      <c r="J18" s="267">
        <v>0.94703999999999999</v>
      </c>
      <c r="K18" s="268">
        <f t="shared" si="2"/>
        <v>0.86895923189991076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6.5" customHeight="1">
      <c r="A19" s="6"/>
      <c r="B19" s="262"/>
      <c r="C19" s="263" t="str">
        <f>Comps!B42</f>
        <v>VMware, Inc.</v>
      </c>
      <c r="D19" s="262" t="s">
        <v>663</v>
      </c>
      <c r="E19" s="264">
        <f>Comps!G42</f>
        <v>5878</v>
      </c>
      <c r="F19" s="264">
        <f>Comps!F42</f>
        <v>64159.961759999984</v>
      </c>
      <c r="G19" s="265">
        <f t="shared" si="0"/>
        <v>9.1614767820273113E-2</v>
      </c>
      <c r="H19" s="265">
        <f t="shared" si="1"/>
        <v>8.3925914636725454E-2</v>
      </c>
      <c r="I19" s="266">
        <v>0.32200000000000001</v>
      </c>
      <c r="J19" s="267">
        <v>0.94062999999999997</v>
      </c>
      <c r="K19" s="268">
        <f t="shared" si="2"/>
        <v>0.88561988671752057</v>
      </c>
      <c r="L19" s="6"/>
      <c r="M19" s="23" t="s">
        <v>675</v>
      </c>
      <c r="N19" s="6"/>
      <c r="O19" s="6"/>
      <c r="P19" s="6"/>
      <c r="Q19" s="6"/>
      <c r="R19" s="6"/>
      <c r="S19" s="6"/>
      <c r="T19" s="573" t="s">
        <v>675</v>
      </c>
      <c r="U19" s="574"/>
      <c r="V19" s="575"/>
      <c r="W19" s="574"/>
      <c r="X19" s="576"/>
      <c r="Y19" s="6"/>
      <c r="Z19" s="6"/>
    </row>
    <row r="20" spans="1:26" ht="16.5" customHeight="1">
      <c r="A20" s="6"/>
      <c r="B20" s="262"/>
      <c r="C20" s="263" t="str">
        <f>Comps!B49</f>
        <v>Netflix, Inc.</v>
      </c>
      <c r="D20" s="262" t="s">
        <v>663</v>
      </c>
      <c r="E20" s="264">
        <f>Comps!G49</f>
        <v>18510.826000000001</v>
      </c>
      <c r="F20" s="264">
        <f>Comps!F49</f>
        <v>233754.11953225997</v>
      </c>
      <c r="G20" s="265">
        <f t="shared" si="0"/>
        <v>7.918930385928602E-2</v>
      </c>
      <c r="H20" s="265">
        <f t="shared" si="1"/>
        <v>7.3378510680283213E-2</v>
      </c>
      <c r="I20" s="266">
        <v>0.32200000000000001</v>
      </c>
      <c r="J20" s="267">
        <v>0.82816999999999996</v>
      </c>
      <c r="K20" s="268">
        <f t="shared" si="2"/>
        <v>0.78597094635904929</v>
      </c>
      <c r="L20" s="6"/>
      <c r="M20" s="6" t="s">
        <v>50</v>
      </c>
      <c r="N20" s="6"/>
      <c r="O20" s="6"/>
      <c r="P20" s="6"/>
      <c r="Q20" s="269" t="e">
        <f>+'Control Panel'!#REF!</f>
        <v>#REF!</v>
      </c>
      <c r="R20" s="269" t="e">
        <f>+'Control Panel'!#REF!</f>
        <v>#REF!</v>
      </c>
      <c r="S20" s="50"/>
      <c r="T20" s="577"/>
      <c r="U20" s="577"/>
      <c r="V20" s="577"/>
      <c r="W20" s="577"/>
      <c r="X20" s="577"/>
      <c r="Y20" s="6"/>
      <c r="Z20" s="6"/>
    </row>
    <row r="21" spans="1:26" ht="16.5" customHeight="1">
      <c r="A21" s="6"/>
      <c r="B21" s="262"/>
      <c r="C21" s="263" t="str">
        <f>Comps!B50</f>
        <v>Spotify Technology S.A.</v>
      </c>
      <c r="D21" s="262" t="s">
        <v>676</v>
      </c>
      <c r="E21" s="264">
        <f>Comps!G50</f>
        <v>743.73089000000004</v>
      </c>
      <c r="F21" s="264">
        <f>Comps!F50</f>
        <v>53986.366357960003</v>
      </c>
      <c r="G21" s="265">
        <f t="shared" si="0"/>
        <v>1.377627242160818E-2</v>
      </c>
      <c r="H21" s="265">
        <f t="shared" si="1"/>
        <v>1.3589065749882652E-2</v>
      </c>
      <c r="I21" s="266">
        <v>0.26438</v>
      </c>
      <c r="J21" s="267">
        <v>1.6309199999999999</v>
      </c>
      <c r="K21" s="268">
        <f t="shared" si="2"/>
        <v>1.6145579062699063</v>
      </c>
      <c r="L21" s="6"/>
      <c r="M21" s="6" t="s">
        <v>51</v>
      </c>
      <c r="N21" s="6"/>
      <c r="O21" s="6"/>
      <c r="P21" s="6"/>
      <c r="Q21" s="269" t="e">
        <f>+'Control Panel'!#REF!</f>
        <v>#REF!</v>
      </c>
      <c r="R21" s="269" t="e">
        <f>+'Control Panel'!#REF!</f>
        <v>#REF!</v>
      </c>
      <c r="S21" s="50"/>
      <c r="T21" s="578" t="s">
        <v>50</v>
      </c>
      <c r="U21" s="479"/>
      <c r="V21" s="479"/>
      <c r="W21" s="479"/>
      <c r="X21" s="579">
        <v>2.4E-2</v>
      </c>
      <c r="Y21" s="6"/>
      <c r="Z21" s="6"/>
    </row>
    <row r="22" spans="1:26" ht="16.5" customHeight="1">
      <c r="A22" s="6"/>
      <c r="B22" s="262"/>
      <c r="C22" s="263" t="str">
        <f>Comps!B51</f>
        <v>Roku, Inc.</v>
      </c>
      <c r="D22" s="262" t="s">
        <v>663</v>
      </c>
      <c r="E22" s="264">
        <f>Comps!G51</f>
        <v>438.32499999999999</v>
      </c>
      <c r="F22" s="264">
        <f>Comps!F51</f>
        <v>49187.79402999999</v>
      </c>
      <c r="G22" s="265">
        <f t="shared" si="0"/>
        <v>8.9112554983185946E-3</v>
      </c>
      <c r="H22" s="265">
        <f t="shared" si="1"/>
        <v>8.8325464204650726E-3</v>
      </c>
      <c r="I22" s="266">
        <v>0.32200000000000001</v>
      </c>
      <c r="J22" s="267">
        <v>1.8938600000000001</v>
      </c>
      <c r="K22" s="268">
        <f t="shared" si="2"/>
        <v>1.8824863352735246</v>
      </c>
      <c r="L22" s="6"/>
      <c r="M22" s="6" t="s">
        <v>53</v>
      </c>
      <c r="N22" s="6"/>
      <c r="O22" s="6"/>
      <c r="P22" s="6"/>
      <c r="Q22" s="269" t="e">
        <f>+'Control Panel'!#REF!</f>
        <v>#REF!</v>
      </c>
      <c r="R22" s="269" t="e">
        <f>+'Control Panel'!#REF!</f>
        <v>#REF!</v>
      </c>
      <c r="S22" s="50"/>
      <c r="T22" s="578" t="s">
        <v>51</v>
      </c>
      <c r="U22" s="479"/>
      <c r="V22" s="566"/>
      <c r="W22" s="479"/>
      <c r="X22" s="580">
        <f>5%</f>
        <v>0.05</v>
      </c>
      <c r="Y22" s="6"/>
      <c r="Z22" s="6"/>
    </row>
    <row r="23" spans="1:26" ht="16.5" customHeight="1">
      <c r="A23" s="6"/>
      <c r="B23" s="273"/>
      <c r="C23" s="263" t="str">
        <f>Comps!B52</f>
        <v>Sirius XM Holdings Inc.</v>
      </c>
      <c r="D23" s="273" t="s">
        <v>663</v>
      </c>
      <c r="E23" s="274">
        <f>Comps!G52</f>
        <v>8968</v>
      </c>
      <c r="F23" s="274">
        <f>Comps!F52</f>
        <v>25372.590199999999</v>
      </c>
      <c r="G23" s="275">
        <f t="shared" si="0"/>
        <v>0.35345228568741083</v>
      </c>
      <c r="H23" s="265">
        <f t="shared" si="1"/>
        <v>0.26114868579049644</v>
      </c>
      <c r="I23" s="276">
        <v>0.32200000000000001</v>
      </c>
      <c r="J23" s="277">
        <v>1.1033599999999999</v>
      </c>
      <c r="K23" s="278">
        <f t="shared" si="2"/>
        <v>0.89006439105600643</v>
      </c>
      <c r="L23" s="6"/>
      <c r="M23" s="6" t="s">
        <v>55</v>
      </c>
      <c r="N23" s="6"/>
      <c r="O23" s="6"/>
      <c r="P23" s="6"/>
      <c r="Q23" s="269" t="e">
        <f>+'Control Panel'!#REF!</f>
        <v>#REF!</v>
      </c>
      <c r="R23" s="269" t="e">
        <f>+'Control Panel'!#REF!</f>
        <v>#REF!</v>
      </c>
      <c r="S23" s="50"/>
      <c r="T23" s="578" t="s">
        <v>53</v>
      </c>
      <c r="U23" s="479"/>
      <c r="V23" s="479"/>
      <c r="W23" s="479"/>
      <c r="X23" s="581">
        <v>3.5999999999999997E-2</v>
      </c>
      <c r="Y23" s="6"/>
      <c r="Z23" s="6"/>
    </row>
    <row r="24" spans="1:26" ht="16.5" customHeight="1">
      <c r="A24" s="6"/>
      <c r="B24" s="279"/>
      <c r="C24" s="197" t="s">
        <v>677</v>
      </c>
      <c r="D24" s="182"/>
      <c r="E24" s="182"/>
      <c r="F24" s="182"/>
      <c r="G24" s="280">
        <f t="shared" ref="G24:K24" si="6">AVERAGE(G6:G23)</f>
        <v>0.11281836678145389</v>
      </c>
      <c r="H24" s="281">
        <f t="shared" si="6"/>
        <v>9.3497795984154017E-2</v>
      </c>
      <c r="I24" s="280">
        <f t="shared" si="6"/>
        <v>0.31352222222222226</v>
      </c>
      <c r="J24" s="282">
        <f t="shared" si="6"/>
        <v>1.0986</v>
      </c>
      <c r="K24" s="282">
        <f t="shared" si="6"/>
        <v>1.0329351629560608</v>
      </c>
      <c r="L24" s="6"/>
      <c r="M24" s="6" t="s">
        <v>57</v>
      </c>
      <c r="N24" s="6"/>
      <c r="O24" s="6"/>
      <c r="P24" s="6"/>
      <c r="Q24" s="269" t="e">
        <f>+'Control Panel'!#REF!</f>
        <v>#REF!</v>
      </c>
      <c r="R24" s="269" t="e">
        <f>+'Control Panel'!#REF!</f>
        <v>#REF!</v>
      </c>
      <c r="S24" s="50"/>
      <c r="T24" s="578" t="s">
        <v>675</v>
      </c>
      <c r="U24" s="479"/>
      <c r="V24" s="566"/>
      <c r="W24" s="479"/>
      <c r="X24" s="580">
        <f>SUM(X21:X23)</f>
        <v>0.11000000000000001</v>
      </c>
      <c r="Y24" s="6"/>
      <c r="Z24" s="6"/>
    </row>
    <row r="25" spans="1:26" ht="16.5" customHeight="1">
      <c r="A25" s="6"/>
      <c r="B25" s="279"/>
      <c r="C25" s="19" t="s">
        <v>678</v>
      </c>
      <c r="D25" s="182"/>
      <c r="E25" s="182"/>
      <c r="F25" s="182"/>
      <c r="G25" s="280">
        <f t="shared" ref="G25:K25" si="7">MEDIAN(G6:G23)</f>
        <v>8.5402035839779566E-2</v>
      </c>
      <c r="H25" s="280">
        <f t="shared" si="7"/>
        <v>7.8652212658504334E-2</v>
      </c>
      <c r="I25" s="280">
        <f t="shared" si="7"/>
        <v>0.32200000000000001</v>
      </c>
      <c r="J25" s="282">
        <f t="shared" si="7"/>
        <v>1.0051299999999999</v>
      </c>
      <c r="K25" s="282">
        <f t="shared" si="7"/>
        <v>0.91079205277604247</v>
      </c>
      <c r="L25" s="6"/>
      <c r="M25" s="191" t="s">
        <v>679</v>
      </c>
      <c r="N25" s="191"/>
      <c r="O25" s="191"/>
      <c r="P25" s="191"/>
      <c r="Q25" s="283">
        <f t="shared" ref="Q25:R25" si="8">+$K$25*(1+Q8*(1-Q16))</f>
        <v>0.97940505408517098</v>
      </c>
      <c r="R25" s="283">
        <f t="shared" si="8"/>
        <v>0.97940505408517098</v>
      </c>
      <c r="S25" s="6"/>
      <c r="T25" s="6"/>
      <c r="U25" s="6"/>
      <c r="V25" s="6"/>
      <c r="W25" s="6"/>
      <c r="X25" s="6"/>
      <c r="Y25" s="6"/>
      <c r="Z25" s="6"/>
    </row>
    <row r="26" spans="1:26" ht="16.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19" t="s">
        <v>675</v>
      </c>
      <c r="N26" s="19"/>
      <c r="O26" s="19"/>
      <c r="P26" s="19"/>
      <c r="Q26" s="281" t="e">
        <f t="shared" ref="Q26:R26" si="9">(Q21*Q25)+Q20+Q22+Q23+Q24</f>
        <v>#REF!</v>
      </c>
      <c r="R26" s="281" t="e">
        <f t="shared" si="9"/>
        <v>#REF!</v>
      </c>
      <c r="S26" s="6"/>
      <c r="T26" s="6"/>
      <c r="U26" s="6"/>
      <c r="V26" s="6"/>
      <c r="W26" s="6"/>
      <c r="X26" s="6"/>
      <c r="Y26" s="6"/>
      <c r="Z26" s="6"/>
    </row>
    <row r="27" spans="1:26" ht="16.5" customHeight="1">
      <c r="A27" s="6"/>
      <c r="B27" s="6"/>
      <c r="C27" s="19" t="s">
        <v>680</v>
      </c>
      <c r="D27" s="284"/>
      <c r="E27" s="284"/>
      <c r="F27" s="284"/>
      <c r="G27" s="284"/>
      <c r="H27" s="284"/>
      <c r="I27" s="284"/>
      <c r="J27" s="284"/>
      <c r="K27" s="284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6.5" customHeight="1">
      <c r="A28" s="6"/>
      <c r="B28" s="6"/>
      <c r="C28" s="279" t="s">
        <v>681</v>
      </c>
      <c r="D28" s="6"/>
      <c r="E28" s="6"/>
      <c r="F28" s="6"/>
      <c r="G28" s="6"/>
      <c r="H28" s="6"/>
      <c r="I28" s="6"/>
      <c r="J28" s="6"/>
      <c r="K28" s="190"/>
      <c r="L28" s="6"/>
      <c r="M28" s="259" t="s">
        <v>38</v>
      </c>
      <c r="N28" s="259"/>
      <c r="O28" s="259"/>
      <c r="P28" s="259"/>
      <c r="Q28" s="285" t="e">
        <f t="shared" ref="Q28:R28" si="10">(Q26*Q7)+(Q6*Q17)</f>
        <v>#REF!</v>
      </c>
      <c r="R28" s="285" t="e">
        <f t="shared" si="10"/>
        <v>#REF!</v>
      </c>
      <c r="S28" s="6"/>
      <c r="T28" s="6"/>
      <c r="U28" s="6"/>
      <c r="V28" s="6"/>
      <c r="W28" s="6"/>
      <c r="X28" s="6"/>
      <c r="Y28" s="6"/>
      <c r="Z28" s="6"/>
    </row>
    <row r="29" spans="1:26" ht="16.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251"/>
      <c r="L29" s="6"/>
      <c r="M29" s="286" t="s">
        <v>682</v>
      </c>
      <c r="N29" s="286"/>
      <c r="O29" s="286"/>
      <c r="P29" s="286"/>
      <c r="Q29" s="286"/>
      <c r="R29" s="287" t="e">
        <f>ROUND(AVERAGE(Q28:R28),2)</f>
        <v>#REF!</v>
      </c>
      <c r="S29" s="6"/>
      <c r="T29" s="6"/>
      <c r="U29" s="6"/>
      <c r="V29" s="6"/>
      <c r="W29" s="6"/>
      <c r="X29" s="6"/>
      <c r="Y29" s="6"/>
      <c r="Z29" s="6"/>
    </row>
    <row r="30" spans="1:26" ht="16.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6.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6.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1057"/>
      <c r="R32" s="1057"/>
      <c r="S32" s="1057"/>
      <c r="T32" s="1080" t="s">
        <v>1493</v>
      </c>
      <c r="U32" s="1080" t="s">
        <v>1494</v>
      </c>
      <c r="V32" s="1080" t="s">
        <v>1495</v>
      </c>
      <c r="W32" s="1080" t="s">
        <v>1496</v>
      </c>
      <c r="X32" s="6"/>
      <c r="Y32" s="6"/>
      <c r="Z32" s="6"/>
    </row>
    <row r="33" spans="1:26" ht="16.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1060" t="s">
        <v>1497</v>
      </c>
      <c r="R33" s="1057" t="s">
        <v>1498</v>
      </c>
      <c r="S33" s="1057"/>
      <c r="T33" s="1081">
        <f>AVERAGE(K6:K23)</f>
        <v>1.0329351629560608</v>
      </c>
      <c r="U33" s="1084">
        <f>R6/R7</f>
        <v>0.11111111111111112</v>
      </c>
      <c r="V33" s="1082">
        <v>0.25</v>
      </c>
      <c r="W33" s="1083">
        <f>T33*(1+(1-V33)*U33)</f>
        <v>1.1190130932023992</v>
      </c>
      <c r="X33" s="6"/>
      <c r="Y33" s="6"/>
      <c r="Z33" s="6"/>
    </row>
    <row r="34" spans="1:26" ht="16.5" customHeight="1">
      <c r="A34" s="6"/>
      <c r="B34" s="6"/>
      <c r="C34" s="19" t="s">
        <v>48</v>
      </c>
      <c r="D34" s="6"/>
      <c r="E34" s="6"/>
      <c r="F34" s="6"/>
      <c r="G34" s="40" t="s">
        <v>1</v>
      </c>
      <c r="H34" s="40" t="s">
        <v>3</v>
      </c>
      <c r="I34" s="6"/>
      <c r="J34" s="6"/>
      <c r="K34" s="6"/>
      <c r="L34" s="6"/>
      <c r="M34" s="884" t="s">
        <v>38</v>
      </c>
      <c r="N34" s="885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6.5" customHeight="1">
      <c r="A35" s="6"/>
      <c r="B35" s="6"/>
      <c r="C35" s="6" t="s">
        <v>50</v>
      </c>
      <c r="D35" s="6"/>
      <c r="E35" s="6"/>
      <c r="F35" s="6"/>
      <c r="G35" s="28">
        <v>2.3599999999999999E-2</v>
      </c>
      <c r="H35" s="28">
        <v>2.3599999999999999E-2</v>
      </c>
      <c r="I35" s="6"/>
      <c r="J35" s="6"/>
      <c r="K35" s="6"/>
      <c r="L35" s="6"/>
      <c r="M35" s="882" t="s">
        <v>1442</v>
      </c>
      <c r="N35" s="885">
        <v>336.35</v>
      </c>
      <c r="O35" s="6"/>
      <c r="P35" s="6"/>
      <c r="Q35" s="1058" t="s">
        <v>1488</v>
      </c>
      <c r="R35" s="1059"/>
      <c r="S35" s="1059"/>
      <c r="T35" s="1059"/>
      <c r="U35" s="1059"/>
      <c r="V35" s="1059"/>
      <c r="W35" s="1059"/>
      <c r="X35" s="1059"/>
      <c r="Y35" s="6"/>
      <c r="Z35" s="6"/>
    </row>
    <row r="36" spans="1:26" ht="16.5" customHeight="1">
      <c r="A36" s="6"/>
      <c r="B36" s="6"/>
      <c r="C36" s="6" t="s">
        <v>51</v>
      </c>
      <c r="D36" s="6"/>
      <c r="E36" s="6"/>
      <c r="F36" s="6"/>
      <c r="G36" s="28">
        <v>4.5600000000000002E-2</v>
      </c>
      <c r="H36" s="28">
        <v>4.5600000000000002E-2</v>
      </c>
      <c r="I36" s="6"/>
      <c r="J36" s="6"/>
      <c r="K36" s="6"/>
      <c r="L36" s="6"/>
      <c r="M36" s="882" t="s">
        <v>1443</v>
      </c>
      <c r="N36" s="913">
        <v>2000</v>
      </c>
      <c r="O36" s="6"/>
      <c r="P36" s="6"/>
      <c r="Q36" s="1060"/>
      <c r="R36" s="1057"/>
      <c r="S36" s="1057"/>
      <c r="T36" s="1061" t="s">
        <v>1489</v>
      </c>
      <c r="U36" s="1061"/>
      <c r="V36" s="1061"/>
      <c r="W36" s="1061"/>
      <c r="X36" s="1061"/>
      <c r="Y36" s="6"/>
      <c r="Z36" s="6"/>
    </row>
    <row r="37" spans="1:26" ht="16.5" customHeight="1">
      <c r="A37" s="6"/>
      <c r="B37" s="6"/>
      <c r="C37" s="6" t="s">
        <v>53</v>
      </c>
      <c r="D37" s="6"/>
      <c r="E37" s="6"/>
      <c r="F37" s="6"/>
      <c r="G37" s="28">
        <v>0</v>
      </c>
      <c r="H37" s="28">
        <v>0</v>
      </c>
      <c r="I37" s="6"/>
      <c r="J37" s="6"/>
      <c r="K37" s="6"/>
      <c r="L37" s="6"/>
      <c r="M37" s="1043" t="s">
        <v>1444</v>
      </c>
      <c r="N37" s="1044">
        <v>2.8000000000000001E-2</v>
      </c>
      <c r="O37" s="6"/>
      <c r="P37" s="6"/>
      <c r="Q37" s="1057"/>
      <c r="R37" s="1203" t="s">
        <v>1490</v>
      </c>
      <c r="S37" s="1062">
        <f>N47</f>
        <v>687154</v>
      </c>
      <c r="T37" s="1063">
        <f>U37-0.5%</f>
        <v>-0.01</v>
      </c>
      <c r="U37" s="1063">
        <f>V37-0.5%</f>
        <v>-5.0000000000000001E-3</v>
      </c>
      <c r="V37" s="1064">
        <f>O29</f>
        <v>0</v>
      </c>
      <c r="W37" s="1063">
        <f>V37+0.5%</f>
        <v>5.0000000000000001E-3</v>
      </c>
      <c r="X37" s="1063">
        <f>W37+0.5%</f>
        <v>0.01</v>
      </c>
      <c r="Y37" s="6"/>
      <c r="Z37" s="6"/>
    </row>
    <row r="38" spans="1:26" ht="16.5" customHeight="1">
      <c r="A38" s="6"/>
      <c r="B38" s="6"/>
      <c r="C38" s="6" t="s">
        <v>55</v>
      </c>
      <c r="D38" s="6"/>
      <c r="E38" s="6"/>
      <c r="F38" s="6"/>
      <c r="G38" s="28">
        <v>0</v>
      </c>
      <c r="H38" s="28">
        <v>0</v>
      </c>
      <c r="I38" s="6"/>
      <c r="J38" s="6"/>
      <c r="K38" s="6"/>
      <c r="L38" s="6"/>
      <c r="M38" s="882" t="s">
        <v>1445</v>
      </c>
      <c r="N38" s="890">
        <v>0.21</v>
      </c>
      <c r="O38" s="6"/>
      <c r="P38" s="6"/>
      <c r="Q38" s="1057"/>
      <c r="R38" s="1203"/>
      <c r="S38" s="1065">
        <f>S39-10%</f>
        <v>0.17695562839508058</v>
      </c>
      <c r="T38" s="1066">
        <v>5.5095451085305634E-2</v>
      </c>
      <c r="U38" s="1067">
        <v>5.5714795784688416E-2</v>
      </c>
      <c r="V38" s="1067">
        <v>5.6334140484071198E-2</v>
      </c>
      <c r="W38" s="1067">
        <v>5.6953485183453979E-2</v>
      </c>
      <c r="X38" s="1068">
        <v>5.7572829882836761E-2</v>
      </c>
      <c r="Y38" s="6"/>
      <c r="Z38" s="6"/>
    </row>
    <row r="39" spans="1:26" ht="16.5" customHeight="1">
      <c r="A39" s="6"/>
      <c r="B39" s="6"/>
      <c r="C39" s="6" t="s">
        <v>57</v>
      </c>
      <c r="D39" s="6"/>
      <c r="E39" s="6"/>
      <c r="F39" s="6"/>
      <c r="G39" s="28">
        <v>0.01</v>
      </c>
      <c r="H39" s="28">
        <v>0.02</v>
      </c>
      <c r="I39" s="6"/>
      <c r="J39" s="6"/>
      <c r="K39" s="6"/>
      <c r="L39" s="6"/>
      <c r="M39" s="882" t="s">
        <v>1446</v>
      </c>
      <c r="N39" s="890">
        <f>N37*SUM(1-N38)</f>
        <v>2.2120000000000001E-2</v>
      </c>
      <c r="O39" s="6"/>
      <c r="P39" s="6"/>
      <c r="Q39" s="1057"/>
      <c r="R39" s="1203"/>
      <c r="S39" s="1065">
        <f>S40-10%</f>
        <v>0.27695562839508059</v>
      </c>
      <c r="T39" s="1069">
        <v>5.0740040864228786E-2</v>
      </c>
      <c r="U39" s="1070">
        <v>5.1709385563611564E-2</v>
      </c>
      <c r="V39" s="1070">
        <v>5.2678730262994342E-2</v>
      </c>
      <c r="W39" s="1070">
        <v>5.3648074962377126E-2</v>
      </c>
      <c r="X39" s="1071">
        <v>5.4617419661759911E-2</v>
      </c>
      <c r="Y39" s="6"/>
      <c r="Z39" s="6"/>
    </row>
    <row r="40" spans="1:26" ht="16.5" customHeight="1">
      <c r="A40" s="6"/>
      <c r="B40" s="6"/>
      <c r="C40" s="6" t="s">
        <v>58</v>
      </c>
      <c r="D40" s="6"/>
      <c r="E40" s="6"/>
      <c r="F40" s="6"/>
      <c r="G40" s="28">
        <v>0.05</v>
      </c>
      <c r="H40" s="28">
        <v>0.1</v>
      </c>
      <c r="I40" s="6"/>
      <c r="J40" s="6"/>
      <c r="K40" s="6"/>
      <c r="L40" s="6"/>
      <c r="M40" s="882" t="s">
        <v>1447</v>
      </c>
      <c r="N40" s="885">
        <v>1.39</v>
      </c>
      <c r="O40" s="6"/>
      <c r="P40" s="6"/>
      <c r="Q40" s="1057"/>
      <c r="R40" s="1203"/>
      <c r="S40" s="1072">
        <v>0.37695562839508057</v>
      </c>
      <c r="T40" s="1069">
        <v>4.6384630643151938E-2</v>
      </c>
      <c r="U40" s="1070">
        <v>4.7703975342534718E-2</v>
      </c>
      <c r="V40" s="1073">
        <v>4.9023320041917499E-2</v>
      </c>
      <c r="W40" s="1070">
        <v>5.034266474130028E-2</v>
      </c>
      <c r="X40" s="1071">
        <v>5.1662009440683068E-2</v>
      </c>
      <c r="Y40" s="6"/>
      <c r="Z40" s="6"/>
    </row>
    <row r="41" spans="1:26" ht="16.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882" t="s">
        <v>1448</v>
      </c>
      <c r="N41" s="890">
        <v>4.9020000000000001E-2</v>
      </c>
      <c r="O41" s="6"/>
      <c r="P41" s="6"/>
      <c r="Q41" s="1057"/>
      <c r="R41" s="1203"/>
      <c r="S41" s="1065">
        <f>S40+10%</f>
        <v>0.47695562839508054</v>
      </c>
      <c r="T41" s="1069">
        <v>4.2029220422075096E-2</v>
      </c>
      <c r="U41" s="1070">
        <v>4.369856512145788E-2</v>
      </c>
      <c r="V41" s="1070">
        <v>4.5367909820840657E-2</v>
      </c>
      <c r="W41" s="1070">
        <v>4.7037254520223441E-2</v>
      </c>
      <c r="X41" s="1071">
        <v>4.8706599219606225E-2</v>
      </c>
      <c r="Y41" s="6"/>
      <c r="Z41" s="6"/>
    </row>
    <row r="42" spans="1:26" ht="16.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882" t="s">
        <v>1449</v>
      </c>
      <c r="N42" s="890">
        <v>0.1195</v>
      </c>
      <c r="O42" s="6"/>
      <c r="P42" s="6"/>
      <c r="Q42" s="1057"/>
      <c r="R42" s="1203"/>
      <c r="S42" s="1065">
        <f>S41+10%</f>
        <v>0.57695562839508052</v>
      </c>
      <c r="T42" s="1074">
        <v>3.7673810200998248E-2</v>
      </c>
      <c r="U42" s="1075">
        <v>3.9693154900381028E-2</v>
      </c>
      <c r="V42" s="1075">
        <v>4.1712499599763808E-2</v>
      </c>
      <c r="W42" s="1075">
        <v>4.3731844299146588E-2</v>
      </c>
      <c r="X42" s="1076">
        <v>4.5751188998529368E-2</v>
      </c>
      <c r="Y42" s="6"/>
      <c r="Z42" s="6"/>
    </row>
    <row r="43" spans="1:26" ht="16.5" customHeight="1">
      <c r="A43" s="6"/>
      <c r="B43" s="6"/>
      <c r="C43" s="565" t="s">
        <v>968</v>
      </c>
      <c r="D43" s="566"/>
      <c r="E43" s="567"/>
      <c r="F43" s="567"/>
      <c r="G43" s="567"/>
      <c r="H43" s="6"/>
      <c r="I43" s="6"/>
      <c r="J43" s="6"/>
      <c r="K43" s="6"/>
      <c r="L43" s="6"/>
      <c r="M43" s="1043" t="s">
        <v>1450</v>
      </c>
      <c r="N43" s="1044">
        <f>N41+SUM(N40*SUM(N42-N41))</f>
        <v>0.14698719999999998</v>
      </c>
      <c r="O43" s="6"/>
      <c r="P43" s="6"/>
      <c r="Q43" s="1057"/>
      <c r="R43" s="1057"/>
      <c r="S43" s="1057"/>
      <c r="T43" s="1057"/>
      <c r="U43" s="1057"/>
      <c r="V43" s="1057"/>
      <c r="W43" s="1057"/>
      <c r="X43" s="1057"/>
      <c r="Y43" s="6"/>
      <c r="Z43" s="6"/>
    </row>
    <row r="44" spans="1:26" ht="16.5" customHeight="1">
      <c r="A44" s="6"/>
      <c r="B44" s="6"/>
      <c r="C44" s="568" t="s">
        <v>969</v>
      </c>
      <c r="D44" s="566"/>
      <c r="E44" s="567"/>
      <c r="F44" s="567"/>
      <c r="G44" s="567"/>
      <c r="H44" s="6"/>
      <c r="I44" s="6"/>
      <c r="J44" s="6"/>
      <c r="K44" s="6"/>
      <c r="L44" s="6"/>
      <c r="M44" s="6"/>
      <c r="N44" s="6"/>
      <c r="O44" s="6"/>
      <c r="P44" s="6"/>
      <c r="Q44" s="1057"/>
      <c r="R44" s="1057"/>
      <c r="S44" s="1077" t="s">
        <v>1491</v>
      </c>
      <c r="T44" s="1078"/>
      <c r="U44" s="1078"/>
      <c r="V44" s="1078"/>
      <c r="W44" s="1078"/>
      <c r="X44" s="1078"/>
      <c r="Y44" s="6"/>
      <c r="Z44" s="6"/>
    </row>
    <row r="45" spans="1:26" ht="16.5" customHeight="1">
      <c r="A45" s="6"/>
      <c r="B45" s="6"/>
      <c r="C45" s="569" t="s">
        <v>970</v>
      </c>
      <c r="D45" s="479"/>
      <c r="E45" s="479"/>
      <c r="F45" s="479"/>
      <c r="G45" s="479"/>
      <c r="H45" s="6"/>
      <c r="I45" s="6"/>
      <c r="J45" s="6"/>
      <c r="K45" s="6"/>
      <c r="L45" s="6"/>
      <c r="M45" s="882" t="s">
        <v>1451</v>
      </c>
      <c r="N45" s="913">
        <v>14454</v>
      </c>
      <c r="O45" s="6"/>
      <c r="P45" s="6"/>
      <c r="Q45" s="1057"/>
      <c r="R45" s="1057"/>
      <c r="S45" s="1079" t="s">
        <v>1492</v>
      </c>
      <c r="T45" s="1079"/>
      <c r="U45" s="1079"/>
      <c r="V45" s="1079"/>
      <c r="W45" s="1079"/>
      <c r="X45" s="1079"/>
      <c r="Y45" s="6"/>
      <c r="Z45" s="6"/>
    </row>
    <row r="46" spans="1:26" ht="16.5" customHeight="1">
      <c r="A46" s="6"/>
      <c r="B46" s="6"/>
      <c r="C46" s="570" t="s">
        <v>971</v>
      </c>
      <c r="D46" s="479"/>
      <c r="E46" s="479"/>
      <c r="F46" s="479"/>
      <c r="G46" s="479"/>
      <c r="H46" s="6"/>
      <c r="I46" s="6"/>
      <c r="J46" s="6"/>
      <c r="K46" s="6"/>
      <c r="L46" s="6"/>
      <c r="M46" s="882" t="s">
        <v>1452</v>
      </c>
      <c r="N46" s="913">
        <f>N35*N36</f>
        <v>672700</v>
      </c>
      <c r="O46" s="6"/>
      <c r="P46" s="6"/>
      <c r="Q46" s="1057"/>
      <c r="R46" s="1057"/>
      <c r="S46" s="1079"/>
      <c r="T46" s="1079"/>
      <c r="U46" s="1079"/>
      <c r="V46" s="1079"/>
      <c r="W46" s="1079"/>
      <c r="X46" s="1079"/>
      <c r="Y46" s="6"/>
      <c r="Z46" s="6"/>
    </row>
    <row r="47" spans="1:26" ht="16.5" customHeight="1">
      <c r="A47" s="6"/>
      <c r="B47" s="6"/>
      <c r="C47" s="571"/>
      <c r="D47" s="572"/>
      <c r="E47" s="572"/>
      <c r="F47" s="572"/>
      <c r="G47" s="572"/>
      <c r="H47" s="6"/>
      <c r="I47" s="6"/>
      <c r="J47" s="6"/>
      <c r="K47" s="6"/>
      <c r="L47" s="6"/>
      <c r="M47" s="1043" t="s">
        <v>1453</v>
      </c>
      <c r="N47" s="1045">
        <f>N45+N46</f>
        <v>687154</v>
      </c>
      <c r="O47" s="6"/>
      <c r="P47" s="6"/>
      <c r="Q47" s="1057"/>
      <c r="R47" s="1057"/>
      <c r="S47" s="1079"/>
      <c r="T47" s="1079"/>
      <c r="U47" s="1079"/>
      <c r="V47" s="1079"/>
      <c r="W47" s="1079"/>
      <c r="X47" s="1079"/>
      <c r="Y47" s="6"/>
      <c r="Z47" s="6"/>
    </row>
    <row r="48" spans="1:26" ht="16.5" customHeight="1">
      <c r="A48" s="6"/>
      <c r="B48" s="6"/>
      <c r="C48" s="474" t="s">
        <v>77</v>
      </c>
      <c r="D48" s="474"/>
      <c r="E48" s="474"/>
      <c r="F48" s="474"/>
      <c r="G48" s="474"/>
      <c r="H48" s="6"/>
      <c r="I48" s="6"/>
      <c r="J48" s="6"/>
      <c r="K48" s="6"/>
      <c r="L48" s="6"/>
      <c r="M48" s="882"/>
      <c r="N48" s="885"/>
      <c r="O48" s="6"/>
      <c r="P48" s="6"/>
      <c r="Y48" s="6"/>
      <c r="Z48" s="6"/>
    </row>
    <row r="49" spans="1:26" ht="16.5" customHeight="1">
      <c r="A49" s="6"/>
      <c r="B49" s="6"/>
      <c r="C49" s="474"/>
      <c r="D49" s="474"/>
      <c r="E49" s="474"/>
      <c r="F49" s="474"/>
      <c r="G49" s="474"/>
      <c r="H49" s="6"/>
      <c r="I49" s="6"/>
      <c r="J49" s="6"/>
      <c r="K49" s="6"/>
      <c r="L49" s="6"/>
      <c r="M49" s="882" t="s">
        <v>1454</v>
      </c>
      <c r="N49" s="890">
        <f>N45/N47</f>
        <v>2.1034586133530476E-2</v>
      </c>
      <c r="O49" s="6"/>
      <c r="P49" s="6"/>
      <c r="Y49" s="6"/>
      <c r="Z49" s="6"/>
    </row>
    <row r="50" spans="1:26" ht="16.5" customHeight="1">
      <c r="A50" s="6"/>
      <c r="B50" s="6"/>
      <c r="C50" s="474"/>
      <c r="D50" s="474"/>
      <c r="E50" s="474"/>
      <c r="F50" s="474"/>
      <c r="G50" s="474"/>
      <c r="H50" s="6"/>
      <c r="I50" s="6"/>
      <c r="J50" s="6"/>
      <c r="K50" s="6"/>
      <c r="L50" s="6"/>
      <c r="M50" s="882" t="s">
        <v>1455</v>
      </c>
      <c r="N50" s="890">
        <f>N46/N47</f>
        <v>0.97896541386646951</v>
      </c>
      <c r="O50" s="6"/>
      <c r="P50" s="6"/>
      <c r="Y50" s="6"/>
      <c r="Z50" s="6"/>
    </row>
    <row r="51" spans="1:26" ht="16.5" customHeight="1">
      <c r="A51" s="6"/>
      <c r="B51" s="6"/>
      <c r="C51" s="474"/>
      <c r="D51" s="474"/>
      <c r="E51" s="474"/>
      <c r="F51" s="474"/>
      <c r="G51" s="474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6.5" customHeight="1">
      <c r="A52" s="6"/>
      <c r="B52" s="6"/>
      <c r="C52" s="474"/>
      <c r="D52" s="474"/>
      <c r="E52" s="474"/>
      <c r="F52" s="474"/>
      <c r="G52" s="474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6.5" customHeight="1">
      <c r="A53" s="6"/>
      <c r="B53" s="6"/>
      <c r="C53" s="689"/>
      <c r="D53" s="689"/>
      <c r="E53" s="689"/>
      <c r="F53" s="689"/>
      <c r="G53" s="689"/>
      <c r="H53" s="689"/>
      <c r="I53" s="689"/>
      <c r="J53" s="689"/>
      <c r="K53" s="689"/>
      <c r="L53" s="689"/>
      <c r="M53" s="689"/>
      <c r="N53" s="689"/>
      <c r="O53" s="689"/>
      <c r="P53" s="689"/>
      <c r="Q53" s="689"/>
      <c r="R53" s="689"/>
      <c r="S53" s="6"/>
      <c r="T53" s="6"/>
      <c r="U53" s="6"/>
      <c r="V53" s="6"/>
      <c r="W53" s="6"/>
      <c r="X53" s="6"/>
      <c r="Y53" s="6"/>
      <c r="Z53" s="6"/>
    </row>
    <row r="54" spans="1:26" ht="16.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6.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6.5" customHeight="1">
      <c r="A56" s="6"/>
      <c r="B56" s="6"/>
      <c r="C56" s="19" t="s">
        <v>1081</v>
      </c>
      <c r="D56" s="6"/>
      <c r="E56" s="6"/>
      <c r="F56" s="6"/>
      <c r="G56" s="6"/>
      <c r="H56" s="6"/>
      <c r="I56" s="6"/>
      <c r="J56" s="19" t="s">
        <v>1087</v>
      </c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6.5" customHeight="1">
      <c r="A57" s="6"/>
      <c r="B57" s="6"/>
      <c r="C57" s="6"/>
      <c r="D57" s="6"/>
      <c r="E57" s="6"/>
      <c r="F57" s="6"/>
      <c r="G57" s="6"/>
      <c r="H57" s="6"/>
      <c r="I57" s="6"/>
      <c r="J57" s="6" t="s">
        <v>1086</v>
      </c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6.5" customHeight="1">
      <c r="A58" s="6"/>
      <c r="B58" s="6"/>
      <c r="C58" s="279"/>
      <c r="D58" s="6" t="s">
        <v>1082</v>
      </c>
      <c r="E58" s="690" t="s">
        <v>1083</v>
      </c>
      <c r="F58" s="6" t="s">
        <v>911</v>
      </c>
      <c r="G58" s="691" t="s">
        <v>1083</v>
      </c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6.5" customHeight="1">
      <c r="A59" s="6"/>
      <c r="B59" s="6"/>
      <c r="C59" s="279" t="s">
        <v>686</v>
      </c>
      <c r="D59" s="6" t="s">
        <v>1084</v>
      </c>
      <c r="E59" s="690" t="s">
        <v>1085</v>
      </c>
      <c r="F59" s="6" t="s">
        <v>1084</v>
      </c>
      <c r="G59" s="691" t="s">
        <v>1085</v>
      </c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6.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6.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6.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6.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6.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6.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6.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6.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6.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6.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6.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6.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6.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6.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6.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6.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6.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6.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6.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6.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6.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6.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6.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6.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6.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6.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6.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6.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6.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6.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6.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6.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6.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6.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6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6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6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6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6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6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6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6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6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6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6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6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6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6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6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6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6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6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6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6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6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6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6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6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6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6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6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6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6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6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6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6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6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6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6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6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6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6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6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6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6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6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6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6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6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6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6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6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6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6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6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6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6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6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6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6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6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6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6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6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6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6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6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6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6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6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6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6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6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6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6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6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6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6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6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6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6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6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6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6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6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6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6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6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6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6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6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6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6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6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6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6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6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6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6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6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6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6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6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6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6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6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6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6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6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6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6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6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6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6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6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6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6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6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6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6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6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6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6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6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6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6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6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6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6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6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6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6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6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6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6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6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6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6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6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6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6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6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6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6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6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6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5.75" customHeight="1"/>
    <row r="237" spans="1:26" ht="15.75" customHeight="1"/>
    <row r="238" spans="1:26" ht="15.75" customHeight="1"/>
    <row r="239" spans="1:26" ht="15.75" customHeight="1"/>
    <row r="240" spans="1:26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mergeCells count="1">
    <mergeCell ref="R37:R42"/>
  </mergeCells>
  <conditionalFormatting sqref="T20:X20">
    <cfRule type="containsText" dxfId="1" priority="1" operator="containsText" text="OK">
      <formula>NOT(ISERROR(SEARCH("OK",T20)))</formula>
    </cfRule>
    <cfRule type="containsText" dxfId="0" priority="2" operator="containsText" text="ERROR">
      <formula>NOT(ISERROR(SEARCH("ERROR",T20)))</formula>
    </cfRule>
  </conditionalFormatting>
  <pageMargins left="0.7" right="0.7" top="0.75" bottom="0.75" header="0" footer="0"/>
  <pageSetup scale="48" orientation="portrait" r:id="rId1"/>
  <legacy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5" tint="0.59999389629810485"/>
  </sheetPr>
  <dimension ref="A1:A1000"/>
  <sheetViews>
    <sheetView workbookViewId="0"/>
  </sheetViews>
  <sheetFormatPr defaultColWidth="12.5703125" defaultRowHeight="15" customHeight="1"/>
  <cols>
    <col min="1" max="6" width="8.5703125" customWidth="1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5" tint="0.59999389629810485"/>
  </sheetPr>
  <dimension ref="B1:AN1279"/>
  <sheetViews>
    <sheetView workbookViewId="0"/>
  </sheetViews>
  <sheetFormatPr defaultColWidth="12.5703125" defaultRowHeight="15" customHeight="1"/>
  <cols>
    <col min="1" max="1" width="8.5703125" customWidth="1"/>
    <col min="2" max="2" width="48.7109375" customWidth="1"/>
    <col min="3" max="7" width="8.5703125" customWidth="1"/>
    <col min="8" max="8" width="33.28515625" customWidth="1"/>
    <col min="9" max="9" width="24.7109375" customWidth="1"/>
    <col min="10" max="26" width="8.5703125" customWidth="1"/>
  </cols>
  <sheetData>
    <row r="1" spans="2:40" ht="13.5" customHeight="1">
      <c r="S1" s="15" t="s">
        <v>683</v>
      </c>
    </row>
    <row r="2" spans="2:40" ht="13.5" customHeight="1">
      <c r="B2" s="15" t="s">
        <v>684</v>
      </c>
      <c r="H2" s="288" t="s">
        <v>685</v>
      </c>
      <c r="S2" s="289" t="s">
        <v>686</v>
      </c>
      <c r="T2" s="289" t="s">
        <v>687</v>
      </c>
      <c r="U2" s="289" t="s">
        <v>3</v>
      </c>
      <c r="V2" s="289" t="s">
        <v>1</v>
      </c>
      <c r="W2" s="289" t="s">
        <v>688</v>
      </c>
      <c r="X2" s="289" t="s">
        <v>689</v>
      </c>
      <c r="Y2" s="289" t="s">
        <v>690</v>
      </c>
      <c r="Z2" s="289" t="s">
        <v>691</v>
      </c>
      <c r="AA2" s="289" t="s">
        <v>692</v>
      </c>
      <c r="AB2" s="290" t="s">
        <v>693</v>
      </c>
      <c r="AC2" s="290" t="s">
        <v>694</v>
      </c>
      <c r="AF2" s="289" t="s">
        <v>695</v>
      </c>
      <c r="AG2" s="289" t="s">
        <v>696</v>
      </c>
      <c r="AH2" s="289" t="s">
        <v>697</v>
      </c>
      <c r="AI2" s="288" t="s">
        <v>698</v>
      </c>
      <c r="AJ2" s="290" t="s">
        <v>692</v>
      </c>
      <c r="AK2" s="289" t="s">
        <v>699</v>
      </c>
      <c r="AL2" s="288" t="s">
        <v>693</v>
      </c>
      <c r="AM2" s="289" t="s">
        <v>694</v>
      </c>
      <c r="AN2" s="288" t="s">
        <v>700</v>
      </c>
    </row>
    <row r="3" spans="2:40" ht="13.5" customHeight="1">
      <c r="B3" s="137" t="s">
        <v>701</v>
      </c>
      <c r="C3" s="137" t="s">
        <v>702</v>
      </c>
      <c r="S3" s="289">
        <v>43617</v>
      </c>
      <c r="T3" s="289">
        <v>25.809999000000001</v>
      </c>
      <c r="U3" s="289">
        <v>30.68</v>
      </c>
      <c r="V3" s="289">
        <v>25.5</v>
      </c>
      <c r="W3" s="289">
        <v>30.290001</v>
      </c>
      <c r="X3" s="289">
        <v>28.295589</v>
      </c>
      <c r="Y3" s="289">
        <v>234777500</v>
      </c>
      <c r="Z3" s="289">
        <v>0.17585402542617645</v>
      </c>
      <c r="AA3" s="290">
        <v>0.17585402542617645</v>
      </c>
      <c r="AB3" s="290">
        <f t="shared" ref="AB3:AB58" si="0">LN(X3/X4)</f>
        <v>1.2624776477985163E-2</v>
      </c>
      <c r="AC3" s="290">
        <f t="shared" ref="AC3:AC58" si="1">(X3-X4)/X3</f>
        <v>1.2545418298237269E-2</v>
      </c>
      <c r="AE3" s="289">
        <v>201905</v>
      </c>
      <c r="AF3" s="290">
        <v>-6.9400000000000003E-2</v>
      </c>
      <c r="AG3" s="290">
        <v>-1.32E-2</v>
      </c>
      <c r="AH3" s="290">
        <v>-2.3700000000000002E-2</v>
      </c>
      <c r="AI3" s="290">
        <v>2.0999999999999999E-3</v>
      </c>
      <c r="AJ3" s="290">
        <v>0.17585402542617645</v>
      </c>
      <c r="AK3" s="290">
        <f t="shared" ref="AK3:AK59" si="2">AJ3-AI3</f>
        <v>0.17375402542617646</v>
      </c>
      <c r="AL3" s="290">
        <v>1.2624776477985163E-2</v>
      </c>
      <c r="AM3" s="290">
        <v>1.2545418298237269E-2</v>
      </c>
      <c r="AN3" s="290">
        <f t="shared" ref="AN3:AN58" si="3">AL3-AI3</f>
        <v>1.0524776477985163E-2</v>
      </c>
    </row>
    <row r="4" spans="2:40" ht="13.5" customHeight="1">
      <c r="H4" s="1204" t="s">
        <v>703</v>
      </c>
      <c r="I4" s="1205"/>
      <c r="S4" s="289">
        <v>43647</v>
      </c>
      <c r="T4" s="289">
        <v>31.360001</v>
      </c>
      <c r="U4" s="289">
        <v>32.380001</v>
      </c>
      <c r="V4" s="289">
        <v>29.35</v>
      </c>
      <c r="W4" s="289">
        <v>29.91</v>
      </c>
      <c r="X4" s="289">
        <v>27.940608999999998</v>
      </c>
      <c r="Y4" s="289">
        <v>201366700</v>
      </c>
      <c r="Z4" s="289">
        <v>-1.2545418298237299E-2</v>
      </c>
      <c r="AA4" s="290">
        <v>-1.2545418298237299E-2</v>
      </c>
      <c r="AB4" s="290">
        <f t="shared" si="0"/>
        <v>-1.9533842560761287E-2</v>
      </c>
      <c r="AC4" s="290">
        <f t="shared" si="1"/>
        <v>-1.9725876411641668E-2</v>
      </c>
      <c r="AE4" s="289">
        <v>201906</v>
      </c>
      <c r="AF4" s="290">
        <v>6.93E-2</v>
      </c>
      <c r="AG4" s="290">
        <v>2.8999999999999998E-3</v>
      </c>
      <c r="AH4" s="290">
        <v>-7.0999999999999995E-3</v>
      </c>
      <c r="AI4" s="290">
        <v>1.8E-3</v>
      </c>
      <c r="AJ4" s="290">
        <v>-1.2545418298237299E-2</v>
      </c>
      <c r="AK4" s="290">
        <f t="shared" si="2"/>
        <v>-1.4345418298237298E-2</v>
      </c>
      <c r="AL4" s="290">
        <v>-1.9533842560761287E-2</v>
      </c>
      <c r="AM4" s="290">
        <v>-1.9725876411641668E-2</v>
      </c>
      <c r="AN4" s="290">
        <f t="shared" si="3"/>
        <v>-2.1333842560761287E-2</v>
      </c>
    </row>
    <row r="5" spans="2:40" ht="13.5" customHeight="1">
      <c r="C5" s="15" t="s">
        <v>695</v>
      </c>
      <c r="D5" s="15" t="s">
        <v>704</v>
      </c>
      <c r="E5" s="15" t="s">
        <v>705</v>
      </c>
      <c r="F5" s="15" t="s">
        <v>698</v>
      </c>
      <c r="H5" s="289" t="s">
        <v>706</v>
      </c>
      <c r="I5" s="289">
        <v>0.38507657259732758</v>
      </c>
      <c r="S5" s="289">
        <v>43678</v>
      </c>
      <c r="T5" s="289">
        <v>29.91</v>
      </c>
      <c r="U5" s="289">
        <v>32.279998999999997</v>
      </c>
      <c r="V5" s="289">
        <v>25.77</v>
      </c>
      <c r="W5" s="289">
        <v>30.5</v>
      </c>
      <c r="X5" s="289">
        <v>28.491762000000001</v>
      </c>
      <c r="Y5" s="289">
        <v>372145400</v>
      </c>
      <c r="Z5" s="289">
        <v>1.9725876411641696E-2</v>
      </c>
      <c r="AA5" s="290">
        <v>1.9725876411641696E-2</v>
      </c>
      <c r="AB5" s="290">
        <f t="shared" si="0"/>
        <v>7.8050213989640738E-2</v>
      </c>
      <c r="AC5" s="290">
        <f t="shared" si="1"/>
        <v>7.5082018444489348E-2</v>
      </c>
      <c r="AE5" s="289">
        <v>201907</v>
      </c>
      <c r="AF5" s="290">
        <v>1.1899999999999999E-2</v>
      </c>
      <c r="AG5" s="290">
        <v>-1.9299999999999998E-2</v>
      </c>
      <c r="AH5" s="290">
        <v>4.7999999999999996E-3</v>
      </c>
      <c r="AI5" s="290">
        <v>1.9E-3</v>
      </c>
      <c r="AJ5" s="290">
        <v>1.9725876411641696E-2</v>
      </c>
      <c r="AK5" s="290">
        <f t="shared" si="2"/>
        <v>1.7825876411641697E-2</v>
      </c>
      <c r="AL5" s="290">
        <v>7.8050213989640738E-2</v>
      </c>
      <c r="AM5" s="290">
        <v>7.5082018444489348E-2</v>
      </c>
      <c r="AN5" s="290">
        <f t="shared" si="3"/>
        <v>7.6150213989640739E-2</v>
      </c>
    </row>
    <row r="6" spans="2:40" ht="13.5" customHeight="1">
      <c r="B6" s="137">
        <v>192607</v>
      </c>
      <c r="C6" s="137">
        <v>2.96</v>
      </c>
      <c r="D6" s="137">
        <v>-2.56</v>
      </c>
      <c r="E6" s="137">
        <v>-2.4300000000000002</v>
      </c>
      <c r="F6" s="137">
        <v>0.22</v>
      </c>
      <c r="H6" s="289" t="s">
        <v>707</v>
      </c>
      <c r="I6" s="289">
        <v>0.14828396676330491</v>
      </c>
      <c r="S6" s="289">
        <v>43709</v>
      </c>
      <c r="T6" s="289">
        <v>30.1</v>
      </c>
      <c r="U6" s="289">
        <v>32</v>
      </c>
      <c r="V6" s="289">
        <v>27.469999000000001</v>
      </c>
      <c r="W6" s="289">
        <v>28.209999</v>
      </c>
      <c r="X6" s="289">
        <v>26.352543000000001</v>
      </c>
      <c r="Y6" s="289">
        <v>216100900</v>
      </c>
      <c r="Z6" s="289">
        <v>-7.5082018444489362E-2</v>
      </c>
      <c r="AA6" s="290">
        <v>-7.5082018444489362E-2</v>
      </c>
      <c r="AB6" s="290">
        <f t="shared" si="0"/>
        <v>-9.9137758934025877E-2</v>
      </c>
      <c r="AC6" s="290">
        <f t="shared" si="1"/>
        <v>-0.1042184050321064</v>
      </c>
      <c r="AE6" s="289">
        <v>201908</v>
      </c>
      <c r="AF6" s="290">
        <v>-2.58E-2</v>
      </c>
      <c r="AG6" s="290">
        <v>-2.3799999999999998E-2</v>
      </c>
      <c r="AH6" s="290">
        <v>-4.7800000000000002E-2</v>
      </c>
      <c r="AI6" s="290">
        <v>1.6000000000000001E-3</v>
      </c>
      <c r="AJ6" s="290">
        <v>-7.5082018444489362E-2</v>
      </c>
      <c r="AK6" s="290">
        <f t="shared" si="2"/>
        <v>-7.6682018444489367E-2</v>
      </c>
      <c r="AL6" s="290">
        <v>-9.9137758934025877E-2</v>
      </c>
      <c r="AM6" s="290">
        <v>-0.1042184050321064</v>
      </c>
      <c r="AN6" s="290">
        <f t="shared" si="3"/>
        <v>-0.10073775893402588</v>
      </c>
    </row>
    <row r="7" spans="2:40" ht="13.5" customHeight="1">
      <c r="B7" s="137">
        <v>192608</v>
      </c>
      <c r="C7" s="137">
        <v>2.64</v>
      </c>
      <c r="D7" s="137">
        <v>-1.17</v>
      </c>
      <c r="E7" s="137">
        <v>3.82</v>
      </c>
      <c r="F7" s="137">
        <v>0.25</v>
      </c>
      <c r="H7" s="289" t="s">
        <v>708</v>
      </c>
      <c r="I7" s="289">
        <v>9.9146503307341732E-2</v>
      </c>
      <c r="S7" s="289">
        <v>43739</v>
      </c>
      <c r="T7" s="289">
        <v>28.219999000000001</v>
      </c>
      <c r="U7" s="289">
        <v>31.950001</v>
      </c>
      <c r="V7" s="289">
        <v>27.530000999999999</v>
      </c>
      <c r="W7" s="289">
        <v>31.15</v>
      </c>
      <c r="X7" s="289">
        <v>29.098963000000001</v>
      </c>
      <c r="Y7" s="289">
        <v>216152200</v>
      </c>
      <c r="Z7" s="289">
        <v>0.10421840503210644</v>
      </c>
      <c r="AA7" s="290">
        <v>0.10421840503210644</v>
      </c>
      <c r="AB7" s="290">
        <f t="shared" si="0"/>
        <v>-4.7030637591925807E-2</v>
      </c>
      <c r="AC7" s="290">
        <f t="shared" si="1"/>
        <v>-4.8154121505979433E-2</v>
      </c>
      <c r="AE7" s="289">
        <v>201909</v>
      </c>
      <c r="AF7" s="290">
        <v>1.43E-2</v>
      </c>
      <c r="AG7" s="290">
        <v>-9.5999999999999992E-3</v>
      </c>
      <c r="AH7" s="290">
        <v>6.7500000000000004E-2</v>
      </c>
      <c r="AI7" s="290">
        <v>1.8E-3</v>
      </c>
      <c r="AJ7" s="290">
        <v>0.10421840503210644</v>
      </c>
      <c r="AK7" s="290">
        <f t="shared" si="2"/>
        <v>0.10241840503210645</v>
      </c>
      <c r="AL7" s="290">
        <v>-4.7030637591925807E-2</v>
      </c>
      <c r="AM7" s="290">
        <v>-4.8154121505979433E-2</v>
      </c>
      <c r="AN7" s="290">
        <f t="shared" si="3"/>
        <v>-4.883063759192581E-2</v>
      </c>
    </row>
    <row r="8" spans="2:40" ht="13.5" customHeight="1">
      <c r="B8" s="137">
        <v>192609</v>
      </c>
      <c r="C8" s="137">
        <v>0.36</v>
      </c>
      <c r="D8" s="137">
        <v>-1.4</v>
      </c>
      <c r="E8" s="137">
        <v>0.13</v>
      </c>
      <c r="F8" s="137">
        <v>0.23</v>
      </c>
      <c r="H8" s="289" t="s">
        <v>709</v>
      </c>
      <c r="I8" s="289">
        <v>0.12863095286537798</v>
      </c>
      <c r="S8" s="289">
        <v>43770</v>
      </c>
      <c r="T8" s="289">
        <v>31.639999</v>
      </c>
      <c r="U8" s="289">
        <v>35.43</v>
      </c>
      <c r="V8" s="289">
        <v>31.17</v>
      </c>
      <c r="W8" s="289">
        <v>32.650002000000001</v>
      </c>
      <c r="X8" s="289">
        <v>30.500198000000001</v>
      </c>
      <c r="Y8" s="289">
        <v>246351400</v>
      </c>
      <c r="Z8" s="289">
        <v>4.815412150597953E-2</v>
      </c>
      <c r="AA8" s="290">
        <v>4.815412150597953E-2</v>
      </c>
      <c r="AB8" s="290">
        <f t="shared" si="0"/>
        <v>-7.6052989458274919E-2</v>
      </c>
      <c r="AC8" s="290">
        <f t="shared" si="1"/>
        <v>-7.90197493144143E-2</v>
      </c>
      <c r="AE8" s="289">
        <v>201910</v>
      </c>
      <c r="AF8" s="290">
        <v>2.06E-2</v>
      </c>
      <c r="AG8" s="290">
        <v>2.8999999999999998E-3</v>
      </c>
      <c r="AH8" s="290">
        <v>-1.9099999999999999E-2</v>
      </c>
      <c r="AI8" s="290">
        <v>1.6000000000000001E-3</v>
      </c>
      <c r="AJ8" s="290">
        <v>4.815412150597953E-2</v>
      </c>
      <c r="AK8" s="290">
        <f t="shared" si="2"/>
        <v>4.6554121505979533E-2</v>
      </c>
      <c r="AL8" s="290">
        <v>-7.6052989458274919E-2</v>
      </c>
      <c r="AM8" s="290">
        <v>-7.90197493144143E-2</v>
      </c>
      <c r="AN8" s="290">
        <f t="shared" si="3"/>
        <v>-7.7652989458274924E-2</v>
      </c>
    </row>
    <row r="9" spans="2:40" ht="13.5" customHeight="1">
      <c r="B9" s="137">
        <v>192610</v>
      </c>
      <c r="C9" s="137">
        <v>-3.24</v>
      </c>
      <c r="D9" s="137">
        <v>-0.09</v>
      </c>
      <c r="E9" s="137">
        <v>0.7</v>
      </c>
      <c r="F9" s="137">
        <v>0.32</v>
      </c>
      <c r="H9" s="292" t="s">
        <v>710</v>
      </c>
      <c r="I9" s="292">
        <v>56</v>
      </c>
      <c r="S9" s="289">
        <v>43800</v>
      </c>
      <c r="T9" s="289">
        <v>32.689999</v>
      </c>
      <c r="U9" s="289">
        <v>36.799999</v>
      </c>
      <c r="V9" s="289">
        <v>30.84</v>
      </c>
      <c r="W9" s="289">
        <v>35.229999999999997</v>
      </c>
      <c r="X9" s="289">
        <v>32.910316000000002</v>
      </c>
      <c r="Y9" s="289">
        <v>193520700</v>
      </c>
      <c r="Z9" s="289">
        <v>7.9019749314414245E-2</v>
      </c>
      <c r="AA9" s="290">
        <v>7.9019749314414245E-2</v>
      </c>
      <c r="AB9" s="290">
        <f t="shared" si="0"/>
        <v>-6.7496821504474877E-2</v>
      </c>
      <c r="AC9" s="290">
        <f t="shared" si="1"/>
        <v>-6.9826859152613358E-2</v>
      </c>
      <c r="AE9" s="289">
        <v>201911</v>
      </c>
      <c r="AF9" s="290">
        <v>3.8699999999999998E-2</v>
      </c>
      <c r="AG9" s="290">
        <v>7.7000000000000002E-3</v>
      </c>
      <c r="AH9" s="290">
        <v>-2.0199999999999999E-2</v>
      </c>
      <c r="AI9" s="290">
        <v>1.1999999999999999E-3</v>
      </c>
      <c r="AJ9" s="290">
        <v>7.9019749314414245E-2</v>
      </c>
      <c r="AK9" s="290">
        <f t="shared" si="2"/>
        <v>7.7819749314414238E-2</v>
      </c>
      <c r="AL9" s="290">
        <v>-6.7496821504474877E-2</v>
      </c>
      <c r="AM9" s="290">
        <v>-6.9826859152613358E-2</v>
      </c>
      <c r="AN9" s="290">
        <f t="shared" si="3"/>
        <v>-6.8696821504474884E-2</v>
      </c>
    </row>
    <row r="10" spans="2:40" ht="13.5" customHeight="1">
      <c r="B10" s="137">
        <v>192611</v>
      </c>
      <c r="C10" s="137">
        <v>2.5299999999999998</v>
      </c>
      <c r="D10" s="137">
        <v>-0.1</v>
      </c>
      <c r="E10" s="137">
        <v>-0.51</v>
      </c>
      <c r="F10" s="137">
        <v>0.31</v>
      </c>
      <c r="S10" s="289">
        <v>43831</v>
      </c>
      <c r="T10" s="289">
        <v>35.959999000000003</v>
      </c>
      <c r="U10" s="289">
        <v>42</v>
      </c>
      <c r="V10" s="289">
        <v>35.900002000000001</v>
      </c>
      <c r="W10" s="289">
        <v>37.689999</v>
      </c>
      <c r="X10" s="289">
        <v>35.20834</v>
      </c>
      <c r="Y10" s="289">
        <v>283098700</v>
      </c>
      <c r="Z10" s="289">
        <v>6.9826859152613441E-2</v>
      </c>
      <c r="AA10" s="290">
        <v>6.9826859152613441E-2</v>
      </c>
      <c r="AB10" s="290">
        <f t="shared" si="0"/>
        <v>-2.1523198149029449E-2</v>
      </c>
      <c r="AC10" s="290">
        <f t="shared" si="1"/>
        <v>-2.1756492921847535E-2</v>
      </c>
      <c r="AE10" s="289">
        <v>201912</v>
      </c>
      <c r="AF10" s="290">
        <v>2.7699999999999999E-2</v>
      </c>
      <c r="AG10" s="290">
        <v>7.3000000000000001E-3</v>
      </c>
      <c r="AH10" s="290">
        <v>1.7500000000000002E-2</v>
      </c>
      <c r="AI10" s="290">
        <v>1.4000000000000002E-3</v>
      </c>
      <c r="AJ10" s="290">
        <v>6.9826859152613441E-2</v>
      </c>
      <c r="AK10" s="290">
        <f t="shared" si="2"/>
        <v>6.8426859152613442E-2</v>
      </c>
      <c r="AL10" s="290">
        <v>-2.1523198149029449E-2</v>
      </c>
      <c r="AM10" s="290">
        <v>-2.1756492921847535E-2</v>
      </c>
      <c r="AN10" s="290">
        <f t="shared" si="3"/>
        <v>-2.2923198149029447E-2</v>
      </c>
    </row>
    <row r="11" spans="2:40" ht="13.5" customHeight="1">
      <c r="B11" s="137">
        <v>192612</v>
      </c>
      <c r="C11" s="137">
        <v>2.62</v>
      </c>
      <c r="D11" s="137">
        <v>-0.03</v>
      </c>
      <c r="E11" s="137">
        <v>-0.05</v>
      </c>
      <c r="F11" s="137">
        <v>0.28000000000000003</v>
      </c>
      <c r="H11" s="289" t="s">
        <v>711</v>
      </c>
      <c r="S11" s="289">
        <v>43862</v>
      </c>
      <c r="T11" s="289">
        <v>38</v>
      </c>
      <c r="U11" s="289">
        <v>43.09</v>
      </c>
      <c r="V11" s="289">
        <v>36.814999</v>
      </c>
      <c r="W11" s="289">
        <v>38.509998000000003</v>
      </c>
      <c r="X11" s="289">
        <v>35.974350000000001</v>
      </c>
      <c r="Y11" s="289">
        <v>250972100</v>
      </c>
      <c r="Z11" s="289">
        <v>2.1756492921847448E-2</v>
      </c>
      <c r="AA11" s="290">
        <v>2.1756492921847448E-2</v>
      </c>
      <c r="AB11" s="290">
        <f t="shared" si="0"/>
        <v>-5.0384117049929684E-2</v>
      </c>
      <c r="AC11" s="290">
        <f t="shared" si="1"/>
        <v>-5.1674985093545713E-2</v>
      </c>
      <c r="AE11" s="289">
        <v>202001</v>
      </c>
      <c r="AF11" s="290">
        <v>-1.1000000000000001E-3</v>
      </c>
      <c r="AG11" s="290">
        <v>-3.1099999999999999E-2</v>
      </c>
      <c r="AH11" s="290">
        <v>-6.25E-2</v>
      </c>
      <c r="AI11" s="290">
        <v>1.2999999999999999E-3</v>
      </c>
      <c r="AJ11" s="290">
        <v>2.1756492921847448E-2</v>
      </c>
      <c r="AK11" s="290">
        <f t="shared" si="2"/>
        <v>2.0456492921847449E-2</v>
      </c>
      <c r="AL11" s="290">
        <v>-5.0384117049929684E-2</v>
      </c>
      <c r="AM11" s="290">
        <v>-5.1674985093545713E-2</v>
      </c>
      <c r="AN11" s="290">
        <f t="shared" si="3"/>
        <v>-5.1684117049929687E-2</v>
      </c>
    </row>
    <row r="12" spans="2:40" ht="13.5" customHeight="1">
      <c r="B12" s="137">
        <v>192701</v>
      </c>
      <c r="C12" s="137">
        <v>-0.06</v>
      </c>
      <c r="D12" s="137">
        <v>-0.37</v>
      </c>
      <c r="E12" s="137">
        <v>4.54</v>
      </c>
      <c r="F12" s="137">
        <v>0.25</v>
      </c>
      <c r="H12" s="291"/>
      <c r="I12" s="291" t="s">
        <v>712</v>
      </c>
      <c r="J12" s="291" t="s">
        <v>713</v>
      </c>
      <c r="K12" s="291" t="s">
        <v>714</v>
      </c>
      <c r="L12" s="291" t="s">
        <v>715</v>
      </c>
      <c r="M12" s="291" t="s">
        <v>716</v>
      </c>
      <c r="S12" s="289">
        <v>43891</v>
      </c>
      <c r="T12" s="289">
        <v>41.380001</v>
      </c>
      <c r="U12" s="289">
        <v>45.34</v>
      </c>
      <c r="V12" s="289">
        <v>32.700001</v>
      </c>
      <c r="W12" s="289">
        <v>40.5</v>
      </c>
      <c r="X12" s="289">
        <v>37.833323999999998</v>
      </c>
      <c r="Y12" s="289">
        <v>521812300</v>
      </c>
      <c r="Z12" s="289">
        <v>5.1674985093545622E-2</v>
      </c>
      <c r="AA12" s="290">
        <v>5.1674985093545622E-2</v>
      </c>
      <c r="AB12" s="290">
        <f t="shared" si="0"/>
        <v>-6.222094885345885E-2</v>
      </c>
      <c r="AC12" s="290">
        <f t="shared" si="1"/>
        <v>-6.4197451960604945E-2</v>
      </c>
      <c r="AE12" s="289">
        <v>202002</v>
      </c>
      <c r="AF12" s="290">
        <v>-8.1300000000000011E-2</v>
      </c>
      <c r="AG12" s="290">
        <v>1.0700000000000001E-2</v>
      </c>
      <c r="AH12" s="290">
        <v>-3.8100000000000002E-2</v>
      </c>
      <c r="AI12" s="290">
        <v>1.1999999999999999E-3</v>
      </c>
      <c r="AJ12" s="290">
        <v>5.1674985093545622E-2</v>
      </c>
      <c r="AK12" s="290">
        <f t="shared" si="2"/>
        <v>5.0474985093545623E-2</v>
      </c>
      <c r="AL12" s="290">
        <v>-6.222094885345885E-2</v>
      </c>
      <c r="AM12" s="290">
        <v>-6.4197451960604945E-2</v>
      </c>
      <c r="AN12" s="290">
        <f t="shared" si="3"/>
        <v>-6.342094885345885E-2</v>
      </c>
    </row>
    <row r="13" spans="2:40" ht="13.5" customHeight="1">
      <c r="B13" s="137">
        <v>192702</v>
      </c>
      <c r="C13" s="137">
        <v>4.18</v>
      </c>
      <c r="D13" s="137">
        <v>0.04</v>
      </c>
      <c r="E13" s="137">
        <v>2.94</v>
      </c>
      <c r="F13" s="137">
        <v>0.26</v>
      </c>
      <c r="H13" s="289" t="s">
        <v>717</v>
      </c>
      <c r="I13" s="289">
        <v>3</v>
      </c>
      <c r="J13" s="289">
        <v>0.14979374883564089</v>
      </c>
      <c r="K13" s="289">
        <v>4.99312496118803E-2</v>
      </c>
      <c r="L13" s="289">
        <v>3.0177375129710646</v>
      </c>
      <c r="M13" s="289">
        <v>3.8004223535500065E-2</v>
      </c>
      <c r="S13" s="289">
        <v>43922</v>
      </c>
      <c r="T13" s="289">
        <v>39.909999999999997</v>
      </c>
      <c r="U13" s="289">
        <v>47.98</v>
      </c>
      <c r="V13" s="289">
        <v>39.255001</v>
      </c>
      <c r="W13" s="289">
        <v>43.099997999999999</v>
      </c>
      <c r="X13" s="289">
        <v>40.262127</v>
      </c>
      <c r="Y13" s="289">
        <v>333645700</v>
      </c>
      <c r="Z13" s="289">
        <v>6.4197451960605001E-2</v>
      </c>
      <c r="AA13" s="290">
        <v>6.4197451960605001E-2</v>
      </c>
      <c r="AB13" s="290">
        <f t="shared" si="0"/>
        <v>-0.23155358776980978</v>
      </c>
      <c r="AC13" s="290">
        <f t="shared" si="1"/>
        <v>-0.26055687519936543</v>
      </c>
      <c r="AE13" s="289">
        <v>202003</v>
      </c>
      <c r="AF13" s="290">
        <v>-0.13390000000000002</v>
      </c>
      <c r="AG13" s="290">
        <v>-4.8300000000000003E-2</v>
      </c>
      <c r="AH13" s="290">
        <v>-0.13869999999999999</v>
      </c>
      <c r="AI13" s="290">
        <v>1.2999999999999999E-3</v>
      </c>
      <c r="AJ13" s="290">
        <v>6.4197451960605001E-2</v>
      </c>
      <c r="AK13" s="290">
        <f t="shared" si="2"/>
        <v>6.2897451960605005E-2</v>
      </c>
      <c r="AL13" s="290">
        <v>-0.23155358776980978</v>
      </c>
      <c r="AM13" s="290">
        <v>-0.26055687519936543</v>
      </c>
      <c r="AN13" s="290">
        <f t="shared" si="3"/>
        <v>-0.23285358776980977</v>
      </c>
    </row>
    <row r="14" spans="2:40" ht="13.5" customHeight="1">
      <c r="B14" s="137">
        <v>192703</v>
      </c>
      <c r="C14" s="137">
        <v>0.13</v>
      </c>
      <c r="D14" s="137">
        <v>-1.65</v>
      </c>
      <c r="E14" s="137">
        <v>-2.61</v>
      </c>
      <c r="F14" s="137">
        <v>0.3</v>
      </c>
      <c r="H14" s="289" t="s">
        <v>718</v>
      </c>
      <c r="I14" s="289">
        <v>52</v>
      </c>
      <c r="J14" s="289">
        <v>0.86038794582286493</v>
      </c>
      <c r="K14" s="289">
        <v>1.6545922035055095E-2</v>
      </c>
      <c r="L14" s="289"/>
      <c r="M14" s="289"/>
      <c r="S14" s="289">
        <v>43952</v>
      </c>
      <c r="T14" s="289">
        <v>41.98</v>
      </c>
      <c r="U14" s="289">
        <v>56.5</v>
      </c>
      <c r="V14" s="289">
        <v>40.584999000000003</v>
      </c>
      <c r="W14" s="289">
        <v>54.330002</v>
      </c>
      <c r="X14" s="289">
        <v>50.752701000000002</v>
      </c>
      <c r="Y14" s="289">
        <v>380050000</v>
      </c>
      <c r="Z14" s="289">
        <v>0.26055687519936543</v>
      </c>
      <c r="AA14" s="290">
        <v>0.26055687519936543</v>
      </c>
      <c r="AB14" s="290">
        <f t="shared" si="0"/>
        <v>-0.10226357833324497</v>
      </c>
      <c r="AC14" s="290">
        <f t="shared" si="1"/>
        <v>-0.10767539248797806</v>
      </c>
      <c r="AE14" s="289">
        <v>202004</v>
      </c>
      <c r="AF14" s="290">
        <v>0.13650000000000001</v>
      </c>
      <c r="AG14" s="290">
        <v>2.4500000000000001E-2</v>
      </c>
      <c r="AH14" s="290">
        <v>-1.3300000000000001E-2</v>
      </c>
      <c r="AI14" s="290">
        <v>0</v>
      </c>
      <c r="AJ14" s="290">
        <v>0.26055687519936543</v>
      </c>
      <c r="AK14" s="290">
        <f t="shared" si="2"/>
        <v>0.26055687519936543</v>
      </c>
      <c r="AL14" s="290">
        <v>-0.10226357833324497</v>
      </c>
      <c r="AM14" s="290">
        <v>-0.10767539248797806</v>
      </c>
      <c r="AN14" s="290">
        <f t="shared" si="3"/>
        <v>-0.10226357833324497</v>
      </c>
    </row>
    <row r="15" spans="2:40" ht="13.5" customHeight="1">
      <c r="B15" s="137">
        <v>192704</v>
      </c>
      <c r="C15" s="137">
        <v>0.46</v>
      </c>
      <c r="D15" s="137">
        <v>0.3</v>
      </c>
      <c r="E15" s="137">
        <v>0.81</v>
      </c>
      <c r="F15" s="137">
        <v>0.25</v>
      </c>
      <c r="H15" s="292" t="s">
        <v>647</v>
      </c>
      <c r="I15" s="292">
        <v>55</v>
      </c>
      <c r="J15" s="292">
        <v>1.0101816946585058</v>
      </c>
      <c r="K15" s="292"/>
      <c r="L15" s="292"/>
      <c r="M15" s="292"/>
      <c r="S15" s="289">
        <v>43983</v>
      </c>
      <c r="T15" s="289">
        <v>54.200001</v>
      </c>
      <c r="U15" s="289">
        <v>62.419998</v>
      </c>
      <c r="V15" s="289">
        <v>53.380001</v>
      </c>
      <c r="W15" s="289">
        <v>60.18</v>
      </c>
      <c r="X15" s="289">
        <v>56.217517999999998</v>
      </c>
      <c r="Y15" s="289">
        <v>329676700</v>
      </c>
      <c r="Z15" s="289">
        <v>0.10767539248797808</v>
      </c>
      <c r="AA15" s="290">
        <v>0.10767539248797808</v>
      </c>
      <c r="AB15" s="290">
        <f t="shared" si="0"/>
        <v>-5.8256354380872531E-2</v>
      </c>
      <c r="AC15" s="290">
        <f t="shared" si="1"/>
        <v>-5.9986693115836286E-2</v>
      </c>
      <c r="AE15" s="289">
        <v>202005</v>
      </c>
      <c r="AF15" s="290">
        <v>5.5800000000000002E-2</v>
      </c>
      <c r="AG15" s="290">
        <v>2.4700000000000003E-2</v>
      </c>
      <c r="AH15" s="290">
        <v>-4.8799999999999996E-2</v>
      </c>
      <c r="AI15" s="290">
        <v>1E-4</v>
      </c>
      <c r="AJ15" s="290">
        <v>0.10767539248797808</v>
      </c>
      <c r="AK15" s="290">
        <f t="shared" si="2"/>
        <v>0.10757539248797808</v>
      </c>
      <c r="AL15" s="290">
        <v>-5.8256354380872531E-2</v>
      </c>
      <c r="AM15" s="290">
        <v>-5.9986693115836286E-2</v>
      </c>
      <c r="AN15" s="290">
        <f t="shared" si="3"/>
        <v>-5.8356354380872534E-2</v>
      </c>
    </row>
    <row r="16" spans="2:40" ht="13.5" customHeight="1">
      <c r="B16" s="137">
        <v>192705</v>
      </c>
      <c r="C16" s="137">
        <v>5.44</v>
      </c>
      <c r="D16" s="137">
        <v>1.53</v>
      </c>
      <c r="E16" s="137">
        <v>4.7300000000000004</v>
      </c>
      <c r="F16" s="137">
        <v>0.3</v>
      </c>
      <c r="S16" s="289">
        <v>44013</v>
      </c>
      <c r="T16" s="289">
        <v>60.164000999999999</v>
      </c>
      <c r="U16" s="289">
        <v>69.180000000000007</v>
      </c>
      <c r="V16" s="289">
        <v>58.759998000000003</v>
      </c>
      <c r="W16" s="289">
        <v>63.790000999999997</v>
      </c>
      <c r="X16" s="289">
        <v>59.589821000000001</v>
      </c>
      <c r="Y16" s="289">
        <v>241847400</v>
      </c>
      <c r="Z16" s="289">
        <v>5.9986693115836376E-2</v>
      </c>
      <c r="AA16" s="290">
        <v>5.9986693115836376E-2</v>
      </c>
      <c r="AB16" s="290">
        <f t="shared" si="0"/>
        <v>-0.20928398487645947</v>
      </c>
      <c r="AC16" s="290">
        <f t="shared" si="1"/>
        <v>-0.23279504397235892</v>
      </c>
      <c r="AE16" s="289">
        <v>202006</v>
      </c>
      <c r="AF16" s="290">
        <v>2.46E-2</v>
      </c>
      <c r="AG16" s="290">
        <v>2.69E-2</v>
      </c>
      <c r="AH16" s="290">
        <v>-2.2000000000000002E-2</v>
      </c>
      <c r="AI16" s="290">
        <v>1E-4</v>
      </c>
      <c r="AJ16" s="290">
        <v>5.9986693115836376E-2</v>
      </c>
      <c r="AK16" s="290">
        <f t="shared" si="2"/>
        <v>5.9886693115836373E-2</v>
      </c>
      <c r="AL16" s="290">
        <v>-0.20928398487645947</v>
      </c>
      <c r="AM16" s="290">
        <v>-0.23279504397235892</v>
      </c>
      <c r="AN16" s="290">
        <f t="shared" si="3"/>
        <v>-0.20938398487645946</v>
      </c>
    </row>
    <row r="17" spans="2:40" ht="13.5" customHeight="1">
      <c r="B17" s="137">
        <v>192706</v>
      </c>
      <c r="C17" s="137">
        <v>-2.34</v>
      </c>
      <c r="D17" s="137">
        <v>0.59</v>
      </c>
      <c r="E17" s="137">
        <v>-1.73</v>
      </c>
      <c r="F17" s="137">
        <v>0.26</v>
      </c>
      <c r="H17" s="291"/>
      <c r="I17" s="291" t="s">
        <v>719</v>
      </c>
      <c r="J17" s="291" t="s">
        <v>709</v>
      </c>
      <c r="K17" s="291" t="s">
        <v>720</v>
      </c>
      <c r="L17" s="291" t="s">
        <v>721</v>
      </c>
      <c r="M17" s="291" t="s">
        <v>722</v>
      </c>
      <c r="N17" s="291" t="s">
        <v>723</v>
      </c>
      <c r="O17" s="291" t="s">
        <v>724</v>
      </c>
      <c r="P17" s="291" t="s">
        <v>725</v>
      </c>
      <c r="S17" s="289">
        <v>44044</v>
      </c>
      <c r="T17" s="289">
        <v>64</v>
      </c>
      <c r="U17" s="289">
        <v>81.449996999999996</v>
      </c>
      <c r="V17" s="289">
        <v>59.900002000000001</v>
      </c>
      <c r="W17" s="289">
        <v>78.639999000000003</v>
      </c>
      <c r="X17" s="289">
        <v>73.462035999999998</v>
      </c>
      <c r="Y17" s="289">
        <v>296403400</v>
      </c>
      <c r="Z17" s="289">
        <v>0.23279504397235895</v>
      </c>
      <c r="AA17" s="290">
        <v>0.23279504397235895</v>
      </c>
      <c r="AB17" s="290">
        <f t="shared" si="0"/>
        <v>1.3184193912498371E-2</v>
      </c>
      <c r="AC17" s="290">
        <f t="shared" si="1"/>
        <v>1.3097663124937091E-2</v>
      </c>
      <c r="AE17" s="289">
        <v>202007</v>
      </c>
      <c r="AF17" s="290">
        <v>5.7699999999999994E-2</v>
      </c>
      <c r="AG17" s="290">
        <v>-2.3300000000000001E-2</v>
      </c>
      <c r="AH17" s="290">
        <v>-1.41E-2</v>
      </c>
      <c r="AI17" s="290">
        <v>1E-4</v>
      </c>
      <c r="AJ17" s="290">
        <v>0.23279504397235895</v>
      </c>
      <c r="AK17" s="290">
        <f t="shared" si="2"/>
        <v>0.23269504397235896</v>
      </c>
      <c r="AL17" s="290">
        <v>1.3184193912498371E-2</v>
      </c>
      <c r="AM17" s="290">
        <v>1.3097663124937091E-2</v>
      </c>
      <c r="AN17" s="290">
        <f t="shared" si="3"/>
        <v>1.3084193912498371E-2</v>
      </c>
    </row>
    <row r="18" spans="2:40" ht="13.5" customHeight="1">
      <c r="B18" s="137">
        <v>192707</v>
      </c>
      <c r="C18" s="137">
        <v>7.26</v>
      </c>
      <c r="D18" s="137">
        <v>-3.25</v>
      </c>
      <c r="E18" s="137">
        <v>-1.1399999999999999</v>
      </c>
      <c r="F18" s="137">
        <v>0.3</v>
      </c>
      <c r="H18" s="289" t="s">
        <v>726</v>
      </c>
      <c r="I18" s="289">
        <v>-3.3318235484634216E-3</v>
      </c>
      <c r="J18" s="289">
        <v>1.7495838554634706E-2</v>
      </c>
      <c r="K18" s="289">
        <v>-0.19043520195154123</v>
      </c>
      <c r="L18" s="289">
        <v>0.84970963550865963</v>
      </c>
      <c r="M18" s="289">
        <v>-3.8439792085996224E-2</v>
      </c>
      <c r="N18" s="289">
        <v>3.1776144989069374E-2</v>
      </c>
      <c r="O18" s="289">
        <v>-3.8439792085996224E-2</v>
      </c>
      <c r="P18" s="289">
        <v>3.1776144989069374E-2</v>
      </c>
      <c r="S18" s="289">
        <v>44075</v>
      </c>
      <c r="T18" s="289">
        <v>79.489998</v>
      </c>
      <c r="U18" s="289">
        <v>86.580001999999993</v>
      </c>
      <c r="V18" s="289">
        <v>71.760002</v>
      </c>
      <c r="W18" s="289">
        <v>77.610000999999997</v>
      </c>
      <c r="X18" s="289">
        <v>72.499854999999997</v>
      </c>
      <c r="Y18" s="289">
        <v>230318200</v>
      </c>
      <c r="Z18" s="289">
        <v>-1.3097663124937098E-2</v>
      </c>
      <c r="AA18" s="290">
        <v>-1.3097663124937098E-2</v>
      </c>
      <c r="AB18" s="290">
        <f t="shared" si="0"/>
        <v>-4.9152099386979883E-2</v>
      </c>
      <c r="AC18" s="290">
        <f t="shared" si="1"/>
        <v>-5.0380100760201593E-2</v>
      </c>
      <c r="AE18" s="289">
        <v>202008</v>
      </c>
      <c r="AF18" s="290">
        <v>7.6299999999999993E-2</v>
      </c>
      <c r="AG18" s="290">
        <v>-2.2000000000000001E-3</v>
      </c>
      <c r="AH18" s="290">
        <v>-2.9700000000000001E-2</v>
      </c>
      <c r="AI18" s="290">
        <v>1E-4</v>
      </c>
      <c r="AJ18" s="290">
        <v>-1.3097663124937098E-2</v>
      </c>
      <c r="AK18" s="290">
        <f t="shared" si="2"/>
        <v>-1.3197663124937097E-2</v>
      </c>
      <c r="AL18" s="290">
        <v>-4.9152099386979883E-2</v>
      </c>
      <c r="AM18" s="290">
        <v>-5.0380100760201593E-2</v>
      </c>
      <c r="AN18" s="290">
        <f t="shared" si="3"/>
        <v>-4.9252099386979886E-2</v>
      </c>
    </row>
    <row r="19" spans="2:40" ht="13.5" customHeight="1">
      <c r="B19" s="137">
        <v>192708</v>
      </c>
      <c r="C19" s="137">
        <v>1.97</v>
      </c>
      <c r="D19" s="137">
        <v>-0.69</v>
      </c>
      <c r="E19" s="137">
        <v>-3.74</v>
      </c>
      <c r="F19" s="137">
        <v>0.28000000000000003</v>
      </c>
      <c r="H19" s="289" t="s">
        <v>695</v>
      </c>
      <c r="I19" s="288">
        <v>0.58831329395513488</v>
      </c>
      <c r="J19" s="289">
        <v>0.32499178231073123</v>
      </c>
      <c r="K19" s="289">
        <v>1.8102405229207814</v>
      </c>
      <c r="L19" s="289">
        <v>7.6038449443918632E-2</v>
      </c>
      <c r="M19" s="289">
        <v>-6.3830427689996916E-2</v>
      </c>
      <c r="N19" s="289">
        <v>1.2404570156002666</v>
      </c>
      <c r="O19" s="289">
        <v>-6.3830427689996916E-2</v>
      </c>
      <c r="P19" s="289">
        <v>1.2404570156002666</v>
      </c>
      <c r="S19" s="289">
        <v>44105</v>
      </c>
      <c r="T19" s="289">
        <v>78.75</v>
      </c>
      <c r="U19" s="289">
        <v>85.385002</v>
      </c>
      <c r="V19" s="289">
        <v>75.589995999999999</v>
      </c>
      <c r="W19" s="289">
        <v>81.519997000000004</v>
      </c>
      <c r="X19" s="289">
        <v>76.152405000000002</v>
      </c>
      <c r="Y19" s="289">
        <v>214374700</v>
      </c>
      <c r="Z19" s="289">
        <v>5.0380100760201607E-2</v>
      </c>
      <c r="AA19" s="290">
        <v>5.0380100760201607E-2</v>
      </c>
      <c r="AB19" s="290">
        <f t="shared" si="0"/>
        <v>-4.5912087289145462E-2</v>
      </c>
      <c r="AC19" s="290">
        <f t="shared" si="1"/>
        <v>-4.6982363853117999E-2</v>
      </c>
      <c r="AE19" s="289">
        <v>202009</v>
      </c>
      <c r="AF19" s="290">
        <v>-3.6299999999999999E-2</v>
      </c>
      <c r="AG19" s="290">
        <v>2.0000000000000001E-4</v>
      </c>
      <c r="AH19" s="290">
        <v>-2.7099999999999999E-2</v>
      </c>
      <c r="AI19" s="290">
        <v>1E-4</v>
      </c>
      <c r="AJ19" s="290">
        <v>5.0380100760201607E-2</v>
      </c>
      <c r="AK19" s="290">
        <f t="shared" si="2"/>
        <v>5.0280100760201604E-2</v>
      </c>
      <c r="AL19" s="290">
        <v>-4.5912087289145462E-2</v>
      </c>
      <c r="AM19" s="290">
        <v>-4.6982363853117999E-2</v>
      </c>
      <c r="AN19" s="290">
        <f t="shared" si="3"/>
        <v>-4.6012087289145465E-2</v>
      </c>
    </row>
    <row r="20" spans="2:40" ht="13.5" customHeight="1">
      <c r="B20" s="137">
        <v>192709</v>
      </c>
      <c r="C20" s="137">
        <v>4.76</v>
      </c>
      <c r="D20" s="137">
        <v>-3.63</v>
      </c>
      <c r="E20" s="137">
        <v>-0.63</v>
      </c>
      <c r="F20" s="137">
        <v>0.21</v>
      </c>
      <c r="H20" s="289" t="s">
        <v>696</v>
      </c>
      <c r="I20" s="289">
        <v>-0.43378143865079122</v>
      </c>
      <c r="J20" s="289">
        <v>0.62339604589512698</v>
      </c>
      <c r="K20" s="289">
        <v>-0.69583604436876012</v>
      </c>
      <c r="L20" s="289">
        <v>0.48962991622861685</v>
      </c>
      <c r="M20" s="289">
        <v>-1.684717122434336</v>
      </c>
      <c r="N20" s="289">
        <v>0.81715424513275359</v>
      </c>
      <c r="O20" s="289">
        <v>-1.684717122434336</v>
      </c>
      <c r="P20" s="289">
        <v>0.81715424513275359</v>
      </c>
      <c r="S20" s="289">
        <v>44136</v>
      </c>
      <c r="T20" s="289">
        <v>82.839995999999999</v>
      </c>
      <c r="U20" s="289">
        <v>92.769997000000004</v>
      </c>
      <c r="V20" s="289">
        <v>78.180999999999997</v>
      </c>
      <c r="W20" s="289">
        <v>85.349997999999999</v>
      </c>
      <c r="X20" s="289">
        <v>79.730225000000004</v>
      </c>
      <c r="Y20" s="289">
        <v>321503100</v>
      </c>
      <c r="Z20" s="289">
        <v>4.6982363853117937E-2</v>
      </c>
      <c r="AA20" s="290">
        <v>4.6982363853117937E-2</v>
      </c>
      <c r="AB20" s="290">
        <f t="shared" si="0"/>
        <v>-2.943941499447621E-2</v>
      </c>
      <c r="AC20" s="290">
        <f t="shared" si="1"/>
        <v>-2.9877038475684729E-2</v>
      </c>
      <c r="AE20" s="289">
        <v>202010</v>
      </c>
      <c r="AF20" s="290">
        <v>-2.1000000000000001E-2</v>
      </c>
      <c r="AG20" s="290">
        <v>4.3799999999999999E-2</v>
      </c>
      <c r="AH20" s="290">
        <v>4.2500000000000003E-2</v>
      </c>
      <c r="AI20" s="290">
        <v>1E-4</v>
      </c>
      <c r="AJ20" s="290">
        <v>4.6982363853117937E-2</v>
      </c>
      <c r="AK20" s="290">
        <f t="shared" si="2"/>
        <v>4.6882363853117934E-2</v>
      </c>
      <c r="AL20" s="290">
        <v>-2.943941499447621E-2</v>
      </c>
      <c r="AM20" s="290">
        <v>-2.9877038475684729E-2</v>
      </c>
      <c r="AN20" s="290">
        <f t="shared" si="3"/>
        <v>-2.953941499447621E-2</v>
      </c>
    </row>
    <row r="21" spans="2:40" ht="13.5" customHeight="1">
      <c r="B21" s="137">
        <v>192710</v>
      </c>
      <c r="C21" s="137">
        <v>-4.3099999999999996</v>
      </c>
      <c r="D21" s="137">
        <v>2.12</v>
      </c>
      <c r="E21" s="137">
        <v>-4.33</v>
      </c>
      <c r="F21" s="137">
        <v>0.25</v>
      </c>
      <c r="H21" s="292" t="s">
        <v>697</v>
      </c>
      <c r="I21" s="292">
        <v>0.83602857736342284</v>
      </c>
      <c r="J21" s="292">
        <v>0.360684065820911</v>
      </c>
      <c r="K21" s="292">
        <v>2.3178971753593705</v>
      </c>
      <c r="L21" s="292">
        <v>2.4423223915489584E-2</v>
      </c>
      <c r="M21" s="292">
        <v>0.11226304904723283</v>
      </c>
      <c r="N21" s="292">
        <v>1.5597941056796127</v>
      </c>
      <c r="O21" s="292">
        <v>0.11226304904723283</v>
      </c>
      <c r="P21" s="292">
        <v>1.5597941056796127</v>
      </c>
      <c r="S21" s="289">
        <v>44166</v>
      </c>
      <c r="T21" s="289">
        <v>86.254997000000003</v>
      </c>
      <c r="U21" s="289">
        <v>89.559997999999993</v>
      </c>
      <c r="V21" s="289">
        <v>79.069999999999993</v>
      </c>
      <c r="W21" s="289">
        <v>87.900002000000001</v>
      </c>
      <c r="X21" s="289">
        <v>82.112328000000005</v>
      </c>
      <c r="Y21" s="289">
        <v>234284800</v>
      </c>
      <c r="Z21" s="289">
        <v>2.9877038475684792E-2</v>
      </c>
      <c r="AA21" s="290">
        <v>2.9877038475684792E-2</v>
      </c>
      <c r="AB21" s="290">
        <f t="shared" si="0"/>
        <v>-8.947249618444196E-3</v>
      </c>
      <c r="AC21" s="290">
        <f t="shared" si="1"/>
        <v>-8.987395899918817E-3</v>
      </c>
      <c r="AE21" s="289">
        <v>202011</v>
      </c>
      <c r="AF21" s="290">
        <v>0.12470000000000001</v>
      </c>
      <c r="AG21" s="290">
        <v>5.7999999999999996E-2</v>
      </c>
      <c r="AH21" s="290">
        <v>2.0899999999999998E-2</v>
      </c>
      <c r="AI21" s="290">
        <v>1E-4</v>
      </c>
      <c r="AJ21" s="290">
        <v>2.9877038475684792E-2</v>
      </c>
      <c r="AK21" s="290">
        <f t="shared" si="2"/>
        <v>2.9777038475684792E-2</v>
      </c>
      <c r="AL21" s="290">
        <v>-8.947249618444196E-3</v>
      </c>
      <c r="AM21" s="290">
        <v>-8.987395899918817E-3</v>
      </c>
      <c r="AN21" s="290">
        <f t="shared" si="3"/>
        <v>-9.0472496184441954E-3</v>
      </c>
    </row>
    <row r="22" spans="2:40" ht="13.5" customHeight="1">
      <c r="B22" s="137">
        <v>192711</v>
      </c>
      <c r="C22" s="137">
        <v>6.58</v>
      </c>
      <c r="D22" s="137">
        <v>2.72</v>
      </c>
      <c r="E22" s="137">
        <v>-0.27</v>
      </c>
      <c r="F22" s="137">
        <v>0.21</v>
      </c>
      <c r="S22" s="289">
        <v>44197</v>
      </c>
      <c r="T22" s="289">
        <v>87.559997999999993</v>
      </c>
      <c r="U22" s="289">
        <v>101.68</v>
      </c>
      <c r="V22" s="289">
        <v>85.160004000000001</v>
      </c>
      <c r="W22" s="289">
        <v>88.690002000000007</v>
      </c>
      <c r="X22" s="289">
        <v>82.850303999999994</v>
      </c>
      <c r="Y22" s="289">
        <v>236600900</v>
      </c>
      <c r="Z22" s="289">
        <v>8.9873958999189263E-3</v>
      </c>
      <c r="AA22" s="290">
        <v>8.9873958999189263E-3</v>
      </c>
      <c r="AB22" s="290">
        <f t="shared" si="0"/>
        <v>-5.6763787711288996E-2</v>
      </c>
      <c r="AC22" s="290">
        <f t="shared" si="1"/>
        <v>-5.8405772415753648E-2</v>
      </c>
      <c r="AE22" s="289">
        <v>202012</v>
      </c>
      <c r="AF22" s="290">
        <v>4.6300000000000001E-2</v>
      </c>
      <c r="AG22" s="290">
        <v>4.8899999999999999E-2</v>
      </c>
      <c r="AH22" s="290">
        <v>-1.5100000000000001E-2</v>
      </c>
      <c r="AI22" s="290">
        <v>1E-4</v>
      </c>
      <c r="AJ22" s="290">
        <v>8.9873958999189263E-3</v>
      </c>
      <c r="AK22" s="290">
        <f t="shared" si="2"/>
        <v>8.8873958999189269E-3</v>
      </c>
      <c r="AL22" s="290">
        <v>-5.6763787711288996E-2</v>
      </c>
      <c r="AM22" s="290">
        <v>-5.8405772415753648E-2</v>
      </c>
      <c r="AN22" s="290">
        <f t="shared" si="3"/>
        <v>-5.6863787711288999E-2</v>
      </c>
    </row>
    <row r="23" spans="2:40" ht="13.5" customHeight="1">
      <c r="B23" s="137">
        <v>192712</v>
      </c>
      <c r="C23" s="137">
        <v>2.09</v>
      </c>
      <c r="D23" s="137">
        <v>0.97</v>
      </c>
      <c r="E23" s="137">
        <v>-1.1299999999999999</v>
      </c>
      <c r="F23" s="137">
        <v>0.22</v>
      </c>
      <c r="S23" s="289">
        <v>44228</v>
      </c>
      <c r="T23" s="289">
        <v>90.150002000000001</v>
      </c>
      <c r="U23" s="289">
        <v>108.290001</v>
      </c>
      <c r="V23" s="289">
        <v>89.084998999999996</v>
      </c>
      <c r="W23" s="289">
        <v>93.870002999999997</v>
      </c>
      <c r="X23" s="289">
        <v>87.689239999999998</v>
      </c>
      <c r="Y23" s="289">
        <v>167354800</v>
      </c>
      <c r="Z23" s="289">
        <v>5.8405772415753621E-2</v>
      </c>
      <c r="AA23" s="290">
        <v>5.8405772415753621E-2</v>
      </c>
      <c r="AB23" s="290">
        <f t="shared" si="0"/>
        <v>0.10717317410112284</v>
      </c>
      <c r="AC23" s="290">
        <f t="shared" si="1"/>
        <v>0.10162991491316382</v>
      </c>
      <c r="AE23" s="289">
        <v>202101</v>
      </c>
      <c r="AF23" s="290">
        <v>-2.9999999999999997E-4</v>
      </c>
      <c r="AG23" s="290">
        <v>7.3599999999999999E-2</v>
      </c>
      <c r="AH23" s="290">
        <v>3.0099999999999998E-2</v>
      </c>
      <c r="AI23" s="290">
        <v>1E-4</v>
      </c>
      <c r="AJ23" s="290">
        <v>5.8405772415753621E-2</v>
      </c>
      <c r="AK23" s="290">
        <f t="shared" si="2"/>
        <v>5.8305772415753618E-2</v>
      </c>
      <c r="AL23" s="290">
        <v>0.10717317410112284</v>
      </c>
      <c r="AM23" s="290">
        <v>0.10162991491316382</v>
      </c>
      <c r="AN23" s="290">
        <f t="shared" si="3"/>
        <v>0.10707317410112284</v>
      </c>
    </row>
    <row r="24" spans="2:40" ht="13.5" customHeight="1">
      <c r="B24" s="137">
        <v>192801</v>
      </c>
      <c r="C24" s="137">
        <v>-0.68</v>
      </c>
      <c r="D24" s="137">
        <v>4.26</v>
      </c>
      <c r="E24" s="137">
        <v>-0.75</v>
      </c>
      <c r="F24" s="137">
        <v>0.25</v>
      </c>
      <c r="S24" s="289">
        <v>44256</v>
      </c>
      <c r="T24" s="289">
        <v>96.730002999999996</v>
      </c>
      <c r="U24" s="289">
        <v>98.699996999999996</v>
      </c>
      <c r="V24" s="289">
        <v>76.110000999999997</v>
      </c>
      <c r="W24" s="289">
        <v>84.330001999999993</v>
      </c>
      <c r="X24" s="289">
        <v>78.777389999999997</v>
      </c>
      <c r="Y24" s="289">
        <v>300389700</v>
      </c>
      <c r="Z24" s="289">
        <v>-0.10162991491316387</v>
      </c>
      <c r="AA24" s="290">
        <v>-0.10162991491316387</v>
      </c>
      <c r="AB24" s="290">
        <f t="shared" si="0"/>
        <v>8.6267953621580046E-2</v>
      </c>
      <c r="AC24" s="290">
        <f t="shared" si="1"/>
        <v>8.2651608538947513E-2</v>
      </c>
      <c r="AE24" s="289">
        <v>202102</v>
      </c>
      <c r="AF24" s="290">
        <v>2.7799999999999998E-2</v>
      </c>
      <c r="AG24" s="290">
        <v>2.0499999999999997E-2</v>
      </c>
      <c r="AH24" s="290">
        <v>7.1500000000000008E-2</v>
      </c>
      <c r="AI24" s="290">
        <v>0</v>
      </c>
      <c r="AJ24" s="290">
        <v>-0.10162991491316387</v>
      </c>
      <c r="AK24" s="290">
        <f t="shared" si="2"/>
        <v>-0.10162991491316387</v>
      </c>
      <c r="AL24" s="290">
        <v>8.6267953621580046E-2</v>
      </c>
      <c r="AM24" s="290">
        <v>8.2651608538947513E-2</v>
      </c>
      <c r="AN24" s="290">
        <f t="shared" si="3"/>
        <v>8.6267953621580046E-2</v>
      </c>
    </row>
    <row r="25" spans="2:40" ht="13.5" customHeight="1">
      <c r="B25" s="137">
        <v>192802</v>
      </c>
      <c r="C25" s="137">
        <v>-1.7</v>
      </c>
      <c r="D25" s="137">
        <v>-2.06</v>
      </c>
      <c r="E25" s="137">
        <v>-0.65</v>
      </c>
      <c r="F25" s="137">
        <v>0.33</v>
      </c>
      <c r="H25" s="288" t="s">
        <v>727</v>
      </c>
      <c r="S25" s="289">
        <v>44287</v>
      </c>
      <c r="T25" s="289">
        <v>86.5</v>
      </c>
      <c r="U25" s="289">
        <v>86.879997000000003</v>
      </c>
      <c r="V25" s="289">
        <v>72.809997999999993</v>
      </c>
      <c r="W25" s="289">
        <v>77.360000999999997</v>
      </c>
      <c r="X25" s="289">
        <v>72.266311999999999</v>
      </c>
      <c r="Y25" s="289">
        <v>212228400</v>
      </c>
      <c r="Z25" s="289">
        <v>-8.2651608538947485E-2</v>
      </c>
      <c r="AA25" s="290">
        <v>-8.2651608538947485E-2</v>
      </c>
      <c r="AB25" s="290">
        <f t="shared" si="0"/>
        <v>4.5215829739343343E-2</v>
      </c>
      <c r="AC25" s="290">
        <f t="shared" si="1"/>
        <v>4.4208828589453859E-2</v>
      </c>
      <c r="AE25" s="289">
        <v>202103</v>
      </c>
      <c r="AF25" s="290">
        <v>3.0800000000000001E-2</v>
      </c>
      <c r="AG25" s="290">
        <v>-2.3700000000000002E-2</v>
      </c>
      <c r="AH25" s="290">
        <v>7.3899999999999993E-2</v>
      </c>
      <c r="AI25" s="290">
        <v>0</v>
      </c>
      <c r="AJ25" s="290">
        <v>-8.2651608538947485E-2</v>
      </c>
      <c r="AK25" s="290">
        <f t="shared" si="2"/>
        <v>-8.2651608538947485E-2</v>
      </c>
      <c r="AL25" s="290">
        <v>4.5215829739343343E-2</v>
      </c>
      <c r="AM25" s="290">
        <v>4.4208828589453859E-2</v>
      </c>
      <c r="AN25" s="290">
        <f t="shared" si="3"/>
        <v>4.5215829739343343E-2</v>
      </c>
    </row>
    <row r="26" spans="2:40" ht="13.5" customHeight="1">
      <c r="B26" s="137">
        <v>192803</v>
      </c>
      <c r="C26" s="137">
        <v>8.81</v>
      </c>
      <c r="D26" s="137">
        <v>-0.26</v>
      </c>
      <c r="E26" s="137">
        <v>-1.22</v>
      </c>
      <c r="F26" s="137">
        <v>0.28999999999999998</v>
      </c>
      <c r="S26" s="289">
        <v>44317</v>
      </c>
      <c r="T26" s="289">
        <v>77.199996999999996</v>
      </c>
      <c r="U26" s="289">
        <v>78.889999000000003</v>
      </c>
      <c r="V26" s="289">
        <v>66.550003000000004</v>
      </c>
      <c r="W26" s="289">
        <v>73.940002000000007</v>
      </c>
      <c r="X26" s="289">
        <v>69.071503000000007</v>
      </c>
      <c r="Y26" s="289">
        <v>238141600</v>
      </c>
      <c r="Z26" s="289">
        <v>-4.4208828589453852E-2</v>
      </c>
      <c r="AA26" s="290">
        <v>-4.4208828589453852E-2</v>
      </c>
      <c r="AB26" s="290">
        <f t="shared" si="0"/>
        <v>-7.6394864645953298E-2</v>
      </c>
      <c r="AC26" s="290">
        <f t="shared" si="1"/>
        <v>-7.9388702458088961E-2</v>
      </c>
      <c r="AE26" s="289">
        <v>202104</v>
      </c>
      <c r="AF26" s="290">
        <v>4.9299999999999997E-2</v>
      </c>
      <c r="AG26" s="290">
        <v>-3.1899999999999998E-2</v>
      </c>
      <c r="AH26" s="290">
        <v>-9.4999999999999998E-3</v>
      </c>
      <c r="AI26" s="290">
        <v>0</v>
      </c>
      <c r="AJ26" s="290">
        <v>-4.4208828589453852E-2</v>
      </c>
      <c r="AK26" s="290">
        <f t="shared" si="2"/>
        <v>-4.4208828589453852E-2</v>
      </c>
      <c r="AL26" s="290">
        <v>-7.6394864645953298E-2</v>
      </c>
      <c r="AM26" s="290">
        <v>-7.9388702458088961E-2</v>
      </c>
      <c r="AN26" s="290">
        <f t="shared" si="3"/>
        <v>-7.6394864645953298E-2</v>
      </c>
    </row>
    <row r="27" spans="2:40" ht="13.5" customHeight="1">
      <c r="B27" s="137">
        <v>192804</v>
      </c>
      <c r="C27" s="137">
        <v>4.2300000000000004</v>
      </c>
      <c r="D27" s="137">
        <v>3.98</v>
      </c>
      <c r="E27" s="137">
        <v>3.44</v>
      </c>
      <c r="F27" s="137">
        <v>0.22</v>
      </c>
      <c r="H27" s="288" t="s">
        <v>728</v>
      </c>
      <c r="I27" s="293">
        <v>4.3900000000000002E-2</v>
      </c>
      <c r="S27" s="289">
        <v>44348</v>
      </c>
      <c r="T27" s="289">
        <v>76.099997999999999</v>
      </c>
      <c r="U27" s="289">
        <v>80.269997000000004</v>
      </c>
      <c r="V27" s="289">
        <v>70.410004000000001</v>
      </c>
      <c r="W27" s="289">
        <v>79.809997999999993</v>
      </c>
      <c r="X27" s="289">
        <v>74.555000000000007</v>
      </c>
      <c r="Y27" s="289">
        <v>250527500</v>
      </c>
      <c r="Z27" s="289">
        <v>7.9388702458089044E-2</v>
      </c>
      <c r="AA27" s="290">
        <v>7.9388702458089044E-2</v>
      </c>
      <c r="AB27" s="290">
        <f t="shared" si="0"/>
        <v>0.1186605616065</v>
      </c>
      <c r="AC27" s="290">
        <f t="shared" si="1"/>
        <v>0.11189079203272764</v>
      </c>
      <c r="AE27" s="289">
        <v>202105</v>
      </c>
      <c r="AF27" s="290">
        <v>2.8999999999999998E-3</v>
      </c>
      <c r="AG27" s="290">
        <v>-2.5000000000000001E-3</v>
      </c>
      <c r="AH27" s="290">
        <v>7.0900000000000005E-2</v>
      </c>
      <c r="AI27" s="290">
        <v>0</v>
      </c>
      <c r="AJ27" s="290">
        <v>7.9388702458089044E-2</v>
      </c>
      <c r="AK27" s="290">
        <f t="shared" si="2"/>
        <v>7.9388702458089044E-2</v>
      </c>
      <c r="AL27" s="290">
        <v>0.1186605616065</v>
      </c>
      <c r="AM27" s="290">
        <v>0.11189079203272764</v>
      </c>
      <c r="AN27" s="290">
        <f t="shared" si="3"/>
        <v>0.1186605616065</v>
      </c>
    </row>
    <row r="28" spans="2:40" ht="13.5" customHeight="1">
      <c r="B28" s="137">
        <v>192805</v>
      </c>
      <c r="C28" s="137">
        <v>1.52</v>
      </c>
      <c r="D28" s="137">
        <v>2.85</v>
      </c>
      <c r="E28" s="137">
        <v>-3.27</v>
      </c>
      <c r="F28" s="137">
        <v>0.32</v>
      </c>
      <c r="H28" s="288" t="s">
        <v>729</v>
      </c>
      <c r="I28" s="289">
        <f>I19</f>
        <v>0.58831329395513488</v>
      </c>
      <c r="S28" s="289">
        <v>44378</v>
      </c>
      <c r="T28" s="289">
        <v>79.300003000000004</v>
      </c>
      <c r="U28" s="289">
        <v>80.150002000000001</v>
      </c>
      <c r="V28" s="289">
        <v>61.650002000000001</v>
      </c>
      <c r="W28" s="289">
        <v>70.879997000000003</v>
      </c>
      <c r="X28" s="289">
        <v>66.212981999999997</v>
      </c>
      <c r="Y28" s="289">
        <v>306618100</v>
      </c>
      <c r="Z28" s="289">
        <v>-0.11189079203272767</v>
      </c>
      <c r="AA28" s="290">
        <v>-0.11189079203272767</v>
      </c>
      <c r="AB28" s="290">
        <f t="shared" si="0"/>
        <v>-0.10287443144848046</v>
      </c>
      <c r="AC28" s="290">
        <f t="shared" si="1"/>
        <v>-0.10835222615407955</v>
      </c>
      <c r="AE28" s="289">
        <v>202106</v>
      </c>
      <c r="AF28" s="290">
        <v>2.75E-2</v>
      </c>
      <c r="AG28" s="290">
        <v>1.6799999999999999E-2</v>
      </c>
      <c r="AH28" s="290">
        <v>-7.8700000000000006E-2</v>
      </c>
      <c r="AI28" s="290">
        <v>0</v>
      </c>
      <c r="AJ28" s="290">
        <v>-0.11189079203272767</v>
      </c>
      <c r="AK28" s="290">
        <f t="shared" si="2"/>
        <v>-0.11189079203272767</v>
      </c>
      <c r="AL28" s="290">
        <v>-0.10287443144848046</v>
      </c>
      <c r="AM28" s="290">
        <v>-0.10835222615407955</v>
      </c>
      <c r="AN28" s="290">
        <f t="shared" si="3"/>
        <v>-0.10287443144848046</v>
      </c>
    </row>
    <row r="29" spans="2:40" ht="13.5" customHeight="1">
      <c r="B29" s="137">
        <v>192806</v>
      </c>
      <c r="C29" s="137">
        <v>-4.8499999999999996</v>
      </c>
      <c r="D29" s="137">
        <v>-3.52</v>
      </c>
      <c r="E29" s="137">
        <v>-0.03</v>
      </c>
      <c r="F29" s="137">
        <v>0.31</v>
      </c>
      <c r="H29" s="288" t="s">
        <v>730</v>
      </c>
      <c r="I29" s="293">
        <v>5.6300000000000003E-2</v>
      </c>
      <c r="S29" s="289">
        <v>44409</v>
      </c>
      <c r="T29" s="289">
        <v>71.069999999999993</v>
      </c>
      <c r="U29" s="289">
        <v>80.559997999999993</v>
      </c>
      <c r="V29" s="289">
        <v>61.759998000000003</v>
      </c>
      <c r="W29" s="289">
        <v>78.559997999999993</v>
      </c>
      <c r="X29" s="289">
        <v>73.387305999999995</v>
      </c>
      <c r="Y29" s="289">
        <v>247666700</v>
      </c>
      <c r="Z29" s="289">
        <v>0.10835222615407947</v>
      </c>
      <c r="AA29" s="290">
        <v>0.10835222615407947</v>
      </c>
      <c r="AB29" s="290">
        <f t="shared" si="0"/>
        <v>8.3868787894197744E-2</v>
      </c>
      <c r="AC29" s="290">
        <f t="shared" si="1"/>
        <v>8.0448095478528686E-2</v>
      </c>
      <c r="AE29" s="289">
        <v>202107</v>
      </c>
      <c r="AF29" s="290">
        <v>1.2699999999999999E-2</v>
      </c>
      <c r="AG29" s="290">
        <v>-3.9699999999999999E-2</v>
      </c>
      <c r="AH29" s="290">
        <v>-1.78E-2</v>
      </c>
      <c r="AI29" s="290">
        <v>0</v>
      </c>
      <c r="AJ29" s="290">
        <v>0.10835222615407947</v>
      </c>
      <c r="AK29" s="290">
        <f t="shared" si="2"/>
        <v>0.10835222615407947</v>
      </c>
      <c r="AL29" s="290">
        <v>8.3868787894197744E-2</v>
      </c>
      <c r="AM29" s="290">
        <v>8.0448095478528686E-2</v>
      </c>
      <c r="AN29" s="290">
        <f t="shared" si="3"/>
        <v>8.3868787894197744E-2</v>
      </c>
    </row>
    <row r="30" spans="2:40" ht="13.5" customHeight="1">
      <c r="B30" s="137">
        <v>192807</v>
      </c>
      <c r="C30" s="137">
        <v>0.62</v>
      </c>
      <c r="D30" s="137">
        <v>-1.32</v>
      </c>
      <c r="E30" s="137">
        <v>-0.5</v>
      </c>
      <c r="F30" s="137">
        <v>0.32</v>
      </c>
      <c r="H30" s="288" t="s">
        <v>731</v>
      </c>
      <c r="I30" s="289">
        <f>I20</f>
        <v>-0.43378143865079122</v>
      </c>
      <c r="J30" s="15"/>
      <c r="S30" s="289">
        <v>44440</v>
      </c>
      <c r="T30" s="289">
        <v>79.480002999999996</v>
      </c>
      <c r="U30" s="289">
        <v>84.080001999999993</v>
      </c>
      <c r="V30" s="289">
        <v>71.450996000000004</v>
      </c>
      <c r="W30" s="289">
        <v>72.239998</v>
      </c>
      <c r="X30" s="289">
        <v>67.483436999999995</v>
      </c>
      <c r="Y30" s="289">
        <v>197234800</v>
      </c>
      <c r="Z30" s="289">
        <v>-8.0448095478528714E-2</v>
      </c>
      <c r="AA30" s="290">
        <v>-8.0448095478528714E-2</v>
      </c>
      <c r="AB30" s="290">
        <f t="shared" si="0"/>
        <v>-8.0298235168283022E-2</v>
      </c>
      <c r="AC30" s="290">
        <f t="shared" si="1"/>
        <v>-8.3610190156734293E-2</v>
      </c>
      <c r="AE30" s="289">
        <v>202108</v>
      </c>
      <c r="AF30" s="290">
        <v>2.9100000000000001E-2</v>
      </c>
      <c r="AG30" s="290">
        <v>-4.1999999999999997E-3</v>
      </c>
      <c r="AH30" s="290">
        <v>-1.5E-3</v>
      </c>
      <c r="AI30" s="290">
        <v>0</v>
      </c>
      <c r="AJ30" s="290">
        <v>-8.0448095478528714E-2</v>
      </c>
      <c r="AK30" s="290">
        <f t="shared" si="2"/>
        <v>-8.0448095478528714E-2</v>
      </c>
      <c r="AL30" s="290">
        <v>-8.0298235168283022E-2</v>
      </c>
      <c r="AM30" s="290">
        <v>-8.3610190156734293E-2</v>
      </c>
      <c r="AN30" s="290">
        <f t="shared" si="3"/>
        <v>-8.0298235168283022E-2</v>
      </c>
    </row>
    <row r="31" spans="2:40" ht="13.5" customHeight="1">
      <c r="B31" s="137">
        <v>192808</v>
      </c>
      <c r="C31" s="137">
        <v>6.68</v>
      </c>
      <c r="D31" s="137">
        <v>-2.06</v>
      </c>
      <c r="E31" s="137">
        <v>-2.15</v>
      </c>
      <c r="F31" s="137">
        <v>0.32</v>
      </c>
      <c r="H31" s="288" t="s">
        <v>732</v>
      </c>
      <c r="I31" s="294">
        <v>2.5000000000000001E-2</v>
      </c>
      <c r="J31" s="288" t="s">
        <v>733</v>
      </c>
      <c r="S31" s="289">
        <v>44470</v>
      </c>
      <c r="T31" s="289">
        <v>72.089995999999999</v>
      </c>
      <c r="U31" s="289">
        <v>87.830001999999993</v>
      </c>
      <c r="V31" s="289">
        <v>68.459998999999996</v>
      </c>
      <c r="W31" s="289">
        <v>78.279999000000004</v>
      </c>
      <c r="X31" s="289">
        <v>73.125739999999993</v>
      </c>
      <c r="Y31" s="289">
        <v>172756600</v>
      </c>
      <c r="Z31" s="289">
        <v>8.3610190156734321E-2</v>
      </c>
      <c r="AA31" s="290">
        <v>8.3610190156734321E-2</v>
      </c>
      <c r="AB31" s="290">
        <f t="shared" si="0"/>
        <v>-7.1833411268707389E-2</v>
      </c>
      <c r="AC31" s="290">
        <f t="shared" si="1"/>
        <v>-7.447633350445422E-2</v>
      </c>
      <c r="AE31" s="289">
        <v>202109</v>
      </c>
      <c r="AF31" s="290">
        <v>-4.3700000000000003E-2</v>
      </c>
      <c r="AG31" s="290">
        <v>7.0999999999999995E-3</v>
      </c>
      <c r="AH31" s="290">
        <v>5.0799999999999998E-2</v>
      </c>
      <c r="AI31" s="290">
        <v>0</v>
      </c>
      <c r="AJ31" s="290">
        <v>8.3610190156734321E-2</v>
      </c>
      <c r="AK31" s="290">
        <f t="shared" si="2"/>
        <v>8.3610190156734321E-2</v>
      </c>
      <c r="AL31" s="290">
        <v>-7.1833411268707389E-2</v>
      </c>
      <c r="AM31" s="290">
        <v>-7.447633350445422E-2</v>
      </c>
      <c r="AN31" s="290">
        <f t="shared" si="3"/>
        <v>-7.1833411268707389E-2</v>
      </c>
    </row>
    <row r="32" spans="2:40" ht="13.5" customHeight="1">
      <c r="B32" s="137">
        <v>192809</v>
      </c>
      <c r="C32" s="137">
        <v>2.88</v>
      </c>
      <c r="D32" s="137">
        <v>2.41</v>
      </c>
      <c r="E32" s="137">
        <v>0.86</v>
      </c>
      <c r="F32" s="137">
        <v>0.27</v>
      </c>
      <c r="H32" s="288" t="s">
        <v>734</v>
      </c>
      <c r="I32" s="289">
        <f>I21</f>
        <v>0.83602857736342284</v>
      </c>
      <c r="J32" s="15"/>
      <c r="S32" s="289">
        <v>44501</v>
      </c>
      <c r="T32" s="289">
        <v>78.660004000000001</v>
      </c>
      <c r="U32" s="289">
        <v>92.690002000000007</v>
      </c>
      <c r="V32" s="289">
        <v>76.629997000000003</v>
      </c>
      <c r="W32" s="289">
        <v>84.110000999999997</v>
      </c>
      <c r="X32" s="289">
        <v>78.571877000000001</v>
      </c>
      <c r="Y32" s="289">
        <v>197208800</v>
      </c>
      <c r="Z32" s="289">
        <v>7.4476333504454262E-2</v>
      </c>
      <c r="AA32" s="290">
        <v>7.4476333504454262E-2</v>
      </c>
      <c r="AB32" s="290">
        <f t="shared" si="0"/>
        <v>0.18263087813648787</v>
      </c>
      <c r="AC32" s="290">
        <f t="shared" si="1"/>
        <v>0.16692439458968245</v>
      </c>
      <c r="AE32" s="289">
        <v>202110</v>
      </c>
      <c r="AF32" s="290">
        <v>6.6500000000000004E-2</v>
      </c>
      <c r="AG32" s="290">
        <v>-2.35E-2</v>
      </c>
      <c r="AH32" s="290">
        <v>-4.8999999999999998E-3</v>
      </c>
      <c r="AI32" s="290">
        <v>0</v>
      </c>
      <c r="AJ32" s="290">
        <v>7.4476333504454262E-2</v>
      </c>
      <c r="AK32" s="290">
        <f t="shared" si="2"/>
        <v>7.4476333504454262E-2</v>
      </c>
      <c r="AL32" s="290">
        <v>0.18263087813648787</v>
      </c>
      <c r="AM32" s="290">
        <v>0.16692439458968245</v>
      </c>
      <c r="AN32" s="290">
        <f t="shared" si="3"/>
        <v>0.18263087813648787</v>
      </c>
    </row>
    <row r="33" spans="2:40" ht="13.5" customHeight="1">
      <c r="B33" s="137">
        <v>192810</v>
      </c>
      <c r="C33" s="137">
        <v>1.33</v>
      </c>
      <c r="D33" s="137">
        <v>2.2200000000000002</v>
      </c>
      <c r="E33" s="137">
        <v>-2.16</v>
      </c>
      <c r="F33" s="137">
        <v>0.41</v>
      </c>
      <c r="H33" s="288" t="s">
        <v>735</v>
      </c>
      <c r="I33" s="293">
        <v>4.36E-2</v>
      </c>
      <c r="J33" s="288" t="s">
        <v>733</v>
      </c>
      <c r="S33" s="289">
        <v>44531</v>
      </c>
      <c r="T33" s="289">
        <v>86.879997000000003</v>
      </c>
      <c r="U33" s="289">
        <v>88.220000999999996</v>
      </c>
      <c r="V33" s="289">
        <v>64.699996999999996</v>
      </c>
      <c r="W33" s="289">
        <v>70.069999999999993</v>
      </c>
      <c r="X33" s="289">
        <v>65.456314000000006</v>
      </c>
      <c r="Y33" s="289">
        <v>252985700</v>
      </c>
      <c r="Z33" s="289">
        <v>-0.16692439458968245</v>
      </c>
      <c r="AA33" s="290">
        <v>-0.16692439458968245</v>
      </c>
      <c r="AB33" s="290">
        <f t="shared" si="0"/>
        <v>-6.6392138801772124E-2</v>
      </c>
      <c r="AC33" s="290">
        <f t="shared" si="1"/>
        <v>-6.8645692453748478E-2</v>
      </c>
      <c r="AE33" s="289">
        <v>202111</v>
      </c>
      <c r="AF33" s="290">
        <v>-1.55E-2</v>
      </c>
      <c r="AG33" s="290">
        <v>-1.32E-2</v>
      </c>
      <c r="AH33" s="290">
        <v>-4.5000000000000005E-3</v>
      </c>
      <c r="AI33" s="290">
        <v>0</v>
      </c>
      <c r="AJ33" s="290">
        <v>-0.16692439458968245</v>
      </c>
      <c r="AK33" s="290">
        <f t="shared" si="2"/>
        <v>-0.16692439458968245</v>
      </c>
      <c r="AL33" s="290">
        <v>-6.6392138801772124E-2</v>
      </c>
      <c r="AM33" s="290">
        <v>-6.8645692453748478E-2</v>
      </c>
      <c r="AN33" s="290">
        <f t="shared" si="3"/>
        <v>-6.6392138801772124E-2</v>
      </c>
    </row>
    <row r="34" spans="2:40" ht="13.5" customHeight="1">
      <c r="B34" s="137">
        <v>192811</v>
      </c>
      <c r="C34" s="137">
        <v>11.81</v>
      </c>
      <c r="D34" s="137">
        <v>-1.78</v>
      </c>
      <c r="E34" s="137">
        <v>2.7</v>
      </c>
      <c r="F34" s="137">
        <v>0.38</v>
      </c>
      <c r="S34" s="289">
        <v>44562</v>
      </c>
      <c r="T34" s="289">
        <v>68.900002000000001</v>
      </c>
      <c r="U34" s="289">
        <v>81.239998</v>
      </c>
      <c r="V34" s="289">
        <v>62.169998</v>
      </c>
      <c r="W34" s="289">
        <v>74.879997000000003</v>
      </c>
      <c r="X34" s="289">
        <v>69.949607999999998</v>
      </c>
      <c r="Y34" s="289">
        <v>276936100</v>
      </c>
      <c r="Z34" s="289">
        <v>6.8645692453748408E-2</v>
      </c>
      <c r="AA34" s="290">
        <v>6.8645692453748408E-2</v>
      </c>
      <c r="AB34" s="290">
        <f t="shared" si="0"/>
        <v>4.437290696270315E-2</v>
      </c>
      <c r="AC34" s="290">
        <f t="shared" si="1"/>
        <v>4.3402830792132557E-2</v>
      </c>
      <c r="AE34" s="289">
        <v>202112</v>
      </c>
      <c r="AF34" s="290">
        <v>3.1E-2</v>
      </c>
      <c r="AG34" s="290">
        <v>-1.67E-2</v>
      </c>
      <c r="AH34" s="290">
        <v>3.2599999999999997E-2</v>
      </c>
      <c r="AI34" s="290">
        <v>1E-4</v>
      </c>
      <c r="AJ34" s="290">
        <v>6.8645692453748408E-2</v>
      </c>
      <c r="AK34" s="290">
        <f t="shared" si="2"/>
        <v>6.8545692453748405E-2</v>
      </c>
      <c r="AL34" s="290">
        <v>4.437290696270315E-2</v>
      </c>
      <c r="AM34" s="290">
        <v>4.3402830792132557E-2</v>
      </c>
      <c r="AN34" s="290">
        <f t="shared" si="3"/>
        <v>4.4272906962703147E-2</v>
      </c>
    </row>
    <row r="35" spans="2:40" ht="13.5" customHeight="1">
      <c r="B35" s="137">
        <v>192812</v>
      </c>
      <c r="C35" s="137">
        <v>0.36</v>
      </c>
      <c r="D35" s="137">
        <v>-0.86</v>
      </c>
      <c r="E35" s="137">
        <v>-0.65</v>
      </c>
      <c r="F35" s="137">
        <v>0.06</v>
      </c>
      <c r="H35" s="288" t="s">
        <v>97</v>
      </c>
      <c r="I35" s="295">
        <f>I27+I28*I29+I30*I31+I32*I33</f>
        <v>0.10262834845644955</v>
      </c>
      <c r="S35" s="289">
        <v>44593</v>
      </c>
      <c r="T35" s="289">
        <v>74.260002</v>
      </c>
      <c r="U35" s="289">
        <v>78.669998000000007</v>
      </c>
      <c r="V35" s="289">
        <v>66.110000999999997</v>
      </c>
      <c r="W35" s="289">
        <v>71.629997000000003</v>
      </c>
      <c r="X35" s="289">
        <v>66.913596999999996</v>
      </c>
      <c r="Y35" s="289">
        <v>135589300</v>
      </c>
      <c r="Z35" s="289">
        <v>-4.3402830792132585E-2</v>
      </c>
      <c r="AA35" s="290">
        <v>-4.3402830792132585E-2</v>
      </c>
      <c r="AB35" s="290">
        <f t="shared" si="0"/>
        <v>0.21331482651818698</v>
      </c>
      <c r="AC35" s="290">
        <f t="shared" si="1"/>
        <v>0.19209825172005018</v>
      </c>
      <c r="AE35" s="289">
        <v>202201</v>
      </c>
      <c r="AF35" s="290">
        <v>-6.25E-2</v>
      </c>
      <c r="AG35" s="290">
        <v>-5.9400000000000001E-2</v>
      </c>
      <c r="AH35" s="290">
        <v>0.1275</v>
      </c>
      <c r="AI35" s="290">
        <v>0</v>
      </c>
      <c r="AJ35" s="290">
        <v>-4.3402830792132585E-2</v>
      </c>
      <c r="AK35" s="290">
        <f t="shared" si="2"/>
        <v>-4.3402830792132585E-2</v>
      </c>
      <c r="AL35" s="290">
        <v>0.21331482651818698</v>
      </c>
      <c r="AM35" s="290">
        <v>0.19209825172005018</v>
      </c>
      <c r="AN35" s="290">
        <f t="shared" si="3"/>
        <v>0.21331482651818698</v>
      </c>
    </row>
    <row r="36" spans="2:40" ht="13.5" customHeight="1">
      <c r="B36" s="137">
        <v>192901</v>
      </c>
      <c r="C36" s="137">
        <v>4.66</v>
      </c>
      <c r="D36" s="137">
        <v>-3.56</v>
      </c>
      <c r="E36" s="137">
        <v>-1.24</v>
      </c>
      <c r="F36" s="137">
        <v>0.34</v>
      </c>
      <c r="S36" s="289">
        <v>44621</v>
      </c>
      <c r="T36" s="289">
        <v>72.419998000000007</v>
      </c>
      <c r="U36" s="289">
        <v>74.989998</v>
      </c>
      <c r="V36" s="289">
        <v>41.560001</v>
      </c>
      <c r="W36" s="289">
        <v>57.869999</v>
      </c>
      <c r="X36" s="289">
        <v>54.059612000000001</v>
      </c>
      <c r="Y36" s="289">
        <v>545483200</v>
      </c>
      <c r="Z36" s="289">
        <v>-0.19209825172005024</v>
      </c>
      <c r="AA36" s="290">
        <v>-0.19209825172005024</v>
      </c>
      <c r="AB36" s="290">
        <f t="shared" si="0"/>
        <v>-6.343636728357506E-2</v>
      </c>
      <c r="AC36" s="290">
        <f t="shared" si="1"/>
        <v>-6.5491683514117743E-2</v>
      </c>
      <c r="AE36" s="289">
        <v>202202</v>
      </c>
      <c r="AF36" s="290">
        <v>-2.29E-2</v>
      </c>
      <c r="AG36" s="290">
        <v>2.1899999999999999E-2</v>
      </c>
      <c r="AH36" s="290">
        <v>3.0800000000000001E-2</v>
      </c>
      <c r="AI36" s="290">
        <v>0</v>
      </c>
      <c r="AJ36" s="290">
        <v>-0.19209825172005024</v>
      </c>
      <c r="AK36" s="290">
        <f t="shared" si="2"/>
        <v>-0.19209825172005024</v>
      </c>
      <c r="AL36" s="290">
        <v>-6.343636728357506E-2</v>
      </c>
      <c r="AM36" s="290">
        <v>-6.5491683514117743E-2</v>
      </c>
      <c r="AN36" s="290">
        <f t="shared" si="3"/>
        <v>-6.343636728357506E-2</v>
      </c>
    </row>
    <row r="37" spans="2:40" ht="13.5" customHeight="1">
      <c r="B37" s="137">
        <v>192902</v>
      </c>
      <c r="C37" s="137">
        <v>-0.34</v>
      </c>
      <c r="D37" s="137">
        <v>-0.38</v>
      </c>
      <c r="E37" s="137">
        <v>1.66</v>
      </c>
      <c r="F37" s="137">
        <v>0.36</v>
      </c>
      <c r="S37" s="289">
        <v>44652</v>
      </c>
      <c r="T37" s="289">
        <v>61.25</v>
      </c>
      <c r="U37" s="289">
        <v>65.290001000000004</v>
      </c>
      <c r="V37" s="289">
        <v>50.25</v>
      </c>
      <c r="W37" s="289">
        <v>61.66</v>
      </c>
      <c r="X37" s="289">
        <v>57.600067000000003</v>
      </c>
      <c r="Y37" s="289">
        <v>215210200</v>
      </c>
      <c r="Z37" s="289">
        <v>6.5491683514117716E-2</v>
      </c>
      <c r="AA37" s="290">
        <v>6.5491683514117716E-2</v>
      </c>
      <c r="AB37" s="290">
        <f t="shared" si="0"/>
        <v>9.4143225166232219E-2</v>
      </c>
      <c r="AC37" s="290">
        <f t="shared" si="1"/>
        <v>8.9847603823099781E-2</v>
      </c>
      <c r="AE37" s="289">
        <v>202203</v>
      </c>
      <c r="AF37" s="290">
        <v>3.0499999999999999E-2</v>
      </c>
      <c r="AG37" s="290">
        <v>-1.61E-2</v>
      </c>
      <c r="AH37" s="290">
        <v>-1.8100000000000002E-2</v>
      </c>
      <c r="AI37" s="290">
        <v>1E-4</v>
      </c>
      <c r="AJ37" s="290">
        <v>6.5491683514117716E-2</v>
      </c>
      <c r="AK37" s="290">
        <f t="shared" si="2"/>
        <v>6.5391683514117713E-2</v>
      </c>
      <c r="AL37" s="290">
        <v>9.4143225166232219E-2</v>
      </c>
      <c r="AM37" s="290">
        <v>8.9847603823099781E-2</v>
      </c>
      <c r="AN37" s="290">
        <f t="shared" si="3"/>
        <v>9.4043225166232217E-2</v>
      </c>
    </row>
    <row r="38" spans="2:40" ht="13.5" customHeight="1">
      <c r="B38" s="137">
        <v>192903</v>
      </c>
      <c r="C38" s="137">
        <v>-0.89</v>
      </c>
      <c r="D38" s="137">
        <v>-4.71</v>
      </c>
      <c r="E38" s="137">
        <v>1.58</v>
      </c>
      <c r="F38" s="137">
        <v>0.34</v>
      </c>
      <c r="S38" s="289">
        <v>44682</v>
      </c>
      <c r="T38" s="289">
        <v>61.639999000000003</v>
      </c>
      <c r="U38" s="289">
        <v>63.959999000000003</v>
      </c>
      <c r="V38" s="289">
        <v>46.830002</v>
      </c>
      <c r="W38" s="289">
        <v>56.119999</v>
      </c>
      <c r="X38" s="289">
        <v>52.424838999999999</v>
      </c>
      <c r="Y38" s="289">
        <v>298611400</v>
      </c>
      <c r="Z38" s="289">
        <v>-8.9847603823099753E-2</v>
      </c>
      <c r="AA38" s="290">
        <v>-8.9847603823099753E-2</v>
      </c>
      <c r="AB38" s="290">
        <f t="shared" si="0"/>
        <v>-0.15973972254462565</v>
      </c>
      <c r="AC38" s="290">
        <f t="shared" si="1"/>
        <v>-0.17320547231437375</v>
      </c>
      <c r="AE38" s="289">
        <v>202204</v>
      </c>
      <c r="AF38" s="290">
        <v>-9.4600000000000004E-2</v>
      </c>
      <c r="AG38" s="290">
        <v>-1.3899999999999999E-2</v>
      </c>
      <c r="AH38" s="290">
        <v>6.1699999999999998E-2</v>
      </c>
      <c r="AI38" s="290">
        <v>1E-4</v>
      </c>
      <c r="AJ38" s="290">
        <v>-8.9847603823099753E-2</v>
      </c>
      <c r="AK38" s="290">
        <f t="shared" si="2"/>
        <v>-8.9947603823099756E-2</v>
      </c>
      <c r="AL38" s="290">
        <v>-0.15973972254462565</v>
      </c>
      <c r="AM38" s="290">
        <v>-0.17320547231437375</v>
      </c>
      <c r="AN38" s="290">
        <f t="shared" si="3"/>
        <v>-0.15983972254462564</v>
      </c>
    </row>
    <row r="39" spans="2:40" ht="13.5" customHeight="1">
      <c r="B39" s="137">
        <v>192904</v>
      </c>
      <c r="C39" s="137">
        <v>1.43</v>
      </c>
      <c r="D39" s="137">
        <v>-0.97</v>
      </c>
      <c r="E39" s="137">
        <v>0.59</v>
      </c>
      <c r="F39" s="137">
        <v>0.36</v>
      </c>
      <c r="H39" s="288"/>
      <c r="M39" s="288"/>
      <c r="S39" s="289">
        <v>44713</v>
      </c>
      <c r="T39" s="289">
        <v>56.830002</v>
      </c>
      <c r="U39" s="289">
        <v>68.290001000000004</v>
      </c>
      <c r="V39" s="289">
        <v>54.639999000000003</v>
      </c>
      <c r="W39" s="289">
        <v>64.220000999999996</v>
      </c>
      <c r="X39" s="289">
        <v>61.505108</v>
      </c>
      <c r="Y39" s="289">
        <v>290304100</v>
      </c>
      <c r="Z39" s="289">
        <v>0.17320547231437367</v>
      </c>
      <c r="AA39" s="290">
        <v>0.17320547231437367</v>
      </c>
      <c r="AB39" s="290">
        <f t="shared" si="0"/>
        <v>7.633836514669913E-2</v>
      </c>
      <c r="AC39" s="290">
        <f t="shared" si="1"/>
        <v>7.3497342692252526E-2</v>
      </c>
      <c r="AE39" s="289">
        <v>202205</v>
      </c>
      <c r="AF39" s="290">
        <v>-3.4000000000000002E-3</v>
      </c>
      <c r="AG39" s="290">
        <v>-1.83E-2</v>
      </c>
      <c r="AH39" s="290">
        <v>8.3900000000000002E-2</v>
      </c>
      <c r="AI39" s="290">
        <v>2.9999999999999997E-4</v>
      </c>
      <c r="AJ39" s="290">
        <v>0.17320547231437367</v>
      </c>
      <c r="AK39" s="290">
        <f t="shared" si="2"/>
        <v>0.17290547231437367</v>
      </c>
      <c r="AL39" s="290">
        <v>7.633836514669913E-2</v>
      </c>
      <c r="AM39" s="290">
        <v>7.3497342692252526E-2</v>
      </c>
      <c r="AN39" s="290">
        <f t="shared" si="3"/>
        <v>7.6038365146699136E-2</v>
      </c>
    </row>
    <row r="40" spans="2:40" ht="13.5" customHeight="1">
      <c r="B40" s="137">
        <v>192905</v>
      </c>
      <c r="C40" s="137">
        <v>-6.39</v>
      </c>
      <c r="D40" s="137">
        <v>-5.37</v>
      </c>
      <c r="E40" s="137">
        <v>-1.42</v>
      </c>
      <c r="F40" s="137">
        <v>0.44</v>
      </c>
      <c r="H40" s="296" t="s">
        <v>736</v>
      </c>
      <c r="I40" s="59"/>
      <c r="J40" s="59"/>
      <c r="K40" s="59"/>
      <c r="S40" s="289">
        <v>44743</v>
      </c>
      <c r="T40" s="289">
        <v>63.91</v>
      </c>
      <c r="U40" s="289">
        <v>66.360000999999997</v>
      </c>
      <c r="V40" s="289">
        <v>58.369999</v>
      </c>
      <c r="W40" s="289">
        <v>59.5</v>
      </c>
      <c r="X40" s="289">
        <v>56.984645999999998</v>
      </c>
      <c r="Y40" s="289">
        <v>121077500</v>
      </c>
      <c r="Z40" s="289">
        <v>-7.3497342692252499E-2</v>
      </c>
      <c r="AA40" s="290">
        <v>-7.3497342692252499E-2</v>
      </c>
      <c r="AB40" s="290">
        <f t="shared" si="0"/>
        <v>-6.4906095368133271E-2</v>
      </c>
      <c r="AC40" s="290">
        <f t="shared" si="1"/>
        <v>-6.7058817913864019E-2</v>
      </c>
      <c r="AE40" s="289">
        <v>202206</v>
      </c>
      <c r="AF40" s="290">
        <v>-8.43E-2</v>
      </c>
      <c r="AG40" s="290">
        <v>2.1000000000000001E-2</v>
      </c>
      <c r="AH40" s="290">
        <v>-5.9699999999999996E-2</v>
      </c>
      <c r="AI40" s="290">
        <v>5.9999999999999995E-4</v>
      </c>
      <c r="AJ40" s="290">
        <v>-7.3497342692252499E-2</v>
      </c>
      <c r="AK40" s="290">
        <f t="shared" si="2"/>
        <v>-7.4097342692252502E-2</v>
      </c>
      <c r="AL40" s="290">
        <v>-6.4906095368133271E-2</v>
      </c>
      <c r="AM40" s="290">
        <v>-6.7058817913864019E-2</v>
      </c>
      <c r="AN40" s="290">
        <f t="shared" si="3"/>
        <v>-6.5506095368133274E-2</v>
      </c>
    </row>
    <row r="41" spans="2:40" ht="13.5" customHeight="1">
      <c r="B41" s="137">
        <v>192906</v>
      </c>
      <c r="C41" s="137">
        <v>9.6999999999999993</v>
      </c>
      <c r="D41" s="137">
        <v>-2.17</v>
      </c>
      <c r="E41" s="137">
        <v>-2.79</v>
      </c>
      <c r="F41" s="137">
        <v>0.52</v>
      </c>
      <c r="H41" s="288"/>
      <c r="I41" s="293"/>
      <c r="M41" s="288"/>
      <c r="S41" s="289">
        <v>44774</v>
      </c>
      <c r="T41" s="289">
        <v>57.580002</v>
      </c>
      <c r="U41" s="289">
        <v>67.870002999999997</v>
      </c>
      <c r="V41" s="289">
        <v>53.049999</v>
      </c>
      <c r="W41" s="289">
        <v>63.490001999999997</v>
      </c>
      <c r="X41" s="289">
        <v>60.805968999999997</v>
      </c>
      <c r="Y41" s="289">
        <v>191899100</v>
      </c>
      <c r="Z41" s="289">
        <v>6.7058817913864033E-2</v>
      </c>
      <c r="AA41" s="290">
        <v>6.7058817913864033E-2</v>
      </c>
      <c r="AB41" s="290">
        <f t="shared" si="0"/>
        <v>0.2328773658065342</v>
      </c>
      <c r="AC41" s="290">
        <f t="shared" si="1"/>
        <v>0.20774927540419594</v>
      </c>
      <c r="AE41" s="289">
        <v>202207</v>
      </c>
      <c r="AF41" s="290">
        <v>9.5700000000000007E-2</v>
      </c>
      <c r="AG41" s="290">
        <v>2.81E-2</v>
      </c>
      <c r="AH41" s="290">
        <v>-4.0500000000000001E-2</v>
      </c>
      <c r="AI41" s="290">
        <v>8.0000000000000004E-4</v>
      </c>
      <c r="AJ41" s="290">
        <v>6.7058817913864033E-2</v>
      </c>
      <c r="AK41" s="290">
        <f t="shared" si="2"/>
        <v>6.6258817913864038E-2</v>
      </c>
      <c r="AL41" s="290">
        <v>0.2328773658065342</v>
      </c>
      <c r="AM41" s="290">
        <v>0.20774927540419594</v>
      </c>
      <c r="AN41" s="290">
        <f t="shared" si="3"/>
        <v>0.23207736580653421</v>
      </c>
    </row>
    <row r="42" spans="2:40" ht="13.5" customHeight="1">
      <c r="B42" s="137">
        <v>192907</v>
      </c>
      <c r="C42" s="137">
        <v>4.46</v>
      </c>
      <c r="D42" s="137">
        <v>-3.88</v>
      </c>
      <c r="E42" s="137">
        <v>2.71</v>
      </c>
      <c r="F42" s="137">
        <v>0.33</v>
      </c>
      <c r="H42" s="288" t="s">
        <v>737</v>
      </c>
      <c r="I42" s="288">
        <v>0.04</v>
      </c>
      <c r="M42" s="288"/>
      <c r="S42" s="289">
        <v>44805</v>
      </c>
      <c r="T42" s="289">
        <v>61.75</v>
      </c>
      <c r="U42" s="289">
        <v>63.200001</v>
      </c>
      <c r="V42" s="289">
        <v>49.810001</v>
      </c>
      <c r="W42" s="289">
        <v>50.299999</v>
      </c>
      <c r="X42" s="289">
        <v>48.173572999999998</v>
      </c>
      <c r="Y42" s="289">
        <v>114242300</v>
      </c>
      <c r="Z42" s="289">
        <v>-0.20774927540419597</v>
      </c>
      <c r="AA42" s="290">
        <v>-0.20774927540419597</v>
      </c>
      <c r="AB42" s="290">
        <f t="shared" si="0"/>
        <v>0.29927986408277746</v>
      </c>
      <c r="AC42" s="290">
        <f t="shared" si="1"/>
        <v>0.25864809737073063</v>
      </c>
      <c r="AE42" s="289">
        <v>202208</v>
      </c>
      <c r="AF42" s="290">
        <v>-3.7699999999999997E-2</v>
      </c>
      <c r="AG42" s="290">
        <v>1.3999999999999999E-2</v>
      </c>
      <c r="AH42" s="290">
        <v>2.8999999999999998E-3</v>
      </c>
      <c r="AI42" s="290">
        <v>1.9E-3</v>
      </c>
      <c r="AJ42" s="290">
        <v>-0.20774927540419597</v>
      </c>
      <c r="AK42" s="290">
        <f t="shared" si="2"/>
        <v>-0.20964927540419598</v>
      </c>
      <c r="AL42" s="290">
        <v>0.29927986408277746</v>
      </c>
      <c r="AM42" s="290">
        <v>0.25864809737073063</v>
      </c>
      <c r="AN42" s="290">
        <f t="shared" si="3"/>
        <v>0.29737986408277745</v>
      </c>
    </row>
    <row r="43" spans="2:40" ht="13.5" customHeight="1">
      <c r="B43" s="137">
        <v>192908</v>
      </c>
      <c r="C43" s="137">
        <v>8.18</v>
      </c>
      <c r="D43" s="137">
        <v>-9.59</v>
      </c>
      <c r="E43" s="137">
        <v>0.13</v>
      </c>
      <c r="F43" s="137">
        <v>0.4</v>
      </c>
      <c r="H43" s="288"/>
      <c r="I43" s="293"/>
      <c r="M43" s="288"/>
      <c r="S43" s="289">
        <v>44835</v>
      </c>
      <c r="T43" s="289">
        <v>49.380001</v>
      </c>
      <c r="U43" s="289">
        <v>54.380001</v>
      </c>
      <c r="V43" s="289">
        <v>33.169998</v>
      </c>
      <c r="W43" s="289">
        <v>37.290000999999997</v>
      </c>
      <c r="X43" s="289">
        <v>35.713569999999997</v>
      </c>
      <c r="Y43" s="289">
        <v>236340500</v>
      </c>
      <c r="Z43" s="289">
        <v>-0.25864809737073069</v>
      </c>
      <c r="AA43" s="290">
        <v>-0.25864809737073069</v>
      </c>
      <c r="AB43" s="290">
        <f t="shared" si="0"/>
        <v>-0.42747905143703568</v>
      </c>
      <c r="AC43" s="290">
        <f t="shared" si="1"/>
        <v>-0.53338705707662393</v>
      </c>
      <c r="AE43" s="289">
        <v>202209</v>
      </c>
      <c r="AF43" s="290">
        <v>-9.35E-2</v>
      </c>
      <c r="AG43" s="290">
        <v>-8.1000000000000013E-3</v>
      </c>
      <c r="AH43" s="290">
        <v>5.0000000000000001E-4</v>
      </c>
      <c r="AI43" s="290">
        <v>1.9E-3</v>
      </c>
      <c r="AJ43" s="290">
        <v>-0.25864809737073069</v>
      </c>
      <c r="AK43" s="290">
        <f t="shared" si="2"/>
        <v>-0.2605480973707307</v>
      </c>
      <c r="AL43" s="290">
        <v>-0.42747905143703568</v>
      </c>
      <c r="AM43" s="290">
        <v>-0.53338705707662393</v>
      </c>
      <c r="AN43" s="290">
        <f t="shared" si="3"/>
        <v>-0.4293790514370357</v>
      </c>
    </row>
    <row r="44" spans="2:40" ht="13.5" customHeight="1">
      <c r="B44" s="137">
        <v>192909</v>
      </c>
      <c r="C44" s="137">
        <v>-5.47</v>
      </c>
      <c r="D44" s="137">
        <v>1.19</v>
      </c>
      <c r="E44" s="137">
        <v>-0.65</v>
      </c>
      <c r="F44" s="137">
        <v>0.35</v>
      </c>
      <c r="H44" s="288"/>
      <c r="I44" s="288" t="s">
        <v>738</v>
      </c>
      <c r="J44" s="15" t="s">
        <v>739</v>
      </c>
      <c r="M44" s="288"/>
      <c r="S44" s="289">
        <v>44866</v>
      </c>
      <c r="T44" s="289">
        <v>40.470001000000003</v>
      </c>
      <c r="U44" s="289">
        <v>58.779998999999997</v>
      </c>
      <c r="V44" s="289">
        <v>38.090000000000003</v>
      </c>
      <c r="W44" s="289">
        <v>57.18</v>
      </c>
      <c r="X44" s="289">
        <v>54.762726000000001</v>
      </c>
      <c r="Y44" s="289">
        <v>242457100</v>
      </c>
      <c r="Z44" s="289">
        <v>0.53338705707662393</v>
      </c>
      <c r="AA44" s="290">
        <v>0.53338705707662393</v>
      </c>
      <c r="AB44" s="290">
        <f t="shared" si="0"/>
        <v>1.8533824111539938E-2</v>
      </c>
      <c r="AC44" s="290">
        <f t="shared" si="1"/>
        <v>1.8363128964763345E-2</v>
      </c>
      <c r="AE44" s="289">
        <v>202210</v>
      </c>
      <c r="AF44" s="290">
        <v>7.8299999999999995E-2</v>
      </c>
      <c r="AG44" s="290">
        <v>5.9999999999999995E-4</v>
      </c>
      <c r="AH44" s="290">
        <v>8.0100000000000005E-2</v>
      </c>
      <c r="AI44" s="290">
        <v>2.3E-3</v>
      </c>
      <c r="AJ44" s="290">
        <v>0.53338705707662393</v>
      </c>
      <c r="AK44" s="290">
        <f t="shared" si="2"/>
        <v>0.53108705707662396</v>
      </c>
      <c r="AL44" s="290">
        <v>1.8533824111539938E-2</v>
      </c>
      <c r="AM44" s="290">
        <v>1.8363128964763345E-2</v>
      </c>
      <c r="AN44" s="290">
        <f t="shared" si="3"/>
        <v>1.6233824111539938E-2</v>
      </c>
    </row>
    <row r="45" spans="2:40" ht="13.5" customHeight="1">
      <c r="B45" s="137">
        <v>192910</v>
      </c>
      <c r="C45" s="137">
        <v>-20.12</v>
      </c>
      <c r="D45" s="137">
        <v>-4.01</v>
      </c>
      <c r="E45" s="137">
        <v>7.78</v>
      </c>
      <c r="F45" s="137">
        <v>0.46</v>
      </c>
      <c r="H45" s="288" t="s">
        <v>740</v>
      </c>
      <c r="I45" s="294">
        <v>0.5</v>
      </c>
      <c r="J45" s="289">
        <v>0.03</v>
      </c>
      <c r="K45" s="137">
        <f t="shared" ref="K45:K49" si="4">I45*J45</f>
        <v>1.4999999999999999E-2</v>
      </c>
      <c r="M45" s="288"/>
      <c r="S45" s="289">
        <v>44896</v>
      </c>
      <c r="T45" s="289">
        <v>55.330002</v>
      </c>
      <c r="U45" s="289">
        <v>61.400002000000001</v>
      </c>
      <c r="V45" s="289">
        <v>54.68</v>
      </c>
      <c r="W45" s="289">
        <v>56.130001</v>
      </c>
      <c r="X45" s="289">
        <v>53.757111000000002</v>
      </c>
      <c r="Y45" s="289">
        <v>149114500</v>
      </c>
      <c r="Z45" s="289">
        <v>-1.8363128964763331E-2</v>
      </c>
      <c r="AA45" s="290">
        <v>-1.8363128964763331E-2</v>
      </c>
      <c r="AB45" s="290">
        <f t="shared" si="0"/>
        <v>-5.8809986119162931E-2</v>
      </c>
      <c r="AC45" s="290">
        <f t="shared" si="1"/>
        <v>-6.0573697868548049E-2</v>
      </c>
      <c r="AE45" s="289">
        <v>202211</v>
      </c>
      <c r="AF45" s="290">
        <v>4.5999999999999999E-2</v>
      </c>
      <c r="AG45" s="290">
        <v>-3.5200000000000002E-2</v>
      </c>
      <c r="AH45" s="290">
        <v>1.38E-2</v>
      </c>
      <c r="AI45" s="290">
        <v>2.8999999999999998E-3</v>
      </c>
      <c r="AJ45" s="290">
        <v>-1.8363128964763331E-2</v>
      </c>
      <c r="AK45" s="290">
        <f t="shared" si="2"/>
        <v>-2.1263128964763331E-2</v>
      </c>
      <c r="AL45" s="290">
        <v>-5.8809986119162931E-2</v>
      </c>
      <c r="AM45" s="290">
        <v>-6.0573697868548049E-2</v>
      </c>
      <c r="AN45" s="290">
        <f t="shared" si="3"/>
        <v>-6.1709986119162931E-2</v>
      </c>
    </row>
    <row r="46" spans="2:40" ht="13.5" customHeight="1">
      <c r="B46" s="137">
        <v>192911</v>
      </c>
      <c r="C46" s="137">
        <v>-12.74</v>
      </c>
      <c r="D46" s="137">
        <v>-1.72</v>
      </c>
      <c r="E46" s="137">
        <v>5.05</v>
      </c>
      <c r="F46" s="137">
        <v>0.37</v>
      </c>
      <c r="H46" s="288" t="s">
        <v>741</v>
      </c>
      <c r="I46" s="289">
        <v>-0.3</v>
      </c>
      <c r="J46" s="137">
        <v>0.02</v>
      </c>
      <c r="K46" s="137">
        <f t="shared" si="4"/>
        <v>-6.0000000000000001E-3</v>
      </c>
      <c r="M46" s="288"/>
      <c r="S46" s="289">
        <v>44927</v>
      </c>
      <c r="T46" s="289">
        <v>57.970001000000003</v>
      </c>
      <c r="U46" s="289">
        <v>67.095000999999996</v>
      </c>
      <c r="V46" s="289">
        <v>56.869999</v>
      </c>
      <c r="W46" s="289">
        <v>59.529998999999997</v>
      </c>
      <c r="X46" s="289">
        <v>57.013378000000003</v>
      </c>
      <c r="Y46" s="289">
        <v>145372000</v>
      </c>
      <c r="Z46" s="289">
        <v>6.0573697868548049E-2</v>
      </c>
      <c r="AA46" s="290">
        <v>6.0573697868548049E-2</v>
      </c>
      <c r="AB46" s="290">
        <f t="shared" si="0"/>
        <v>0.292340411397982</v>
      </c>
      <c r="AC46" s="290">
        <f t="shared" si="1"/>
        <v>0.2534856292851127</v>
      </c>
      <c r="AE46" s="289">
        <v>202212</v>
      </c>
      <c r="AF46" s="290">
        <v>-6.4100000000000004E-2</v>
      </c>
      <c r="AG46" s="290">
        <v>-6.8999999999999999E-3</v>
      </c>
      <c r="AH46" s="290">
        <v>1.37E-2</v>
      </c>
      <c r="AI46" s="290">
        <v>3.3E-3</v>
      </c>
      <c r="AJ46" s="290">
        <v>6.0573697868548049E-2</v>
      </c>
      <c r="AK46" s="290">
        <f t="shared" si="2"/>
        <v>5.7273697868548051E-2</v>
      </c>
      <c r="AL46" s="290">
        <v>0.292340411397982</v>
      </c>
      <c r="AM46" s="290">
        <v>0.2534856292851127</v>
      </c>
      <c r="AN46" s="290">
        <f t="shared" si="3"/>
        <v>0.28904041139798198</v>
      </c>
    </row>
    <row r="47" spans="2:40" ht="13.5" customHeight="1">
      <c r="B47" s="137">
        <v>192912</v>
      </c>
      <c r="C47" s="137">
        <v>1.33</v>
      </c>
      <c r="D47" s="137">
        <v>-4.5</v>
      </c>
      <c r="E47" s="137">
        <v>-0.54</v>
      </c>
      <c r="F47" s="137">
        <v>0.37</v>
      </c>
      <c r="H47" s="288" t="s">
        <v>742</v>
      </c>
      <c r="I47" s="293">
        <v>0.9</v>
      </c>
      <c r="J47" s="289">
        <v>0.03</v>
      </c>
      <c r="K47" s="137">
        <f t="shared" si="4"/>
        <v>2.7E-2</v>
      </c>
      <c r="M47" s="288"/>
      <c r="S47" s="289">
        <v>44958</v>
      </c>
      <c r="T47" s="289">
        <v>60.130001</v>
      </c>
      <c r="U47" s="289">
        <v>61.759998000000003</v>
      </c>
      <c r="V47" s="289">
        <v>43.970001000000003</v>
      </c>
      <c r="W47" s="289">
        <v>44.439999</v>
      </c>
      <c r="X47" s="289">
        <v>42.561306000000002</v>
      </c>
      <c r="Y47" s="289">
        <v>169694800</v>
      </c>
      <c r="Z47" s="289">
        <v>-0.25348562928511276</v>
      </c>
      <c r="AA47" s="290">
        <v>-0.25348562928511276</v>
      </c>
      <c r="AB47" s="290">
        <f t="shared" si="0"/>
        <v>1.2453536327615387E-2</v>
      </c>
      <c r="AC47" s="290">
        <f t="shared" si="1"/>
        <v>1.2376311948698234E-2</v>
      </c>
      <c r="AE47" s="289">
        <v>202301</v>
      </c>
      <c r="AF47" s="290">
        <v>6.6500000000000004E-2</v>
      </c>
      <c r="AG47" s="290">
        <v>5.0099999999999999E-2</v>
      </c>
      <c r="AH47" s="290">
        <v>-4.0099999999999997E-2</v>
      </c>
      <c r="AI47" s="290">
        <v>3.4999999999999996E-3</v>
      </c>
      <c r="AJ47" s="290">
        <v>-0.25348562928511276</v>
      </c>
      <c r="AK47" s="290">
        <f t="shared" si="2"/>
        <v>-0.25698562928511276</v>
      </c>
      <c r="AL47" s="290">
        <v>1.2453536327615387E-2</v>
      </c>
      <c r="AM47" s="290">
        <v>1.2376311948698234E-2</v>
      </c>
      <c r="AN47" s="290">
        <f t="shared" si="3"/>
        <v>8.9535363276153877E-3</v>
      </c>
    </row>
    <row r="48" spans="2:40" ht="13.5" customHeight="1">
      <c r="B48" s="137">
        <v>193001</v>
      </c>
      <c r="C48" s="137">
        <v>5.61</v>
      </c>
      <c r="D48" s="137">
        <v>3.55</v>
      </c>
      <c r="E48" s="137">
        <v>-0.96</v>
      </c>
      <c r="F48" s="137">
        <v>0.14000000000000001</v>
      </c>
      <c r="H48" s="15" t="s">
        <v>743</v>
      </c>
      <c r="I48" s="137">
        <v>0.4</v>
      </c>
      <c r="J48" s="137">
        <v>1.2E-2</v>
      </c>
      <c r="K48" s="137">
        <f t="shared" si="4"/>
        <v>4.8000000000000004E-3</v>
      </c>
      <c r="S48" s="289">
        <v>44986</v>
      </c>
      <c r="T48" s="289">
        <v>46.540000999999997</v>
      </c>
      <c r="U48" s="289">
        <v>48.720001000000003</v>
      </c>
      <c r="V48" s="289">
        <v>37.700001</v>
      </c>
      <c r="W48" s="289">
        <v>43.889999000000003</v>
      </c>
      <c r="X48" s="289">
        <v>42.034554</v>
      </c>
      <c r="Y48" s="289">
        <v>281650700</v>
      </c>
      <c r="Z48" s="289">
        <v>-1.237631194869826E-2</v>
      </c>
      <c r="AA48" s="290">
        <v>-1.237631194869826E-2</v>
      </c>
      <c r="AB48" s="290">
        <f t="shared" si="0"/>
        <v>0.20597569074781316</v>
      </c>
      <c r="AC48" s="290">
        <f t="shared" si="1"/>
        <v>0.18614713980312486</v>
      </c>
      <c r="AE48" s="289">
        <v>202302</v>
      </c>
      <c r="AF48" s="290">
        <v>-2.58E-2</v>
      </c>
      <c r="AG48" s="290">
        <v>1.1699999999999999E-2</v>
      </c>
      <c r="AH48" s="290">
        <v>-8.1000000000000013E-3</v>
      </c>
      <c r="AI48" s="290">
        <v>3.4000000000000002E-3</v>
      </c>
      <c r="AJ48" s="290">
        <v>-1.237631194869826E-2</v>
      </c>
      <c r="AK48" s="290">
        <f t="shared" si="2"/>
        <v>-1.577631194869826E-2</v>
      </c>
      <c r="AL48" s="290">
        <v>0.20597569074781316</v>
      </c>
      <c r="AM48" s="290">
        <v>0.18614713980312486</v>
      </c>
      <c r="AN48" s="290">
        <f t="shared" si="3"/>
        <v>0.20257569074781318</v>
      </c>
    </row>
    <row r="49" spans="2:40" ht="13.5" customHeight="1">
      <c r="B49" s="137">
        <v>193002</v>
      </c>
      <c r="C49" s="137">
        <v>2.5</v>
      </c>
      <c r="D49" s="137">
        <v>0.19</v>
      </c>
      <c r="E49" s="137">
        <v>0.2</v>
      </c>
      <c r="F49" s="137">
        <v>0.3</v>
      </c>
      <c r="H49" s="288" t="s">
        <v>744</v>
      </c>
      <c r="I49" s="295">
        <v>0.6</v>
      </c>
      <c r="J49" s="137">
        <v>2.1000000000000001E-2</v>
      </c>
      <c r="K49" s="137">
        <f t="shared" si="4"/>
        <v>1.26E-2</v>
      </c>
      <c r="M49" s="288"/>
      <c r="S49" s="289">
        <v>45017</v>
      </c>
      <c r="T49" s="289">
        <v>43.27</v>
      </c>
      <c r="U49" s="289">
        <v>43.560001</v>
      </c>
      <c r="V49" s="289">
        <v>33.529998999999997</v>
      </c>
      <c r="W49" s="289">
        <v>35.720001000000003</v>
      </c>
      <c r="X49" s="289">
        <v>34.209941999999998</v>
      </c>
      <c r="Y49" s="289">
        <v>206055300</v>
      </c>
      <c r="Z49" s="289">
        <v>-0.18614713980312492</v>
      </c>
      <c r="AA49" s="290">
        <v>-0.18614713980312492</v>
      </c>
      <c r="AB49" s="290">
        <f t="shared" si="0"/>
        <v>7.6469248945396251E-2</v>
      </c>
      <c r="AC49" s="290">
        <f t="shared" si="1"/>
        <v>7.3618598944131447E-2</v>
      </c>
      <c r="AE49" s="289">
        <v>202303</v>
      </c>
      <c r="AF49" s="290">
        <v>2.5099999999999997E-2</v>
      </c>
      <c r="AG49" s="290">
        <v>-5.5099999999999996E-2</v>
      </c>
      <c r="AH49" s="290">
        <v>-8.8499999999999995E-2</v>
      </c>
      <c r="AI49" s="290">
        <v>3.5999999999999999E-3</v>
      </c>
      <c r="AJ49" s="290">
        <v>-0.18614713980312492</v>
      </c>
      <c r="AK49" s="290">
        <f t="shared" si="2"/>
        <v>-0.18974713980312491</v>
      </c>
      <c r="AL49" s="290">
        <v>7.6469248945396251E-2</v>
      </c>
      <c r="AM49" s="290">
        <v>7.3618598944131447E-2</v>
      </c>
      <c r="AN49" s="290">
        <f t="shared" si="3"/>
        <v>7.2869248945396245E-2</v>
      </c>
    </row>
    <row r="50" spans="2:40" ht="13.5" customHeight="1">
      <c r="B50" s="137">
        <v>193003</v>
      </c>
      <c r="C50" s="137">
        <v>7.1</v>
      </c>
      <c r="D50" s="137">
        <v>3.41</v>
      </c>
      <c r="E50" s="137">
        <v>0.33</v>
      </c>
      <c r="F50" s="137">
        <v>0.35</v>
      </c>
      <c r="S50" s="289">
        <v>45047</v>
      </c>
      <c r="T50" s="289">
        <v>35.720001000000003</v>
      </c>
      <c r="U50" s="289">
        <v>38.200001</v>
      </c>
      <c r="V50" s="289">
        <v>31.565000999999999</v>
      </c>
      <c r="W50" s="289">
        <v>32.599997999999999</v>
      </c>
      <c r="X50" s="289">
        <v>31.691454</v>
      </c>
      <c r="Y50" s="289">
        <v>271693200</v>
      </c>
      <c r="Z50" s="289">
        <v>-7.3618598944131475E-2</v>
      </c>
      <c r="AA50" s="290">
        <v>-7.3618598944131475E-2</v>
      </c>
      <c r="AB50" s="290">
        <f t="shared" si="0"/>
        <v>-4.5864605625971111E-2</v>
      </c>
      <c r="AC50" s="290">
        <f t="shared" si="1"/>
        <v>-4.6932652569364582E-2</v>
      </c>
      <c r="AE50" s="289">
        <v>202304</v>
      </c>
      <c r="AF50" s="290">
        <v>6.0999999999999995E-3</v>
      </c>
      <c r="AG50" s="290">
        <v>-3.3500000000000002E-2</v>
      </c>
      <c r="AH50" s="290">
        <v>-4.0000000000000002E-4</v>
      </c>
      <c r="AI50" s="290">
        <v>3.4999999999999996E-3</v>
      </c>
      <c r="AJ50" s="290">
        <v>-7.3618598944131475E-2</v>
      </c>
      <c r="AK50" s="290">
        <f t="shared" si="2"/>
        <v>-7.7118598944131478E-2</v>
      </c>
      <c r="AL50" s="290">
        <v>-4.5864605625971111E-2</v>
      </c>
      <c r="AM50" s="290">
        <v>-4.6932652569364582E-2</v>
      </c>
      <c r="AN50" s="290">
        <f t="shared" si="3"/>
        <v>-4.9364605625971114E-2</v>
      </c>
    </row>
    <row r="51" spans="2:40" ht="13.5" customHeight="1">
      <c r="B51" s="137">
        <v>193004</v>
      </c>
      <c r="C51" s="137">
        <v>-2.06</v>
      </c>
      <c r="D51" s="137">
        <v>-0.35</v>
      </c>
      <c r="E51" s="137">
        <v>-0.35</v>
      </c>
      <c r="F51" s="137">
        <v>0.21</v>
      </c>
      <c r="H51" s="288" t="s">
        <v>97</v>
      </c>
      <c r="I51" s="15" t="s">
        <v>745</v>
      </c>
      <c r="J51" s="15"/>
      <c r="K51" s="297">
        <f>I42+SUM(K45:K49)</f>
        <v>9.3399999999999997E-2</v>
      </c>
      <c r="M51" s="288"/>
      <c r="S51" s="289">
        <v>45078</v>
      </c>
      <c r="T51" s="289">
        <v>33.279998999999997</v>
      </c>
      <c r="U51" s="289">
        <v>40.68</v>
      </c>
      <c r="V51" s="289">
        <v>33.25</v>
      </c>
      <c r="W51" s="289">
        <v>34.130001</v>
      </c>
      <c r="X51" s="289">
        <v>33.178818</v>
      </c>
      <c r="Y51" s="289">
        <v>228541400</v>
      </c>
      <c r="Z51" s="289">
        <v>4.6932652569364519E-2</v>
      </c>
      <c r="AA51" s="290">
        <v>4.6932652569364519E-2</v>
      </c>
      <c r="AB51" s="290">
        <f t="shared" si="0"/>
        <v>-0.1909277927004587</v>
      </c>
      <c r="AC51" s="290">
        <f t="shared" si="1"/>
        <v>-0.21037205122858818</v>
      </c>
      <c r="AE51" s="289">
        <v>202305</v>
      </c>
      <c r="AF51" s="290">
        <v>3.4999999999999996E-3</v>
      </c>
      <c r="AG51" s="290">
        <v>1.61E-2</v>
      </c>
      <c r="AH51" s="290">
        <v>-7.7199999999999991E-2</v>
      </c>
      <c r="AI51" s="290">
        <v>3.5999999999999999E-3</v>
      </c>
      <c r="AJ51" s="290">
        <v>4.6932652569364519E-2</v>
      </c>
      <c r="AK51" s="290">
        <f t="shared" si="2"/>
        <v>4.333265256936452E-2</v>
      </c>
      <c r="AL51" s="290">
        <v>-0.1909277927004587</v>
      </c>
      <c r="AM51" s="290">
        <v>-0.21037205122858818</v>
      </c>
      <c r="AN51" s="290">
        <f t="shared" si="3"/>
        <v>-0.1945277927004587</v>
      </c>
    </row>
    <row r="52" spans="2:40" ht="13.5" customHeight="1">
      <c r="B52" s="137">
        <v>193005</v>
      </c>
      <c r="C52" s="137">
        <v>-1.66</v>
      </c>
      <c r="D52" s="137">
        <v>-2.0099999999999998</v>
      </c>
      <c r="E52" s="137">
        <v>-0.73</v>
      </c>
      <c r="F52" s="137">
        <v>0.26</v>
      </c>
      <c r="S52" s="289">
        <v>45108</v>
      </c>
      <c r="T52" s="289">
        <v>35.099997999999999</v>
      </c>
      <c r="U52" s="289">
        <v>41.952998999999998</v>
      </c>
      <c r="V52" s="289">
        <v>33.805</v>
      </c>
      <c r="W52" s="289">
        <v>41.310001</v>
      </c>
      <c r="X52" s="289">
        <v>40.158714000000003</v>
      </c>
      <c r="Y52" s="289">
        <v>215589200</v>
      </c>
      <c r="Z52" s="289">
        <v>0.21037205122858826</v>
      </c>
      <c r="AA52" s="290">
        <v>0.21037205122858826</v>
      </c>
      <c r="AB52" s="290">
        <f t="shared" si="0"/>
        <v>0.21825363890156951</v>
      </c>
      <c r="AC52" s="290">
        <f t="shared" si="1"/>
        <v>0.19607848996359808</v>
      </c>
      <c r="AE52" s="289">
        <v>202306</v>
      </c>
      <c r="AF52" s="290">
        <v>6.4600000000000005E-2</v>
      </c>
      <c r="AG52" s="290">
        <v>1.54E-2</v>
      </c>
      <c r="AH52" s="290">
        <v>-2.5999999999999999E-3</v>
      </c>
      <c r="AI52" s="290">
        <v>4.0000000000000001E-3</v>
      </c>
      <c r="AJ52" s="290">
        <v>0.21037205122858826</v>
      </c>
      <c r="AK52" s="290">
        <f t="shared" si="2"/>
        <v>0.20637205122858826</v>
      </c>
      <c r="AL52" s="290">
        <v>0.21825363890156951</v>
      </c>
      <c r="AM52" s="290">
        <v>0.19607848996359808</v>
      </c>
      <c r="AN52" s="290">
        <f t="shared" si="3"/>
        <v>0.21425363890156951</v>
      </c>
    </row>
    <row r="53" spans="2:40" ht="13.5" customHeight="1">
      <c r="B53" s="137">
        <v>193006</v>
      </c>
      <c r="C53" s="137">
        <v>-16.27</v>
      </c>
      <c r="D53" s="137">
        <v>-3.38</v>
      </c>
      <c r="E53" s="137">
        <v>2.33</v>
      </c>
      <c r="F53" s="137">
        <v>0.27</v>
      </c>
      <c r="H53" s="288"/>
      <c r="I53" s="293"/>
      <c r="M53" s="288"/>
      <c r="S53" s="289">
        <v>45139</v>
      </c>
      <c r="T53" s="289">
        <v>40.419998</v>
      </c>
      <c r="U53" s="289">
        <v>40.810001</v>
      </c>
      <c r="V53" s="289">
        <v>32.325001</v>
      </c>
      <c r="W53" s="289">
        <v>33.209999000000003</v>
      </c>
      <c r="X53" s="289">
        <v>32.284453999999997</v>
      </c>
      <c r="Y53" s="289">
        <v>227201100</v>
      </c>
      <c r="Z53" s="289">
        <v>-0.19607848996359811</v>
      </c>
      <c r="AA53" s="290">
        <v>-0.19607848996359811</v>
      </c>
      <c r="AB53" s="290">
        <f t="shared" si="0"/>
        <v>0.13108248378046222</v>
      </c>
      <c r="AC53" s="290">
        <f t="shared" si="1"/>
        <v>0.12285457886325094</v>
      </c>
      <c r="AE53" s="289">
        <v>202307</v>
      </c>
      <c r="AF53" s="290">
        <v>3.2099999999999997E-2</v>
      </c>
      <c r="AG53" s="290">
        <v>2.0799999999999999E-2</v>
      </c>
      <c r="AH53" s="290">
        <v>4.1100000000000005E-2</v>
      </c>
      <c r="AI53" s="290">
        <v>4.5000000000000005E-3</v>
      </c>
      <c r="AJ53" s="290">
        <v>-0.19607848996359811</v>
      </c>
      <c r="AK53" s="290">
        <f t="shared" si="2"/>
        <v>-0.20057848996359812</v>
      </c>
      <c r="AL53" s="290">
        <v>0.13108248378046222</v>
      </c>
      <c r="AM53" s="290">
        <v>0.12285457886325094</v>
      </c>
      <c r="AN53" s="290">
        <f t="shared" si="3"/>
        <v>0.12658248378046222</v>
      </c>
    </row>
    <row r="54" spans="2:40" ht="13.5" customHeight="1">
      <c r="B54" s="137">
        <v>193007</v>
      </c>
      <c r="C54" s="137">
        <v>4.12</v>
      </c>
      <c r="D54" s="137">
        <v>-0.28000000000000003</v>
      </c>
      <c r="E54" s="137">
        <v>-1.75</v>
      </c>
      <c r="F54" s="137">
        <v>0.2</v>
      </c>
      <c r="H54" s="298" t="s">
        <v>746</v>
      </c>
      <c r="I54" s="59"/>
      <c r="J54" s="59"/>
      <c r="K54" s="59"/>
      <c r="M54" s="288"/>
      <c r="S54" s="289">
        <v>45170</v>
      </c>
      <c r="T54" s="289">
        <v>33.849997999999999</v>
      </c>
      <c r="U54" s="289">
        <v>34.950001</v>
      </c>
      <c r="V54" s="289">
        <v>28.07</v>
      </c>
      <c r="W54" s="289">
        <v>29.129999000000002</v>
      </c>
      <c r="X54" s="289">
        <v>28.318161</v>
      </c>
      <c r="Y54" s="289">
        <v>172630000</v>
      </c>
      <c r="Z54" s="289">
        <v>-0.12285457886325091</v>
      </c>
      <c r="AA54" s="290">
        <v>-0.12285457886325091</v>
      </c>
      <c r="AB54" s="290">
        <f t="shared" si="0"/>
        <v>0.13623230133421524</v>
      </c>
      <c r="AC54" s="290">
        <f t="shared" si="1"/>
        <v>0.12736010647019066</v>
      </c>
      <c r="AE54" s="289">
        <v>202308</v>
      </c>
      <c r="AF54" s="290">
        <v>-2.3900000000000001E-2</v>
      </c>
      <c r="AG54" s="290">
        <v>-3.1600000000000003E-2</v>
      </c>
      <c r="AH54" s="290">
        <v>-1.06E-2</v>
      </c>
      <c r="AI54" s="290">
        <v>4.5000000000000005E-3</v>
      </c>
      <c r="AJ54" s="290">
        <v>-0.12285457886325091</v>
      </c>
      <c r="AK54" s="290">
        <f t="shared" si="2"/>
        <v>-0.12735457886325091</v>
      </c>
      <c r="AL54" s="290">
        <v>0.13623230133421524</v>
      </c>
      <c r="AM54" s="290">
        <v>0.12736010647019066</v>
      </c>
      <c r="AN54" s="290">
        <f t="shared" si="3"/>
        <v>0.13173230133421523</v>
      </c>
    </row>
    <row r="55" spans="2:40" ht="13.5" customHeight="1">
      <c r="B55" s="137">
        <v>193008</v>
      </c>
      <c r="C55" s="137">
        <v>0.3</v>
      </c>
      <c r="D55" s="137">
        <v>-2.1</v>
      </c>
      <c r="E55" s="137">
        <v>-0.61</v>
      </c>
      <c r="F55" s="137">
        <v>0.09</v>
      </c>
      <c r="H55" s="15"/>
      <c r="M55" s="288"/>
      <c r="S55" s="289">
        <v>45200</v>
      </c>
      <c r="T55" s="289">
        <v>29.247999</v>
      </c>
      <c r="U55" s="289">
        <v>30.799999</v>
      </c>
      <c r="V55" s="289">
        <v>24.01</v>
      </c>
      <c r="W55" s="289">
        <v>25.42</v>
      </c>
      <c r="X55" s="289">
        <v>24.711556999999999</v>
      </c>
      <c r="Y55" s="289">
        <v>288340900</v>
      </c>
      <c r="Z55" s="289">
        <v>-0.12736010647019069</v>
      </c>
      <c r="AA55" s="290">
        <v>-0.12736010647019069</v>
      </c>
      <c r="AB55" s="290">
        <f t="shared" si="0"/>
        <v>-7.6101103672635451E-2</v>
      </c>
      <c r="AC55" s="290">
        <f t="shared" si="1"/>
        <v>-7.9071666750905337E-2</v>
      </c>
      <c r="AE55" s="289">
        <v>202309</v>
      </c>
      <c r="AF55" s="290">
        <v>-5.2400000000000002E-2</v>
      </c>
      <c r="AG55" s="290">
        <v>-2.5099999999999997E-2</v>
      </c>
      <c r="AH55" s="290">
        <v>1.52E-2</v>
      </c>
      <c r="AI55" s="290">
        <v>4.3E-3</v>
      </c>
      <c r="AJ55" s="290">
        <v>-0.12736010647019069</v>
      </c>
      <c r="AK55" s="290">
        <f t="shared" si="2"/>
        <v>-0.13166010647019069</v>
      </c>
      <c r="AL55" s="290">
        <v>-7.6101103672635451E-2</v>
      </c>
      <c r="AM55" s="290">
        <v>-7.9071666750905337E-2</v>
      </c>
      <c r="AN55" s="290">
        <f t="shared" si="3"/>
        <v>-8.0401103672635449E-2</v>
      </c>
    </row>
    <row r="56" spans="2:40" ht="13.5" customHeight="1">
      <c r="B56" s="137">
        <v>193009</v>
      </c>
      <c r="C56" s="137">
        <v>-12.75</v>
      </c>
      <c r="D56" s="137">
        <v>-2.21</v>
      </c>
      <c r="E56" s="137">
        <v>-4.96</v>
      </c>
      <c r="F56" s="137">
        <v>0.22</v>
      </c>
      <c r="H56" s="288" t="s">
        <v>23</v>
      </c>
      <c r="I56" s="293"/>
      <c r="S56" s="289">
        <v>45231</v>
      </c>
      <c r="T56" s="289">
        <v>25.450001</v>
      </c>
      <c r="U56" s="289">
        <v>29.27</v>
      </c>
      <c r="V56" s="289">
        <v>24.959999</v>
      </c>
      <c r="W56" s="289">
        <v>27.43</v>
      </c>
      <c r="X56" s="289">
        <v>26.665541000000001</v>
      </c>
      <c r="Y56" s="289">
        <v>257616500</v>
      </c>
      <c r="Z56" s="289">
        <v>7.9071666750905267E-2</v>
      </c>
      <c r="AA56" s="290">
        <v>7.9071666750905267E-2</v>
      </c>
      <c r="AB56" s="290">
        <f t="shared" si="0"/>
        <v>-5.1858152426012237E-2</v>
      </c>
      <c r="AC56" s="290">
        <f t="shared" si="1"/>
        <v>-5.3226334316637279E-2</v>
      </c>
      <c r="AE56" s="289">
        <v>202310</v>
      </c>
      <c r="AF56" s="290">
        <v>-3.1899999999999998E-2</v>
      </c>
      <c r="AG56" s="290">
        <v>-3.8699999999999998E-2</v>
      </c>
      <c r="AH56" s="290">
        <v>1.9E-3</v>
      </c>
      <c r="AI56" s="290">
        <v>4.6999999999999993E-3</v>
      </c>
      <c r="AJ56" s="290">
        <v>7.9071666750905267E-2</v>
      </c>
      <c r="AK56" s="290">
        <f t="shared" si="2"/>
        <v>7.4371666750905271E-2</v>
      </c>
      <c r="AL56" s="290">
        <v>-5.1858152426012237E-2</v>
      </c>
      <c r="AM56" s="290">
        <v>-5.3226334316637279E-2</v>
      </c>
      <c r="AN56" s="290">
        <f t="shared" si="3"/>
        <v>-5.655815242601224E-2</v>
      </c>
    </row>
    <row r="57" spans="2:40" ht="13.5" customHeight="1">
      <c r="B57" s="137">
        <v>193010</v>
      </c>
      <c r="C57" s="137">
        <v>-8.7799999999999994</v>
      </c>
      <c r="D57" s="137">
        <v>-0.12</v>
      </c>
      <c r="E57" s="137">
        <v>-1.38</v>
      </c>
      <c r="F57" s="137">
        <v>0.09</v>
      </c>
      <c r="H57" s="288" t="s">
        <v>747</v>
      </c>
      <c r="I57" s="288" t="s">
        <v>748</v>
      </c>
      <c r="J57" s="137">
        <v>0.02</v>
      </c>
      <c r="S57" s="289">
        <v>45261</v>
      </c>
      <c r="T57" s="289">
        <v>26.91</v>
      </c>
      <c r="U57" s="289">
        <v>29.184999000000001</v>
      </c>
      <c r="V57" s="289">
        <v>24.66</v>
      </c>
      <c r="W57" s="289">
        <v>28.889999</v>
      </c>
      <c r="X57" s="289">
        <v>28.084849999999999</v>
      </c>
      <c r="Y57" s="289">
        <v>285229100</v>
      </c>
      <c r="Z57" s="289">
        <v>5.3226334316637258E-2</v>
      </c>
      <c r="AA57" s="290">
        <v>5.3226334316637258E-2</v>
      </c>
      <c r="AB57" s="290">
        <f t="shared" si="0"/>
        <v>0.24776043310265455</v>
      </c>
      <c r="AC57" s="290">
        <f t="shared" si="1"/>
        <v>0.21945308591642823</v>
      </c>
      <c r="AE57" s="289">
        <v>202311</v>
      </c>
      <c r="AF57" s="290">
        <v>8.8399999999999992E-2</v>
      </c>
      <c r="AG57" s="290">
        <v>-2.0000000000000001E-4</v>
      </c>
      <c r="AH57" s="290">
        <v>1.6399999999999998E-2</v>
      </c>
      <c r="AI57" s="290">
        <v>4.4000000000000003E-3</v>
      </c>
      <c r="AJ57" s="290">
        <v>5.3226334316637258E-2</v>
      </c>
      <c r="AK57" s="290">
        <f t="shared" si="2"/>
        <v>4.8826334316637257E-2</v>
      </c>
      <c r="AL57" s="290">
        <v>0.24776043310265455</v>
      </c>
      <c r="AM57" s="290">
        <v>0.21945308591642823</v>
      </c>
      <c r="AN57" s="290">
        <f t="shared" si="3"/>
        <v>0.24336043310265457</v>
      </c>
    </row>
    <row r="58" spans="2:40" ht="13.5" customHeight="1">
      <c r="B58" s="137">
        <v>193011</v>
      </c>
      <c r="C58" s="137">
        <v>-3.04</v>
      </c>
      <c r="D58" s="137">
        <v>2.23</v>
      </c>
      <c r="E58" s="137">
        <v>-3.66</v>
      </c>
      <c r="F58" s="137">
        <v>0.13</v>
      </c>
      <c r="H58" s="288" t="s">
        <v>749</v>
      </c>
      <c r="I58" s="293" t="s">
        <v>750</v>
      </c>
      <c r="J58" s="137">
        <v>0.01</v>
      </c>
      <c r="S58" s="289">
        <v>45292</v>
      </c>
      <c r="T58" s="289">
        <v>28</v>
      </c>
      <c r="U58" s="289">
        <v>28.030000999999999</v>
      </c>
      <c r="V58" s="289">
        <v>20.82</v>
      </c>
      <c r="W58" s="289">
        <v>22.549999</v>
      </c>
      <c r="X58" s="289">
        <v>21.921543</v>
      </c>
      <c r="Y58" s="289">
        <v>338013100</v>
      </c>
      <c r="Z58" s="289">
        <v>-0.2194530859164282</v>
      </c>
      <c r="AA58" s="290">
        <v>-0.2194530859164282</v>
      </c>
      <c r="AB58" s="290">
        <f t="shared" si="0"/>
        <v>-3.0994895203717491E-3</v>
      </c>
      <c r="AC58" s="290">
        <f t="shared" si="1"/>
        <v>-3.1042979045772705E-3</v>
      </c>
      <c r="AE58" s="289">
        <v>202312</v>
      </c>
      <c r="AF58" s="290">
        <v>4.87E-2</v>
      </c>
      <c r="AG58" s="290">
        <v>6.3399999999999998E-2</v>
      </c>
      <c r="AH58" s="290">
        <v>4.9299999999999997E-2</v>
      </c>
      <c r="AI58" s="290">
        <v>4.3E-3</v>
      </c>
      <c r="AJ58" s="290">
        <v>-0.2194530859164282</v>
      </c>
      <c r="AK58" s="290">
        <f t="shared" si="2"/>
        <v>-0.2237530859164282</v>
      </c>
      <c r="AL58" s="290">
        <v>-3.0994895203717491E-3</v>
      </c>
      <c r="AM58" s="290">
        <v>-3.1042979045772705E-3</v>
      </c>
      <c r="AN58" s="290">
        <f t="shared" si="3"/>
        <v>-7.3994895203717496E-3</v>
      </c>
    </row>
    <row r="59" spans="2:40" ht="13.5" customHeight="1">
      <c r="B59" s="137">
        <v>193012</v>
      </c>
      <c r="C59" s="137">
        <v>-7.83</v>
      </c>
      <c r="D59" s="137">
        <v>-4.5999999999999996</v>
      </c>
      <c r="E59" s="137">
        <v>-5.25</v>
      </c>
      <c r="F59" s="137">
        <v>0.14000000000000001</v>
      </c>
      <c r="H59" s="288" t="s">
        <v>751</v>
      </c>
      <c r="I59" s="289" t="s">
        <v>752</v>
      </c>
      <c r="J59" s="137">
        <v>1.4999999999999999E-2</v>
      </c>
      <c r="S59" s="289">
        <v>45323</v>
      </c>
      <c r="T59" s="289">
        <v>22.58</v>
      </c>
      <c r="U59" s="289">
        <v>24.65</v>
      </c>
      <c r="V59" s="289">
        <v>21.524999999999999</v>
      </c>
      <c r="W59" s="289">
        <v>22.620000999999998</v>
      </c>
      <c r="X59" s="289">
        <v>21.989594</v>
      </c>
      <c r="Y59" s="289">
        <v>243512200</v>
      </c>
      <c r="Z59" s="289">
        <v>3.1042979045772245E-3</v>
      </c>
      <c r="AA59" s="290">
        <v>3.1042979045772245E-3</v>
      </c>
      <c r="AE59" s="289">
        <v>202401</v>
      </c>
      <c r="AF59" s="290">
        <v>7.0999999999999995E-3</v>
      </c>
      <c r="AG59" s="290">
        <v>-5.0900000000000001E-2</v>
      </c>
      <c r="AH59" s="290">
        <v>-2.3799999999999998E-2</v>
      </c>
      <c r="AI59" s="290">
        <v>4.6999999999999993E-3</v>
      </c>
      <c r="AJ59" s="290">
        <v>3.1042979045772245E-3</v>
      </c>
      <c r="AK59" s="290">
        <f t="shared" si="2"/>
        <v>-1.5957020954227748E-3</v>
      </c>
    </row>
    <row r="60" spans="2:40" ht="13.5" customHeight="1">
      <c r="B60" s="137">
        <v>193101</v>
      </c>
      <c r="C60" s="137">
        <v>6.24</v>
      </c>
      <c r="D60" s="137">
        <v>3.45</v>
      </c>
      <c r="E60" s="137">
        <v>7.12</v>
      </c>
      <c r="F60" s="137">
        <v>0.15</v>
      </c>
      <c r="H60" s="288" t="s">
        <v>753</v>
      </c>
      <c r="I60" s="294" t="s">
        <v>754</v>
      </c>
      <c r="J60" s="289">
        <v>0.03</v>
      </c>
    </row>
    <row r="61" spans="2:40" ht="13.5" customHeight="1">
      <c r="B61" s="137">
        <v>193102</v>
      </c>
      <c r="C61" s="137">
        <v>10.88</v>
      </c>
      <c r="D61" s="137">
        <v>3.59</v>
      </c>
      <c r="E61" s="137">
        <v>1.92</v>
      </c>
      <c r="F61" s="137">
        <v>0.04</v>
      </c>
      <c r="H61" s="288" t="s">
        <v>698</v>
      </c>
      <c r="I61" s="289" t="s">
        <v>755</v>
      </c>
      <c r="J61" s="137">
        <v>0.01</v>
      </c>
    </row>
    <row r="62" spans="2:40" ht="13.5" customHeight="1">
      <c r="B62" s="137">
        <v>193103</v>
      </c>
      <c r="C62" s="137">
        <v>-6.43</v>
      </c>
      <c r="D62" s="137">
        <v>2.98</v>
      </c>
      <c r="E62" s="137">
        <v>-3.44</v>
      </c>
      <c r="F62" s="137">
        <v>0.13</v>
      </c>
      <c r="H62" s="288"/>
      <c r="I62" s="293"/>
      <c r="J62" s="289"/>
    </row>
    <row r="63" spans="2:40" ht="13.5" customHeight="1">
      <c r="B63" s="137">
        <v>193104</v>
      </c>
      <c r="C63" s="137">
        <v>-9.98</v>
      </c>
      <c r="D63" s="137">
        <v>-4.45</v>
      </c>
      <c r="E63" s="137">
        <v>-3.82</v>
      </c>
      <c r="F63" s="137">
        <v>0.08</v>
      </c>
      <c r="H63" s="15" t="s">
        <v>756</v>
      </c>
      <c r="I63" s="15" t="s">
        <v>757</v>
      </c>
      <c r="J63" s="297">
        <f>((1+J57)*(1+J58)*(1+J59))-1+J60-J61</f>
        <v>6.5652999999999948E-2</v>
      </c>
    </row>
    <row r="64" spans="2:40" ht="13.5" customHeight="1">
      <c r="B64" s="137">
        <v>193105</v>
      </c>
      <c r="C64" s="137">
        <v>-13.24</v>
      </c>
      <c r="D64" s="137">
        <v>5.35</v>
      </c>
      <c r="E64" s="137">
        <v>-6.57</v>
      </c>
      <c r="F64" s="137">
        <v>0.09</v>
      </c>
      <c r="H64" s="288"/>
      <c r="I64" s="295"/>
      <c r="S64" s="288" t="s">
        <v>686</v>
      </c>
      <c r="T64" s="288" t="s">
        <v>687</v>
      </c>
      <c r="U64" s="288" t="s">
        <v>3</v>
      </c>
      <c r="V64" s="288" t="s">
        <v>1</v>
      </c>
      <c r="W64" s="288" t="s">
        <v>688</v>
      </c>
      <c r="X64" s="288" t="s">
        <v>689</v>
      </c>
      <c r="Y64" s="288" t="s">
        <v>690</v>
      </c>
      <c r="Z64" s="288" t="s">
        <v>691</v>
      </c>
      <c r="AA64" s="288" t="s">
        <v>692</v>
      </c>
      <c r="AD64" s="288" t="s">
        <v>686</v>
      </c>
      <c r="AE64" s="288" t="s">
        <v>695</v>
      </c>
      <c r="AF64" s="288" t="s">
        <v>704</v>
      </c>
      <c r="AG64" s="288" t="s">
        <v>705</v>
      </c>
      <c r="AH64" s="288" t="s">
        <v>698</v>
      </c>
    </row>
    <row r="65" spans="2:34" ht="13.5" customHeight="1">
      <c r="B65" s="137">
        <v>193106</v>
      </c>
      <c r="C65" s="137">
        <v>13.9</v>
      </c>
      <c r="D65" s="137">
        <v>-5.32</v>
      </c>
      <c r="E65" s="137">
        <v>11.29</v>
      </c>
      <c r="F65" s="137">
        <v>0.08</v>
      </c>
      <c r="S65" s="299">
        <v>43586</v>
      </c>
      <c r="T65" s="289">
        <v>30.34</v>
      </c>
      <c r="U65" s="289">
        <v>31</v>
      </c>
      <c r="V65" s="289">
        <v>25.48</v>
      </c>
      <c r="W65" s="289">
        <v>25.76</v>
      </c>
      <c r="X65" s="289">
        <v>24.063862</v>
      </c>
      <c r="Y65" s="289">
        <v>443581500</v>
      </c>
      <c r="AD65" s="299">
        <v>43586</v>
      </c>
      <c r="AE65" s="290">
        <v>-6.9400000000000003E-2</v>
      </c>
      <c r="AF65" s="290">
        <v>-1.32E-2</v>
      </c>
      <c r="AG65" s="290">
        <v>-2.3700000000000002E-2</v>
      </c>
      <c r="AH65" s="290">
        <v>2.0999999999999999E-3</v>
      </c>
    </row>
    <row r="66" spans="2:34" ht="13.5" customHeight="1">
      <c r="B66" s="137">
        <v>193107</v>
      </c>
      <c r="C66" s="137">
        <v>-6.62</v>
      </c>
      <c r="D66" s="137">
        <v>1.42</v>
      </c>
      <c r="E66" s="137">
        <v>-2.11</v>
      </c>
      <c r="F66" s="137">
        <v>0.06</v>
      </c>
      <c r="H66" s="298" t="s">
        <v>758</v>
      </c>
      <c r="I66" s="300"/>
      <c r="J66" s="59"/>
      <c r="K66" s="59"/>
      <c r="S66" s="299">
        <v>43617</v>
      </c>
      <c r="T66" s="289">
        <v>25.809999000000001</v>
      </c>
      <c r="U66" s="289">
        <v>30.68</v>
      </c>
      <c r="V66" s="289">
        <v>25.5</v>
      </c>
      <c r="W66" s="289">
        <v>30.290001</v>
      </c>
      <c r="X66" s="289">
        <v>28.295589</v>
      </c>
      <c r="Y66" s="289">
        <v>234777500</v>
      </c>
      <c r="Z66" s="289">
        <f t="shared" ref="Z66:Z123" si="5">X66/X65-1</f>
        <v>0.17585402542617645</v>
      </c>
      <c r="AA66" s="290">
        <f t="shared" ref="AA66:AA123" si="6">Z66</f>
        <v>0.17585402542617645</v>
      </c>
      <c r="AD66" s="299">
        <v>43617</v>
      </c>
      <c r="AE66" s="290">
        <v>6.93E-2</v>
      </c>
      <c r="AF66" s="290">
        <v>2.8999999999999998E-3</v>
      </c>
      <c r="AG66" s="290">
        <v>-7.0999999999999995E-3</v>
      </c>
      <c r="AH66" s="290">
        <v>1.8E-3</v>
      </c>
    </row>
    <row r="67" spans="2:34" ht="13.5" customHeight="1">
      <c r="B67" s="137">
        <v>193108</v>
      </c>
      <c r="C67" s="137">
        <v>0.41</v>
      </c>
      <c r="D67" s="137">
        <v>-1.95</v>
      </c>
      <c r="E67" s="137">
        <v>-1.47</v>
      </c>
      <c r="F67" s="137">
        <v>0.03</v>
      </c>
      <c r="H67" s="288"/>
      <c r="S67" s="299">
        <v>43647</v>
      </c>
      <c r="T67" s="289">
        <v>31.360001</v>
      </c>
      <c r="U67" s="289">
        <v>32.380001</v>
      </c>
      <c r="V67" s="289">
        <v>29.35</v>
      </c>
      <c r="W67" s="289">
        <v>29.91</v>
      </c>
      <c r="X67" s="289">
        <v>27.940608999999998</v>
      </c>
      <c r="Y67" s="289">
        <v>201366700</v>
      </c>
      <c r="Z67" s="289">
        <f t="shared" si="5"/>
        <v>-1.2545418298237299E-2</v>
      </c>
      <c r="AA67" s="290">
        <f t="shared" si="6"/>
        <v>-1.2545418298237299E-2</v>
      </c>
      <c r="AD67" s="299">
        <v>43647</v>
      </c>
      <c r="AE67" s="290">
        <v>1.1899999999999999E-2</v>
      </c>
      <c r="AF67" s="290">
        <v>-1.9299999999999998E-2</v>
      </c>
      <c r="AG67" s="290">
        <v>4.7999999999999996E-3</v>
      </c>
      <c r="AH67" s="290">
        <v>1.9E-3</v>
      </c>
    </row>
    <row r="68" spans="2:34" ht="13.5" customHeight="1">
      <c r="B68" s="137">
        <v>193109</v>
      </c>
      <c r="C68" s="137">
        <v>-29.13</v>
      </c>
      <c r="D68" s="137">
        <v>0.54</v>
      </c>
      <c r="E68" s="137">
        <v>-6.77</v>
      </c>
      <c r="F68" s="137">
        <v>0.03</v>
      </c>
      <c r="H68" s="15"/>
      <c r="I68" s="15" t="s">
        <v>759</v>
      </c>
      <c r="S68" s="299">
        <v>43678</v>
      </c>
      <c r="T68" s="289">
        <v>29.91</v>
      </c>
      <c r="U68" s="289">
        <v>32.279998999999997</v>
      </c>
      <c r="V68" s="289">
        <v>25.77</v>
      </c>
      <c r="W68" s="289">
        <v>30.5</v>
      </c>
      <c r="X68" s="289">
        <v>28.491762000000001</v>
      </c>
      <c r="Y68" s="289">
        <v>372145400</v>
      </c>
      <c r="Z68" s="289">
        <f t="shared" si="5"/>
        <v>1.9725876411641696E-2</v>
      </c>
      <c r="AA68" s="290">
        <f t="shared" si="6"/>
        <v>1.9725876411641696E-2</v>
      </c>
      <c r="AD68" s="299">
        <v>43678</v>
      </c>
      <c r="AE68" s="290">
        <v>-2.58E-2</v>
      </c>
      <c r="AF68" s="290">
        <v>-2.3799999999999998E-2</v>
      </c>
      <c r="AG68" s="290">
        <v>-4.7800000000000002E-2</v>
      </c>
      <c r="AH68" s="290">
        <v>1.6000000000000001E-3</v>
      </c>
    </row>
    <row r="69" spans="2:34" ht="13.5" customHeight="1">
      <c r="B69" s="137">
        <v>193110</v>
      </c>
      <c r="C69" s="137">
        <v>8.0399999999999991</v>
      </c>
      <c r="D69" s="137">
        <v>-1.87</v>
      </c>
      <c r="E69" s="137">
        <v>1.7</v>
      </c>
      <c r="F69" s="137">
        <v>0.1</v>
      </c>
      <c r="H69" s="288" t="s">
        <v>760</v>
      </c>
      <c r="I69" s="293">
        <v>0.08</v>
      </c>
      <c r="S69" s="299">
        <v>43709</v>
      </c>
      <c r="T69" s="289">
        <v>30.1</v>
      </c>
      <c r="U69" s="289">
        <v>32</v>
      </c>
      <c r="V69" s="289">
        <v>27.469999000000001</v>
      </c>
      <c r="W69" s="289">
        <v>28.209999</v>
      </c>
      <c r="X69" s="289">
        <v>26.352543000000001</v>
      </c>
      <c r="Y69" s="289">
        <v>216100900</v>
      </c>
      <c r="Z69" s="289">
        <f t="shared" si="5"/>
        <v>-7.5082018444489362E-2</v>
      </c>
      <c r="AA69" s="290">
        <f t="shared" si="6"/>
        <v>-7.5082018444489362E-2</v>
      </c>
      <c r="AD69" s="299">
        <v>43709</v>
      </c>
      <c r="AE69" s="290">
        <v>1.43E-2</v>
      </c>
      <c r="AF69" s="290">
        <v>-9.5999999999999992E-3</v>
      </c>
      <c r="AG69" s="290">
        <v>6.7500000000000004E-2</v>
      </c>
      <c r="AH69" s="290">
        <v>1.8E-3</v>
      </c>
    </row>
    <row r="70" spans="2:34" ht="13.5" customHeight="1">
      <c r="B70" s="137">
        <v>193111</v>
      </c>
      <c r="C70" s="137">
        <v>-9.08</v>
      </c>
      <c r="D70" s="137">
        <v>4.3099999999999996</v>
      </c>
      <c r="E70" s="137">
        <v>-5.04</v>
      </c>
      <c r="F70" s="137">
        <v>0.17</v>
      </c>
      <c r="H70" s="288"/>
      <c r="I70" s="288"/>
      <c r="S70" s="299">
        <v>43739</v>
      </c>
      <c r="T70" s="289">
        <v>28.219999000000001</v>
      </c>
      <c r="U70" s="289">
        <v>31.950001</v>
      </c>
      <c r="V70" s="289">
        <v>27.530000999999999</v>
      </c>
      <c r="W70" s="289">
        <v>31.15</v>
      </c>
      <c r="X70" s="289">
        <v>29.098963000000001</v>
      </c>
      <c r="Y70" s="289">
        <v>216152200</v>
      </c>
      <c r="Z70" s="289">
        <f t="shared" si="5"/>
        <v>0.10421840503210644</v>
      </c>
      <c r="AA70" s="290">
        <f t="shared" si="6"/>
        <v>0.10421840503210644</v>
      </c>
      <c r="AD70" s="299">
        <v>43739</v>
      </c>
      <c r="AE70" s="290">
        <v>2.06E-2</v>
      </c>
      <c r="AF70" s="290">
        <v>2.8999999999999998E-3</v>
      </c>
      <c r="AG70" s="290">
        <v>-1.9099999999999999E-2</v>
      </c>
      <c r="AH70" s="290">
        <v>1.6000000000000001E-3</v>
      </c>
    </row>
    <row r="71" spans="2:34" ht="13.5" customHeight="1">
      <c r="B71" s="137">
        <v>193112</v>
      </c>
      <c r="C71" s="137">
        <v>-13.53</v>
      </c>
      <c r="D71" s="137">
        <v>-0.55000000000000004</v>
      </c>
      <c r="E71" s="137">
        <v>-8.85</v>
      </c>
      <c r="F71" s="137">
        <v>0.12</v>
      </c>
      <c r="H71" s="288"/>
      <c r="I71" s="301" t="s">
        <v>761</v>
      </c>
      <c r="J71" s="137" t="s">
        <v>739</v>
      </c>
      <c r="K71" s="137" t="s">
        <v>762</v>
      </c>
      <c r="S71" s="299">
        <v>43770</v>
      </c>
      <c r="T71" s="289">
        <v>31.639999</v>
      </c>
      <c r="U71" s="289">
        <v>35.43</v>
      </c>
      <c r="V71" s="289">
        <v>31.17</v>
      </c>
      <c r="W71" s="289">
        <v>32.650002000000001</v>
      </c>
      <c r="X71" s="289">
        <v>30.500198000000001</v>
      </c>
      <c r="Y71" s="289">
        <v>246351400</v>
      </c>
      <c r="Z71" s="289">
        <f t="shared" si="5"/>
        <v>4.815412150597953E-2</v>
      </c>
      <c r="AA71" s="290">
        <f t="shared" si="6"/>
        <v>4.815412150597953E-2</v>
      </c>
      <c r="AD71" s="299">
        <v>43770</v>
      </c>
      <c r="AE71" s="290">
        <v>3.8699999999999998E-2</v>
      </c>
      <c r="AF71" s="290">
        <v>7.7000000000000002E-3</v>
      </c>
      <c r="AG71" s="290">
        <v>-2.0199999999999999E-2</v>
      </c>
      <c r="AH71" s="290">
        <v>1.1999999999999999E-3</v>
      </c>
    </row>
    <row r="72" spans="2:34" ht="13.5" customHeight="1">
      <c r="B72" s="137">
        <v>193201</v>
      </c>
      <c r="C72" s="137">
        <v>-1.58</v>
      </c>
      <c r="D72" s="137">
        <v>3.93</v>
      </c>
      <c r="E72" s="137">
        <v>9.0299999999999994</v>
      </c>
      <c r="F72" s="137">
        <v>0.23</v>
      </c>
      <c r="H72" s="288" t="s">
        <v>763</v>
      </c>
      <c r="I72" s="289">
        <v>0.01</v>
      </c>
      <c r="J72" s="137">
        <v>0.04</v>
      </c>
      <c r="K72" s="137">
        <f t="shared" ref="K72:K73" si="7">J72-I72</f>
        <v>0.03</v>
      </c>
      <c r="S72" s="299">
        <v>43800</v>
      </c>
      <c r="T72" s="289">
        <v>32.689999</v>
      </c>
      <c r="U72" s="289">
        <v>36.799999</v>
      </c>
      <c r="V72" s="289">
        <v>30.84</v>
      </c>
      <c r="W72" s="289">
        <v>35.229999999999997</v>
      </c>
      <c r="X72" s="289">
        <v>32.910316000000002</v>
      </c>
      <c r="Y72" s="289">
        <v>193520700</v>
      </c>
      <c r="Z72" s="289">
        <f t="shared" si="5"/>
        <v>7.9019749314414245E-2</v>
      </c>
      <c r="AA72" s="290">
        <f t="shared" si="6"/>
        <v>7.9019749314414245E-2</v>
      </c>
      <c r="AD72" s="299">
        <v>43800</v>
      </c>
      <c r="AE72" s="290">
        <v>2.7699999999999999E-2</v>
      </c>
      <c r="AF72" s="290">
        <v>7.3000000000000001E-3</v>
      </c>
      <c r="AG72" s="290">
        <v>1.7500000000000002E-2</v>
      </c>
      <c r="AH72" s="290">
        <v>1.4000000000000002E-3</v>
      </c>
    </row>
    <row r="73" spans="2:34" ht="13.5" customHeight="1">
      <c r="B73" s="137">
        <v>193202</v>
      </c>
      <c r="C73" s="137">
        <v>5.46</v>
      </c>
      <c r="D73" s="137">
        <v>-2.78</v>
      </c>
      <c r="E73" s="137">
        <v>-1.46</v>
      </c>
      <c r="F73" s="137">
        <v>0.23</v>
      </c>
      <c r="H73" s="288" t="s">
        <v>764</v>
      </c>
      <c r="I73" s="294">
        <v>0.03</v>
      </c>
      <c r="J73" s="289">
        <v>0.03</v>
      </c>
      <c r="K73" s="302">
        <f t="shared" si="7"/>
        <v>0</v>
      </c>
      <c r="S73" s="299">
        <v>43831</v>
      </c>
      <c r="T73" s="289">
        <v>35.959999000000003</v>
      </c>
      <c r="U73" s="289">
        <v>42</v>
      </c>
      <c r="V73" s="289">
        <v>35.900002000000001</v>
      </c>
      <c r="W73" s="289">
        <v>37.689999</v>
      </c>
      <c r="X73" s="289">
        <v>35.20834</v>
      </c>
      <c r="Y73" s="289">
        <v>283098700</v>
      </c>
      <c r="Z73" s="289">
        <f t="shared" si="5"/>
        <v>6.9826859152613441E-2</v>
      </c>
      <c r="AA73" s="290">
        <f t="shared" si="6"/>
        <v>6.9826859152613441E-2</v>
      </c>
      <c r="AD73" s="299">
        <v>43831</v>
      </c>
      <c r="AE73" s="290">
        <v>-1.1000000000000001E-3</v>
      </c>
      <c r="AF73" s="290">
        <v>-3.1099999999999999E-2</v>
      </c>
      <c r="AG73" s="290">
        <v>-6.25E-2</v>
      </c>
      <c r="AH73" s="290">
        <v>1.2999999999999999E-3</v>
      </c>
    </row>
    <row r="74" spans="2:34" ht="13.5" customHeight="1">
      <c r="B74" s="137">
        <v>193203</v>
      </c>
      <c r="C74" s="137">
        <v>-11.21</v>
      </c>
      <c r="D74" s="137">
        <v>2.27</v>
      </c>
      <c r="E74" s="137">
        <v>-2.3199999999999998</v>
      </c>
      <c r="F74" s="137">
        <v>0.16</v>
      </c>
      <c r="H74" s="288"/>
      <c r="I74" s="289"/>
      <c r="S74" s="299">
        <v>43862</v>
      </c>
      <c r="T74" s="289">
        <v>38</v>
      </c>
      <c r="U74" s="289">
        <v>43.09</v>
      </c>
      <c r="V74" s="289">
        <v>36.814999</v>
      </c>
      <c r="W74" s="289">
        <v>38.509998000000003</v>
      </c>
      <c r="X74" s="289">
        <v>35.974350000000001</v>
      </c>
      <c r="Y74" s="289">
        <v>250972100</v>
      </c>
      <c r="Z74" s="289">
        <f t="shared" si="5"/>
        <v>2.1756492921847448E-2</v>
      </c>
      <c r="AA74" s="290">
        <f t="shared" si="6"/>
        <v>2.1756492921847448E-2</v>
      </c>
      <c r="AD74" s="299">
        <v>43862</v>
      </c>
      <c r="AE74" s="290">
        <v>-8.1300000000000011E-2</v>
      </c>
      <c r="AF74" s="290">
        <v>1.0700000000000001E-2</v>
      </c>
      <c r="AG74" s="290">
        <v>-3.8100000000000002E-2</v>
      </c>
      <c r="AH74" s="290">
        <v>1.1999999999999999E-3</v>
      </c>
    </row>
    <row r="75" spans="2:34" ht="13.5" customHeight="1">
      <c r="B75" s="137">
        <v>193204</v>
      </c>
      <c r="C75" s="137">
        <v>-17.96</v>
      </c>
      <c r="D75" s="137">
        <v>1.45</v>
      </c>
      <c r="E75" s="137">
        <v>1.43</v>
      </c>
      <c r="F75" s="137">
        <v>0.11</v>
      </c>
      <c r="H75" s="288"/>
      <c r="I75" s="301" t="s">
        <v>765</v>
      </c>
      <c r="J75" s="289"/>
      <c r="S75" s="299">
        <v>43891</v>
      </c>
      <c r="T75" s="289">
        <v>41.380001</v>
      </c>
      <c r="U75" s="289">
        <v>45.34</v>
      </c>
      <c r="V75" s="289">
        <v>32.700001</v>
      </c>
      <c r="W75" s="289">
        <v>40.5</v>
      </c>
      <c r="X75" s="289">
        <v>37.833323999999998</v>
      </c>
      <c r="Y75" s="289">
        <v>521812300</v>
      </c>
      <c r="Z75" s="289">
        <f t="shared" si="5"/>
        <v>5.1674985093545622E-2</v>
      </c>
      <c r="AA75" s="290">
        <f t="shared" si="6"/>
        <v>5.1674985093545622E-2</v>
      </c>
      <c r="AD75" s="299">
        <v>43891</v>
      </c>
      <c r="AE75" s="290">
        <v>-0.13390000000000002</v>
      </c>
      <c r="AF75" s="290">
        <v>-4.8300000000000003E-2</v>
      </c>
      <c r="AG75" s="290">
        <v>-0.13869999999999999</v>
      </c>
      <c r="AH75" s="290">
        <v>1.2999999999999999E-3</v>
      </c>
    </row>
    <row r="76" spans="2:34" ht="13.5" customHeight="1">
      <c r="B76" s="137">
        <v>193205</v>
      </c>
      <c r="C76" s="137">
        <v>-20.51</v>
      </c>
      <c r="D76" s="137">
        <v>3.91</v>
      </c>
      <c r="E76" s="137">
        <v>-2.98</v>
      </c>
      <c r="F76" s="137">
        <v>0.06</v>
      </c>
      <c r="H76" s="15" t="str">
        <f t="shared" ref="H76:H77" si="8">H72</f>
        <v>GDP Growth rate</v>
      </c>
      <c r="I76" s="15">
        <v>1.5</v>
      </c>
      <c r="J76" s="297"/>
      <c r="S76" s="299">
        <v>43922</v>
      </c>
      <c r="T76" s="289">
        <v>39.909999999999997</v>
      </c>
      <c r="U76" s="289">
        <v>47.98</v>
      </c>
      <c r="V76" s="289">
        <v>39.255001</v>
      </c>
      <c r="W76" s="289">
        <v>43.099997999999999</v>
      </c>
      <c r="X76" s="289">
        <v>40.262127</v>
      </c>
      <c r="Y76" s="289">
        <v>333645700</v>
      </c>
      <c r="Z76" s="289">
        <f t="shared" si="5"/>
        <v>6.4197451960605001E-2</v>
      </c>
      <c r="AA76" s="290">
        <f t="shared" si="6"/>
        <v>6.4197451960605001E-2</v>
      </c>
      <c r="AD76" s="299">
        <v>43922</v>
      </c>
      <c r="AE76" s="290">
        <v>0.13650000000000001</v>
      </c>
      <c r="AF76" s="290">
        <v>2.4500000000000001E-2</v>
      </c>
      <c r="AG76" s="290">
        <v>-1.3300000000000001E-2</v>
      </c>
      <c r="AH76" s="290">
        <v>0</v>
      </c>
    </row>
    <row r="77" spans="2:34" ht="13.5" customHeight="1">
      <c r="B77" s="137">
        <v>193206</v>
      </c>
      <c r="C77" s="137">
        <v>-0.7</v>
      </c>
      <c r="D77" s="137">
        <v>0.33</v>
      </c>
      <c r="E77" s="137">
        <v>5.3</v>
      </c>
      <c r="F77" s="137">
        <v>0.02</v>
      </c>
      <c r="H77" s="288" t="str">
        <f t="shared" si="8"/>
        <v>Credit Quality Spread</v>
      </c>
      <c r="I77" s="295">
        <v>-1</v>
      </c>
      <c r="S77" s="299">
        <v>43952</v>
      </c>
      <c r="T77" s="289">
        <v>41.98</v>
      </c>
      <c r="U77" s="289">
        <v>56.5</v>
      </c>
      <c r="V77" s="289">
        <v>40.584999000000003</v>
      </c>
      <c r="W77" s="289">
        <v>54.330002</v>
      </c>
      <c r="X77" s="289">
        <v>50.752701000000002</v>
      </c>
      <c r="Y77" s="289">
        <v>380050000</v>
      </c>
      <c r="Z77" s="289">
        <f t="shared" si="5"/>
        <v>0.26055687519936543</v>
      </c>
      <c r="AA77" s="290">
        <f t="shared" si="6"/>
        <v>0.26055687519936543</v>
      </c>
      <c r="AD77" s="299">
        <v>43952</v>
      </c>
      <c r="AE77" s="290">
        <v>5.5800000000000002E-2</v>
      </c>
      <c r="AF77" s="290">
        <v>2.4700000000000003E-2</v>
      </c>
      <c r="AG77" s="290">
        <v>-4.8799999999999996E-2</v>
      </c>
      <c r="AH77" s="290">
        <v>1E-4</v>
      </c>
    </row>
    <row r="78" spans="2:34" ht="13.5" customHeight="1">
      <c r="B78" s="137">
        <v>193207</v>
      </c>
      <c r="C78" s="137">
        <v>33.840000000000003</v>
      </c>
      <c r="D78" s="137">
        <v>-4.59</v>
      </c>
      <c r="E78" s="137">
        <v>35.61</v>
      </c>
      <c r="F78" s="137">
        <v>0.03</v>
      </c>
      <c r="H78" s="288"/>
      <c r="I78" s="293"/>
      <c r="S78" s="299">
        <v>43983</v>
      </c>
      <c r="T78" s="289">
        <v>54.200001</v>
      </c>
      <c r="U78" s="289">
        <v>62.419998</v>
      </c>
      <c r="V78" s="289">
        <v>53.380001</v>
      </c>
      <c r="W78" s="289">
        <v>60.18</v>
      </c>
      <c r="X78" s="289">
        <v>56.217517999999998</v>
      </c>
      <c r="Y78" s="289">
        <v>329676700</v>
      </c>
      <c r="Z78" s="289">
        <f t="shared" si="5"/>
        <v>0.10767539248797808</v>
      </c>
      <c r="AA78" s="290">
        <f t="shared" si="6"/>
        <v>0.10767539248797808</v>
      </c>
      <c r="AD78" s="299">
        <v>43983</v>
      </c>
      <c r="AE78" s="290">
        <v>2.46E-2</v>
      </c>
      <c r="AF78" s="290">
        <v>2.69E-2</v>
      </c>
      <c r="AG78" s="290">
        <v>-2.2000000000000002E-2</v>
      </c>
      <c r="AH78" s="290">
        <v>1E-4</v>
      </c>
    </row>
    <row r="79" spans="2:34" ht="13.5" customHeight="1">
      <c r="B79" s="137">
        <v>193208</v>
      </c>
      <c r="C79" s="137">
        <v>37.06</v>
      </c>
      <c r="D79" s="137">
        <v>13.41</v>
      </c>
      <c r="E79" s="137">
        <v>34.24</v>
      </c>
      <c r="F79" s="137">
        <v>0.03</v>
      </c>
      <c r="H79" s="288" t="s">
        <v>766</v>
      </c>
      <c r="I79" s="137">
        <v>0.03</v>
      </c>
      <c r="S79" s="299">
        <v>44013</v>
      </c>
      <c r="T79" s="289">
        <v>60.164000999999999</v>
      </c>
      <c r="U79" s="289">
        <v>69.180000000000007</v>
      </c>
      <c r="V79" s="289">
        <v>58.759998000000003</v>
      </c>
      <c r="W79" s="289">
        <v>63.790000999999997</v>
      </c>
      <c r="X79" s="289">
        <v>59.589821000000001</v>
      </c>
      <c r="Y79" s="289">
        <v>241847400</v>
      </c>
      <c r="Z79" s="289">
        <f t="shared" si="5"/>
        <v>5.9986693115836376E-2</v>
      </c>
      <c r="AA79" s="290">
        <f t="shared" si="6"/>
        <v>5.9986693115836376E-2</v>
      </c>
      <c r="AD79" s="299">
        <v>44013</v>
      </c>
      <c r="AE79" s="290">
        <v>5.7699999999999994E-2</v>
      </c>
      <c r="AF79" s="290">
        <v>-2.3300000000000001E-2</v>
      </c>
      <c r="AG79" s="290">
        <v>-1.41E-2</v>
      </c>
      <c r="AH79" s="290">
        <v>1E-4</v>
      </c>
    </row>
    <row r="80" spans="2:34" ht="13.5" customHeight="1">
      <c r="B80" s="137">
        <v>193209</v>
      </c>
      <c r="C80" s="137">
        <v>-2.94</v>
      </c>
      <c r="D80" s="137">
        <v>-2.08</v>
      </c>
      <c r="E80" s="137">
        <v>-7.36</v>
      </c>
      <c r="F80" s="137">
        <v>0.03</v>
      </c>
      <c r="H80" s="15"/>
      <c r="S80" s="299">
        <v>44044</v>
      </c>
      <c r="T80" s="289">
        <v>64</v>
      </c>
      <c r="U80" s="289">
        <v>81.449996999999996</v>
      </c>
      <c r="V80" s="289">
        <v>59.900002000000001</v>
      </c>
      <c r="W80" s="289">
        <v>78.639999000000003</v>
      </c>
      <c r="X80" s="289">
        <v>73.462035999999998</v>
      </c>
      <c r="Y80" s="289">
        <v>296403400</v>
      </c>
      <c r="Z80" s="289">
        <f t="shared" si="5"/>
        <v>0.23279504397235895</v>
      </c>
      <c r="AA80" s="290">
        <f t="shared" si="6"/>
        <v>0.23279504397235895</v>
      </c>
      <c r="AD80" s="299">
        <v>44044</v>
      </c>
      <c r="AE80" s="290">
        <v>7.6299999999999993E-2</v>
      </c>
      <c r="AF80" s="290">
        <v>-2.2000000000000001E-3</v>
      </c>
      <c r="AG80" s="290">
        <v>-2.9700000000000001E-2</v>
      </c>
      <c r="AH80" s="290">
        <v>1E-4</v>
      </c>
    </row>
    <row r="81" spans="2:34" ht="13.5" customHeight="1">
      <c r="B81" s="137">
        <v>193210</v>
      </c>
      <c r="C81" s="137">
        <v>-13.17</v>
      </c>
      <c r="D81" s="137">
        <v>-2.56</v>
      </c>
      <c r="E81" s="137">
        <v>-10.33</v>
      </c>
      <c r="F81" s="137">
        <v>0.02</v>
      </c>
      <c r="H81" s="288" t="s">
        <v>767</v>
      </c>
      <c r="I81" s="303">
        <f>I69+I76*K72+K73*I77+I79</f>
        <v>0.155</v>
      </c>
      <c r="S81" s="299">
        <v>44075</v>
      </c>
      <c r="T81" s="289">
        <v>79.489998</v>
      </c>
      <c r="U81" s="289">
        <v>86.580001999999993</v>
      </c>
      <c r="V81" s="289">
        <v>71.760002</v>
      </c>
      <c r="W81" s="289">
        <v>77.610000999999997</v>
      </c>
      <c r="X81" s="289">
        <v>72.499854999999997</v>
      </c>
      <c r="Y81" s="289">
        <v>230318200</v>
      </c>
      <c r="Z81" s="289">
        <f t="shared" si="5"/>
        <v>-1.3097663124937098E-2</v>
      </c>
      <c r="AA81" s="290">
        <f t="shared" si="6"/>
        <v>-1.3097663124937098E-2</v>
      </c>
      <c r="AD81" s="299">
        <v>44075</v>
      </c>
      <c r="AE81" s="290">
        <v>-3.6299999999999999E-2</v>
      </c>
      <c r="AF81" s="290">
        <v>2.0000000000000001E-4</v>
      </c>
      <c r="AG81" s="290">
        <v>-2.7099999999999999E-2</v>
      </c>
      <c r="AH81" s="290">
        <v>1E-4</v>
      </c>
    </row>
    <row r="82" spans="2:34" ht="13.5" customHeight="1">
      <c r="B82" s="137">
        <v>193211</v>
      </c>
      <c r="C82" s="137">
        <v>-5.88</v>
      </c>
      <c r="D82" s="137">
        <v>2</v>
      </c>
      <c r="E82" s="137">
        <v>-13.11</v>
      </c>
      <c r="F82" s="137">
        <v>0.02</v>
      </c>
      <c r="H82" s="288"/>
      <c r="I82" s="288"/>
      <c r="S82" s="299">
        <v>44105</v>
      </c>
      <c r="T82" s="289">
        <v>78.75</v>
      </c>
      <c r="U82" s="289">
        <v>85.385002</v>
      </c>
      <c r="V82" s="289">
        <v>75.589995999999999</v>
      </c>
      <c r="W82" s="289">
        <v>81.519997000000004</v>
      </c>
      <c r="X82" s="289">
        <v>76.152405000000002</v>
      </c>
      <c r="Y82" s="289">
        <v>214374700</v>
      </c>
      <c r="Z82" s="289">
        <f t="shared" si="5"/>
        <v>5.0380100760201607E-2</v>
      </c>
      <c r="AA82" s="290">
        <f t="shared" si="6"/>
        <v>5.0380100760201607E-2</v>
      </c>
      <c r="AD82" s="299">
        <v>44105</v>
      </c>
      <c r="AE82" s="290">
        <v>-2.1000000000000001E-2</v>
      </c>
      <c r="AF82" s="290">
        <v>4.3799999999999999E-2</v>
      </c>
      <c r="AG82" s="290">
        <v>4.2500000000000003E-2</v>
      </c>
      <c r="AH82" s="290">
        <v>1E-4</v>
      </c>
    </row>
    <row r="83" spans="2:34" ht="13.5" customHeight="1">
      <c r="B83" s="137">
        <v>193212</v>
      </c>
      <c r="C83" s="137">
        <v>4.4000000000000004</v>
      </c>
      <c r="D83" s="137">
        <v>-8.64</v>
      </c>
      <c r="E83" s="137">
        <v>-7.72</v>
      </c>
      <c r="F83" s="137">
        <v>0.01</v>
      </c>
      <c r="H83" s="288"/>
      <c r="I83" s="293"/>
      <c r="S83" s="299">
        <v>44136</v>
      </c>
      <c r="T83" s="289">
        <v>82.839995999999999</v>
      </c>
      <c r="U83" s="289">
        <v>92.769997000000004</v>
      </c>
      <c r="V83" s="289">
        <v>78.180999999999997</v>
      </c>
      <c r="W83" s="289">
        <v>85.349997999999999</v>
      </c>
      <c r="X83" s="289">
        <v>79.730225000000004</v>
      </c>
      <c r="Y83" s="289">
        <v>321503100</v>
      </c>
      <c r="Z83" s="289">
        <f t="shared" si="5"/>
        <v>4.6982363853117937E-2</v>
      </c>
      <c r="AA83" s="290">
        <f t="shared" si="6"/>
        <v>4.6982363853117937E-2</v>
      </c>
      <c r="AD83" s="299">
        <v>44136</v>
      </c>
      <c r="AE83" s="290">
        <v>0.12470000000000001</v>
      </c>
      <c r="AF83" s="290">
        <v>5.7999999999999996E-2</v>
      </c>
      <c r="AG83" s="290">
        <v>2.0899999999999998E-2</v>
      </c>
      <c r="AH83" s="290">
        <v>1E-4</v>
      </c>
    </row>
    <row r="84" spans="2:34" ht="13.5" customHeight="1">
      <c r="B84" s="137">
        <v>193301</v>
      </c>
      <c r="C84" s="137">
        <v>1.25</v>
      </c>
      <c r="D84" s="137">
        <v>0.63</v>
      </c>
      <c r="E84" s="137">
        <v>6.36</v>
      </c>
      <c r="F84" s="137">
        <v>0.01</v>
      </c>
      <c r="H84" s="288"/>
      <c r="I84" s="289"/>
      <c r="S84" s="299">
        <v>44166</v>
      </c>
      <c r="T84" s="289">
        <v>86.254997000000003</v>
      </c>
      <c r="U84" s="289">
        <v>89.559997999999993</v>
      </c>
      <c r="V84" s="289">
        <v>79.069999999999993</v>
      </c>
      <c r="W84" s="289">
        <v>87.900002000000001</v>
      </c>
      <c r="X84" s="289">
        <v>82.112328000000005</v>
      </c>
      <c r="Y84" s="289">
        <v>234284800</v>
      </c>
      <c r="Z84" s="289">
        <f t="shared" si="5"/>
        <v>2.9877038475684792E-2</v>
      </c>
      <c r="AA84" s="290">
        <f t="shared" si="6"/>
        <v>2.9877038475684792E-2</v>
      </c>
      <c r="AD84" s="299">
        <v>44166</v>
      </c>
      <c r="AE84" s="290">
        <v>4.6300000000000001E-2</v>
      </c>
      <c r="AF84" s="290">
        <v>4.8899999999999999E-2</v>
      </c>
      <c r="AG84" s="290">
        <v>-1.5100000000000001E-2</v>
      </c>
      <c r="AH84" s="290">
        <v>1E-4</v>
      </c>
    </row>
    <row r="85" spans="2:34" ht="13.5" customHeight="1">
      <c r="B85" s="137">
        <v>193302</v>
      </c>
      <c r="C85" s="137">
        <v>-15.24</v>
      </c>
      <c r="D85" s="137">
        <v>-2.58</v>
      </c>
      <c r="E85" s="137">
        <v>-2.95</v>
      </c>
      <c r="F85" s="137">
        <v>-0.03</v>
      </c>
      <c r="H85" s="288"/>
      <c r="I85" s="294"/>
      <c r="J85" s="289"/>
      <c r="S85" s="299">
        <v>44197</v>
      </c>
      <c r="T85" s="289">
        <v>87.559997999999993</v>
      </c>
      <c r="U85" s="289">
        <v>101.68</v>
      </c>
      <c r="V85" s="289">
        <v>85.160004000000001</v>
      </c>
      <c r="W85" s="289">
        <v>88.690002000000007</v>
      </c>
      <c r="X85" s="289">
        <v>82.850303999999994</v>
      </c>
      <c r="Y85" s="289">
        <v>236600900</v>
      </c>
      <c r="Z85" s="289">
        <f t="shared" si="5"/>
        <v>8.9873958999189263E-3</v>
      </c>
      <c r="AA85" s="290">
        <f t="shared" si="6"/>
        <v>8.9873958999189263E-3</v>
      </c>
      <c r="AD85" s="299">
        <v>44197</v>
      </c>
      <c r="AE85" s="290">
        <v>-2.9999999999999997E-4</v>
      </c>
      <c r="AF85" s="290">
        <v>7.3599999999999999E-2</v>
      </c>
      <c r="AG85" s="290">
        <v>3.0099999999999998E-2</v>
      </c>
      <c r="AH85" s="290">
        <v>1E-4</v>
      </c>
    </row>
    <row r="86" spans="2:34" ht="13.5" customHeight="1">
      <c r="B86" s="137">
        <v>193303</v>
      </c>
      <c r="C86" s="137">
        <v>3.29</v>
      </c>
      <c r="D86" s="137">
        <v>3.79</v>
      </c>
      <c r="E86" s="137">
        <v>7.54</v>
      </c>
      <c r="F86" s="137">
        <v>0.04</v>
      </c>
      <c r="H86" s="288"/>
      <c r="I86" s="289"/>
      <c r="S86" s="299">
        <v>44228</v>
      </c>
      <c r="T86" s="289">
        <v>90.150002000000001</v>
      </c>
      <c r="U86" s="289">
        <v>108.290001</v>
      </c>
      <c r="V86" s="289">
        <v>89.084998999999996</v>
      </c>
      <c r="W86" s="289">
        <v>93.870002999999997</v>
      </c>
      <c r="X86" s="289">
        <v>87.689239999999998</v>
      </c>
      <c r="Y86" s="289">
        <v>167354800</v>
      </c>
      <c r="Z86" s="289">
        <f t="shared" si="5"/>
        <v>5.8405772415753621E-2</v>
      </c>
      <c r="AA86" s="290">
        <f t="shared" si="6"/>
        <v>5.8405772415753621E-2</v>
      </c>
      <c r="AD86" s="299">
        <v>44228</v>
      </c>
      <c r="AE86" s="290">
        <v>2.7799999999999998E-2</v>
      </c>
      <c r="AF86" s="290">
        <v>2.0499999999999997E-2</v>
      </c>
      <c r="AG86" s="290">
        <v>7.1500000000000008E-2</v>
      </c>
      <c r="AH86" s="290">
        <v>0</v>
      </c>
    </row>
    <row r="87" spans="2:34" ht="13.5" customHeight="1">
      <c r="B87" s="137">
        <v>193304</v>
      </c>
      <c r="C87" s="137">
        <v>38.85</v>
      </c>
      <c r="D87" s="137">
        <v>3.07</v>
      </c>
      <c r="E87" s="137">
        <v>19.649999999999999</v>
      </c>
      <c r="F87" s="137">
        <v>0.1</v>
      </c>
      <c r="S87" s="299">
        <v>44256</v>
      </c>
      <c r="T87" s="289">
        <v>96.730002999999996</v>
      </c>
      <c r="U87" s="289">
        <v>98.699996999999996</v>
      </c>
      <c r="V87" s="289">
        <v>76.110000999999997</v>
      </c>
      <c r="W87" s="289">
        <v>84.330001999999993</v>
      </c>
      <c r="X87" s="289">
        <v>78.777389999999997</v>
      </c>
      <c r="Y87" s="289">
        <v>300389700</v>
      </c>
      <c r="Z87" s="289">
        <f t="shared" si="5"/>
        <v>-0.10162991491316387</v>
      </c>
      <c r="AA87" s="290">
        <f t="shared" si="6"/>
        <v>-0.10162991491316387</v>
      </c>
      <c r="AD87" s="299">
        <v>44256</v>
      </c>
      <c r="AE87" s="290">
        <v>3.0800000000000001E-2</v>
      </c>
      <c r="AF87" s="290">
        <v>-2.3700000000000002E-2</v>
      </c>
      <c r="AG87" s="290">
        <v>7.3899999999999993E-2</v>
      </c>
      <c r="AH87" s="290">
        <v>0</v>
      </c>
    </row>
    <row r="88" spans="2:34" ht="13.5" customHeight="1">
      <c r="B88" s="137">
        <v>193305</v>
      </c>
      <c r="C88" s="137">
        <v>21.43</v>
      </c>
      <c r="D88" s="137">
        <v>36.56</v>
      </c>
      <c r="E88" s="137">
        <v>19.190000000000001</v>
      </c>
      <c r="F88" s="137">
        <v>0.04</v>
      </c>
      <c r="S88" s="299">
        <v>44287</v>
      </c>
      <c r="T88" s="289">
        <v>86.5</v>
      </c>
      <c r="U88" s="289">
        <v>86.879997000000003</v>
      </c>
      <c r="V88" s="289">
        <v>72.809997999999993</v>
      </c>
      <c r="W88" s="289">
        <v>77.360000999999997</v>
      </c>
      <c r="X88" s="289">
        <v>72.266311999999999</v>
      </c>
      <c r="Y88" s="289">
        <v>212228400</v>
      </c>
      <c r="Z88" s="289">
        <f t="shared" si="5"/>
        <v>-8.2651608538947485E-2</v>
      </c>
      <c r="AA88" s="290">
        <f t="shared" si="6"/>
        <v>-8.2651608538947485E-2</v>
      </c>
      <c r="AD88" s="299">
        <v>44287</v>
      </c>
      <c r="AE88" s="290">
        <v>4.9299999999999997E-2</v>
      </c>
      <c r="AF88" s="290">
        <v>-3.1899999999999998E-2</v>
      </c>
      <c r="AG88" s="290">
        <v>-9.4999999999999998E-3</v>
      </c>
      <c r="AH88" s="290">
        <v>0</v>
      </c>
    </row>
    <row r="89" spans="2:34" ht="13.5" customHeight="1">
      <c r="B89" s="137">
        <v>193306</v>
      </c>
      <c r="C89" s="137">
        <v>13.11</v>
      </c>
      <c r="D89" s="137">
        <v>8.42</v>
      </c>
      <c r="E89" s="137">
        <v>-1.78</v>
      </c>
      <c r="F89" s="137">
        <v>0.02</v>
      </c>
      <c r="S89" s="299">
        <v>44317</v>
      </c>
      <c r="T89" s="289">
        <v>77.199996999999996</v>
      </c>
      <c r="U89" s="289">
        <v>78.889999000000003</v>
      </c>
      <c r="V89" s="289">
        <v>66.550003000000004</v>
      </c>
      <c r="W89" s="289">
        <v>73.940002000000007</v>
      </c>
      <c r="X89" s="289">
        <v>69.071503000000007</v>
      </c>
      <c r="Y89" s="289">
        <v>238141600</v>
      </c>
      <c r="Z89" s="289">
        <f t="shared" si="5"/>
        <v>-4.4208828589453852E-2</v>
      </c>
      <c r="AA89" s="290">
        <f t="shared" si="6"/>
        <v>-4.4208828589453852E-2</v>
      </c>
      <c r="AD89" s="299">
        <v>44317</v>
      </c>
      <c r="AE89" s="290">
        <v>2.8999999999999998E-3</v>
      </c>
      <c r="AF89" s="290">
        <v>-2.5000000000000001E-3</v>
      </c>
      <c r="AG89" s="290">
        <v>7.0900000000000005E-2</v>
      </c>
      <c r="AH89" s="290">
        <v>0</v>
      </c>
    </row>
    <row r="90" spans="2:34" ht="13.5" customHeight="1">
      <c r="B90" s="137">
        <v>193307</v>
      </c>
      <c r="C90" s="137">
        <v>-9.6300000000000008</v>
      </c>
      <c r="D90" s="137">
        <v>-1.05</v>
      </c>
      <c r="E90" s="137">
        <v>3.27</v>
      </c>
      <c r="F90" s="137">
        <v>0.02</v>
      </c>
      <c r="S90" s="299">
        <v>44348</v>
      </c>
      <c r="T90" s="289">
        <v>76.099997999999999</v>
      </c>
      <c r="U90" s="289">
        <v>80.269997000000004</v>
      </c>
      <c r="V90" s="289">
        <v>70.410004000000001</v>
      </c>
      <c r="W90" s="289">
        <v>79.809997999999993</v>
      </c>
      <c r="X90" s="289">
        <v>74.555000000000007</v>
      </c>
      <c r="Y90" s="289">
        <v>250527500</v>
      </c>
      <c r="Z90" s="289">
        <f t="shared" si="5"/>
        <v>7.9388702458089044E-2</v>
      </c>
      <c r="AA90" s="290">
        <f t="shared" si="6"/>
        <v>7.9388702458089044E-2</v>
      </c>
      <c r="AD90" s="299">
        <v>44348</v>
      </c>
      <c r="AE90" s="290">
        <v>2.75E-2</v>
      </c>
      <c r="AF90" s="290">
        <v>1.6799999999999999E-2</v>
      </c>
      <c r="AG90" s="290">
        <v>-7.8700000000000006E-2</v>
      </c>
      <c r="AH90" s="290">
        <v>0</v>
      </c>
    </row>
    <row r="91" spans="2:34" ht="13.5" customHeight="1">
      <c r="B91" s="137">
        <v>193308</v>
      </c>
      <c r="C91" s="137">
        <v>12.05</v>
      </c>
      <c r="D91" s="137">
        <v>-5.39</v>
      </c>
      <c r="E91" s="137">
        <v>3</v>
      </c>
      <c r="F91" s="137">
        <v>0.03</v>
      </c>
      <c r="S91" s="299">
        <v>44378</v>
      </c>
      <c r="T91" s="289">
        <v>79.300003000000004</v>
      </c>
      <c r="U91" s="289">
        <v>80.150002000000001</v>
      </c>
      <c r="V91" s="289">
        <v>61.650002000000001</v>
      </c>
      <c r="W91" s="289">
        <v>70.879997000000003</v>
      </c>
      <c r="X91" s="289">
        <v>66.212981999999997</v>
      </c>
      <c r="Y91" s="289">
        <v>306618100</v>
      </c>
      <c r="Z91" s="289">
        <f t="shared" si="5"/>
        <v>-0.11189079203272767</v>
      </c>
      <c r="AA91" s="290">
        <f t="shared" si="6"/>
        <v>-0.11189079203272767</v>
      </c>
      <c r="AD91" s="299">
        <v>44378</v>
      </c>
      <c r="AE91" s="290">
        <v>1.2699999999999999E-2</v>
      </c>
      <c r="AF91" s="290">
        <v>-3.9699999999999999E-2</v>
      </c>
      <c r="AG91" s="290">
        <v>-1.78E-2</v>
      </c>
      <c r="AH91" s="290">
        <v>0</v>
      </c>
    </row>
    <row r="92" spans="2:34" ht="13.5" customHeight="1">
      <c r="B92" s="137">
        <v>193309</v>
      </c>
      <c r="C92" s="137">
        <v>-10.65</v>
      </c>
      <c r="D92" s="137">
        <v>-0.4</v>
      </c>
      <c r="E92" s="137">
        <v>-11.74</v>
      </c>
      <c r="F92" s="137">
        <v>0.02</v>
      </c>
      <c r="S92" s="299">
        <v>44409</v>
      </c>
      <c r="T92" s="289">
        <v>71.069999999999993</v>
      </c>
      <c r="U92" s="289">
        <v>80.559997999999993</v>
      </c>
      <c r="V92" s="289">
        <v>61.759998000000003</v>
      </c>
      <c r="W92" s="289">
        <v>78.559997999999993</v>
      </c>
      <c r="X92" s="289">
        <v>73.387305999999995</v>
      </c>
      <c r="Y92" s="289">
        <v>247666700</v>
      </c>
      <c r="Z92" s="289">
        <f t="shared" si="5"/>
        <v>0.10835222615407947</v>
      </c>
      <c r="AA92" s="290">
        <f t="shared" si="6"/>
        <v>0.10835222615407947</v>
      </c>
      <c r="AD92" s="299">
        <v>44409</v>
      </c>
      <c r="AE92" s="290">
        <v>2.9100000000000001E-2</v>
      </c>
      <c r="AF92" s="290">
        <v>-4.1999999999999997E-3</v>
      </c>
      <c r="AG92" s="290">
        <v>-1.5E-3</v>
      </c>
      <c r="AH92" s="290">
        <v>0</v>
      </c>
    </row>
    <row r="93" spans="2:34" ht="13.5" customHeight="1">
      <c r="B93" s="137">
        <v>193310</v>
      </c>
      <c r="C93" s="137">
        <v>-8.36</v>
      </c>
      <c r="D93" s="137">
        <v>-0.2</v>
      </c>
      <c r="E93" s="137">
        <v>-8.57</v>
      </c>
      <c r="F93" s="137">
        <v>0.01</v>
      </c>
      <c r="S93" s="299">
        <v>44440</v>
      </c>
      <c r="T93" s="289">
        <v>79.480002999999996</v>
      </c>
      <c r="U93" s="289">
        <v>84.080001999999993</v>
      </c>
      <c r="V93" s="289">
        <v>71.450996000000004</v>
      </c>
      <c r="W93" s="289">
        <v>72.239998</v>
      </c>
      <c r="X93" s="289">
        <v>67.483436999999995</v>
      </c>
      <c r="Y93" s="289">
        <v>197234800</v>
      </c>
      <c r="Z93" s="289">
        <f t="shared" si="5"/>
        <v>-8.0448095478528714E-2</v>
      </c>
      <c r="AA93" s="290">
        <f t="shared" si="6"/>
        <v>-8.0448095478528714E-2</v>
      </c>
      <c r="AD93" s="299">
        <v>44440</v>
      </c>
      <c r="AE93" s="290">
        <v>-4.3700000000000003E-2</v>
      </c>
      <c r="AF93" s="290">
        <v>7.0999999999999995E-3</v>
      </c>
      <c r="AG93" s="290">
        <v>5.0799999999999998E-2</v>
      </c>
      <c r="AH93" s="290">
        <v>0</v>
      </c>
    </row>
    <row r="94" spans="2:34" ht="13.5" customHeight="1">
      <c r="B94" s="137">
        <v>193311</v>
      </c>
      <c r="C94" s="137">
        <v>9.9700000000000006</v>
      </c>
      <c r="D94" s="137">
        <v>-6.47</v>
      </c>
      <c r="E94" s="137">
        <v>2.3199999999999998</v>
      </c>
      <c r="F94" s="137">
        <v>0.02</v>
      </c>
      <c r="S94" s="299">
        <v>44470</v>
      </c>
      <c r="T94" s="289">
        <v>72.089995999999999</v>
      </c>
      <c r="U94" s="289">
        <v>87.830001999999993</v>
      </c>
      <c r="V94" s="289">
        <v>68.459998999999996</v>
      </c>
      <c r="W94" s="289">
        <v>78.279999000000004</v>
      </c>
      <c r="X94" s="289">
        <v>73.125739999999993</v>
      </c>
      <c r="Y94" s="289">
        <v>172756600</v>
      </c>
      <c r="Z94" s="289">
        <f t="shared" si="5"/>
        <v>8.3610190156734321E-2</v>
      </c>
      <c r="AA94" s="290">
        <f t="shared" si="6"/>
        <v>8.3610190156734321E-2</v>
      </c>
      <c r="AD94" s="299">
        <v>44470</v>
      </c>
      <c r="AE94" s="290">
        <v>6.6500000000000004E-2</v>
      </c>
      <c r="AF94" s="290">
        <v>-2.35E-2</v>
      </c>
      <c r="AG94" s="290">
        <v>-4.8999999999999998E-3</v>
      </c>
      <c r="AH94" s="290">
        <v>0</v>
      </c>
    </row>
    <row r="95" spans="2:34" ht="13.5" customHeight="1">
      <c r="B95" s="137">
        <v>193312</v>
      </c>
      <c r="C95" s="137">
        <v>1.83</v>
      </c>
      <c r="D95" s="137">
        <v>0.63</v>
      </c>
      <c r="E95" s="137">
        <v>-1.56</v>
      </c>
      <c r="F95" s="137">
        <v>0.02</v>
      </c>
      <c r="S95" s="299">
        <v>44501</v>
      </c>
      <c r="T95" s="289">
        <v>78.660004000000001</v>
      </c>
      <c r="U95" s="289">
        <v>92.690002000000007</v>
      </c>
      <c r="V95" s="289">
        <v>76.629997000000003</v>
      </c>
      <c r="W95" s="289">
        <v>84.110000999999997</v>
      </c>
      <c r="X95" s="289">
        <v>78.571877000000001</v>
      </c>
      <c r="Y95" s="289">
        <v>197208800</v>
      </c>
      <c r="Z95" s="289">
        <f t="shared" si="5"/>
        <v>7.4476333504454262E-2</v>
      </c>
      <c r="AA95" s="290">
        <f t="shared" si="6"/>
        <v>7.4476333504454262E-2</v>
      </c>
      <c r="AD95" s="299">
        <v>44501</v>
      </c>
      <c r="AE95" s="290">
        <v>-1.55E-2</v>
      </c>
      <c r="AF95" s="290">
        <v>-1.32E-2</v>
      </c>
      <c r="AG95" s="290">
        <v>-4.5000000000000005E-3</v>
      </c>
      <c r="AH95" s="290">
        <v>0</v>
      </c>
    </row>
    <row r="96" spans="2:34" ht="13.5" customHeight="1">
      <c r="B96" s="137">
        <v>193401</v>
      </c>
      <c r="C96" s="137">
        <v>12.6</v>
      </c>
      <c r="D96" s="137">
        <v>12.69</v>
      </c>
      <c r="E96" s="137">
        <v>15.59</v>
      </c>
      <c r="F96" s="137">
        <v>0.05</v>
      </c>
      <c r="S96" s="299">
        <v>44531</v>
      </c>
      <c r="T96" s="289">
        <v>86.879997000000003</v>
      </c>
      <c r="U96" s="289">
        <v>88.220000999999996</v>
      </c>
      <c r="V96" s="289">
        <v>64.699996999999996</v>
      </c>
      <c r="W96" s="289">
        <v>70.069999999999993</v>
      </c>
      <c r="X96" s="289">
        <v>65.456314000000006</v>
      </c>
      <c r="Y96" s="289">
        <v>252985700</v>
      </c>
      <c r="Z96" s="289">
        <f t="shared" si="5"/>
        <v>-0.16692439458968245</v>
      </c>
      <c r="AA96" s="290">
        <f t="shared" si="6"/>
        <v>-0.16692439458968245</v>
      </c>
      <c r="AD96" s="299">
        <v>44531</v>
      </c>
      <c r="AE96" s="290">
        <v>3.1E-2</v>
      </c>
      <c r="AF96" s="290">
        <v>-1.67E-2</v>
      </c>
      <c r="AG96" s="290">
        <v>3.2599999999999997E-2</v>
      </c>
      <c r="AH96" s="290">
        <v>1E-4</v>
      </c>
    </row>
    <row r="97" spans="2:34" ht="13.5" customHeight="1">
      <c r="B97" s="137">
        <v>193402</v>
      </c>
      <c r="C97" s="137">
        <v>-2.5</v>
      </c>
      <c r="D97" s="137">
        <v>5.0999999999999996</v>
      </c>
      <c r="E97" s="137">
        <v>2</v>
      </c>
      <c r="F97" s="137">
        <v>0.02</v>
      </c>
      <c r="S97" s="299">
        <v>44562</v>
      </c>
      <c r="T97" s="289">
        <v>68.900002000000001</v>
      </c>
      <c r="U97" s="289">
        <v>81.239998</v>
      </c>
      <c r="V97" s="289">
        <v>62.169998</v>
      </c>
      <c r="W97" s="289">
        <v>74.879997000000003</v>
      </c>
      <c r="X97" s="289">
        <v>69.949607999999998</v>
      </c>
      <c r="Y97" s="289">
        <v>276936100</v>
      </c>
      <c r="Z97" s="289">
        <f t="shared" si="5"/>
        <v>6.8645692453748408E-2</v>
      </c>
      <c r="AA97" s="290">
        <f t="shared" si="6"/>
        <v>6.8645692453748408E-2</v>
      </c>
      <c r="AD97" s="299">
        <v>44562</v>
      </c>
      <c r="AE97" s="290">
        <v>-6.25E-2</v>
      </c>
      <c r="AF97" s="290">
        <v>-5.9400000000000001E-2</v>
      </c>
      <c r="AG97" s="290">
        <v>0.1275</v>
      </c>
      <c r="AH97" s="290">
        <v>0</v>
      </c>
    </row>
    <row r="98" spans="2:34" ht="13.5" customHeight="1">
      <c r="B98" s="137">
        <v>193403</v>
      </c>
      <c r="C98" s="137">
        <v>0.09</v>
      </c>
      <c r="D98" s="137">
        <v>2.5099999999999998</v>
      </c>
      <c r="E98" s="137">
        <v>-2.7</v>
      </c>
      <c r="F98" s="137">
        <v>0.02</v>
      </c>
      <c r="S98" s="299">
        <v>44593</v>
      </c>
      <c r="T98" s="289">
        <v>74.260002</v>
      </c>
      <c r="U98" s="289">
        <v>78.669998000000007</v>
      </c>
      <c r="V98" s="289">
        <v>66.110000999999997</v>
      </c>
      <c r="W98" s="289">
        <v>71.629997000000003</v>
      </c>
      <c r="X98" s="289">
        <v>66.913596999999996</v>
      </c>
      <c r="Y98" s="289">
        <v>135589300</v>
      </c>
      <c r="Z98" s="289">
        <f t="shared" si="5"/>
        <v>-4.3402830792132585E-2</v>
      </c>
      <c r="AA98" s="290">
        <f t="shared" si="6"/>
        <v>-4.3402830792132585E-2</v>
      </c>
      <c r="AD98" s="299">
        <v>44593</v>
      </c>
      <c r="AE98" s="290">
        <v>-2.29E-2</v>
      </c>
      <c r="AF98" s="290">
        <v>2.1899999999999999E-2</v>
      </c>
      <c r="AG98" s="290">
        <v>3.0800000000000001E-2</v>
      </c>
      <c r="AH98" s="290">
        <v>0</v>
      </c>
    </row>
    <row r="99" spans="2:34" ht="13.5" customHeight="1">
      <c r="B99" s="137">
        <v>193404</v>
      </c>
      <c r="C99" s="137">
        <v>-1.79</v>
      </c>
      <c r="D99" s="137">
        <v>2.73</v>
      </c>
      <c r="E99" s="137">
        <v>-3.73</v>
      </c>
      <c r="F99" s="137">
        <v>0.01</v>
      </c>
      <c r="S99" s="299">
        <v>44621</v>
      </c>
      <c r="T99" s="289">
        <v>72.419998000000007</v>
      </c>
      <c r="U99" s="289">
        <v>74.989998</v>
      </c>
      <c r="V99" s="289">
        <v>41.560001</v>
      </c>
      <c r="W99" s="289">
        <v>57.869999</v>
      </c>
      <c r="X99" s="289">
        <v>54.059612000000001</v>
      </c>
      <c r="Y99" s="289">
        <v>545483200</v>
      </c>
      <c r="Z99" s="289">
        <f t="shared" si="5"/>
        <v>-0.19209825172005024</v>
      </c>
      <c r="AA99" s="290">
        <f t="shared" si="6"/>
        <v>-0.19209825172005024</v>
      </c>
      <c r="AD99" s="299">
        <v>44621</v>
      </c>
      <c r="AE99" s="290">
        <v>3.0499999999999999E-2</v>
      </c>
      <c r="AF99" s="290">
        <v>-1.61E-2</v>
      </c>
      <c r="AG99" s="290">
        <v>-1.8100000000000002E-2</v>
      </c>
      <c r="AH99" s="290">
        <v>1E-4</v>
      </c>
    </row>
    <row r="100" spans="2:34" ht="13.5" customHeight="1">
      <c r="B100" s="137">
        <v>193405</v>
      </c>
      <c r="C100" s="137">
        <v>-7.25</v>
      </c>
      <c r="D100" s="137">
        <v>-0.28999999999999998</v>
      </c>
      <c r="E100" s="137">
        <v>-5.89</v>
      </c>
      <c r="F100" s="137">
        <v>0.01</v>
      </c>
      <c r="S100" s="299">
        <v>44652</v>
      </c>
      <c r="T100" s="289">
        <v>61.25</v>
      </c>
      <c r="U100" s="289">
        <v>65.290001000000004</v>
      </c>
      <c r="V100" s="289">
        <v>50.25</v>
      </c>
      <c r="W100" s="289">
        <v>61.66</v>
      </c>
      <c r="X100" s="289">
        <v>57.600067000000003</v>
      </c>
      <c r="Y100" s="289">
        <v>215210200</v>
      </c>
      <c r="Z100" s="289">
        <f t="shared" si="5"/>
        <v>6.5491683514117716E-2</v>
      </c>
      <c r="AA100" s="290">
        <f t="shared" si="6"/>
        <v>6.5491683514117716E-2</v>
      </c>
      <c r="AD100" s="299">
        <v>44652</v>
      </c>
      <c r="AE100" s="290">
        <v>-9.4600000000000004E-2</v>
      </c>
      <c r="AF100" s="290">
        <v>-1.3899999999999999E-2</v>
      </c>
      <c r="AG100" s="290">
        <v>6.1699999999999998E-2</v>
      </c>
      <c r="AH100" s="290">
        <v>1E-4</v>
      </c>
    </row>
    <row r="101" spans="2:34" ht="13.5" customHeight="1">
      <c r="B101" s="137">
        <v>193406</v>
      </c>
      <c r="C101" s="137">
        <v>2.64</v>
      </c>
      <c r="D101" s="137">
        <v>-2.23</v>
      </c>
      <c r="E101" s="137">
        <v>-2.96</v>
      </c>
      <c r="F101" s="137">
        <v>0.01</v>
      </c>
      <c r="S101" s="299">
        <v>44682</v>
      </c>
      <c r="T101" s="289">
        <v>61.639999000000003</v>
      </c>
      <c r="U101" s="289">
        <v>63.959999000000003</v>
      </c>
      <c r="V101" s="289">
        <v>46.830002</v>
      </c>
      <c r="W101" s="289">
        <v>56.119999</v>
      </c>
      <c r="X101" s="289">
        <v>52.424838999999999</v>
      </c>
      <c r="Y101" s="289">
        <v>298611400</v>
      </c>
      <c r="Z101" s="289">
        <f t="shared" si="5"/>
        <v>-8.9847603823099753E-2</v>
      </c>
      <c r="AA101" s="290">
        <f t="shared" si="6"/>
        <v>-8.9847603823099753E-2</v>
      </c>
      <c r="AD101" s="299">
        <v>44682</v>
      </c>
      <c r="AE101" s="290">
        <v>-3.4000000000000002E-3</v>
      </c>
      <c r="AF101" s="290">
        <v>-1.83E-2</v>
      </c>
      <c r="AG101" s="290">
        <v>8.3900000000000002E-2</v>
      </c>
      <c r="AH101" s="290">
        <v>2.9999999999999997E-4</v>
      </c>
    </row>
    <row r="102" spans="2:34" ht="13.5" customHeight="1">
      <c r="B102" s="137">
        <v>193407</v>
      </c>
      <c r="C102" s="137">
        <v>-10.96</v>
      </c>
      <c r="D102" s="137">
        <v>-6.95</v>
      </c>
      <c r="E102" s="137">
        <v>-10.7</v>
      </c>
      <c r="F102" s="137">
        <v>0.01</v>
      </c>
      <c r="S102" s="299">
        <v>44713</v>
      </c>
      <c r="T102" s="289">
        <v>56.830002</v>
      </c>
      <c r="U102" s="289">
        <v>68.290001000000004</v>
      </c>
      <c r="V102" s="289">
        <v>54.639999000000003</v>
      </c>
      <c r="W102" s="289">
        <v>64.220000999999996</v>
      </c>
      <c r="X102" s="289">
        <v>61.505108</v>
      </c>
      <c r="Y102" s="289">
        <v>290304100</v>
      </c>
      <c r="Z102" s="289">
        <f t="shared" si="5"/>
        <v>0.17320547231437367</v>
      </c>
      <c r="AA102" s="290">
        <f t="shared" si="6"/>
        <v>0.17320547231437367</v>
      </c>
      <c r="AD102" s="299">
        <v>44713</v>
      </c>
      <c r="AE102" s="290">
        <v>-8.43E-2</v>
      </c>
      <c r="AF102" s="290">
        <v>2.1000000000000001E-2</v>
      </c>
      <c r="AG102" s="290">
        <v>-5.9699999999999996E-2</v>
      </c>
      <c r="AH102" s="290">
        <v>5.9999999999999995E-4</v>
      </c>
    </row>
    <row r="103" spans="2:34" ht="13.5" customHeight="1">
      <c r="B103" s="137">
        <v>193408</v>
      </c>
      <c r="C103" s="137">
        <v>5.58</v>
      </c>
      <c r="D103" s="137">
        <v>5.37</v>
      </c>
      <c r="E103" s="137">
        <v>0.09</v>
      </c>
      <c r="F103" s="137">
        <v>0.01</v>
      </c>
      <c r="S103" s="299">
        <v>44743</v>
      </c>
      <c r="T103" s="289">
        <v>63.91</v>
      </c>
      <c r="U103" s="289">
        <v>66.360000999999997</v>
      </c>
      <c r="V103" s="289">
        <v>58.369999</v>
      </c>
      <c r="W103" s="289">
        <v>59.5</v>
      </c>
      <c r="X103" s="289">
        <v>56.984645999999998</v>
      </c>
      <c r="Y103" s="289">
        <v>121077500</v>
      </c>
      <c r="Z103" s="289">
        <f t="shared" si="5"/>
        <v>-7.3497342692252499E-2</v>
      </c>
      <c r="AA103" s="290">
        <f t="shared" si="6"/>
        <v>-7.3497342692252499E-2</v>
      </c>
      <c r="AD103" s="299">
        <v>44743</v>
      </c>
      <c r="AE103" s="290">
        <v>9.5700000000000007E-2</v>
      </c>
      <c r="AF103" s="290">
        <v>2.81E-2</v>
      </c>
      <c r="AG103" s="290">
        <v>-4.0500000000000001E-2</v>
      </c>
      <c r="AH103" s="290">
        <v>8.0000000000000004E-4</v>
      </c>
    </row>
    <row r="104" spans="2:34" ht="13.5" customHeight="1">
      <c r="B104" s="137">
        <v>193409</v>
      </c>
      <c r="C104" s="137">
        <v>-0.23</v>
      </c>
      <c r="D104" s="137">
        <v>-1.52</v>
      </c>
      <c r="E104" s="137">
        <v>-1.2</v>
      </c>
      <c r="F104" s="137">
        <v>0.01</v>
      </c>
      <c r="S104" s="299">
        <v>44774</v>
      </c>
      <c r="T104" s="289">
        <v>57.580002</v>
      </c>
      <c r="U104" s="289">
        <v>67.870002999999997</v>
      </c>
      <c r="V104" s="289">
        <v>53.049999</v>
      </c>
      <c r="W104" s="289">
        <v>63.490001999999997</v>
      </c>
      <c r="X104" s="289">
        <v>60.805968999999997</v>
      </c>
      <c r="Y104" s="289">
        <v>191899100</v>
      </c>
      <c r="Z104" s="289">
        <f t="shared" si="5"/>
        <v>6.7058817913864033E-2</v>
      </c>
      <c r="AA104" s="290">
        <f t="shared" si="6"/>
        <v>6.7058817913864033E-2</v>
      </c>
      <c r="AD104" s="299">
        <v>44774</v>
      </c>
      <c r="AE104" s="290">
        <v>-3.7699999999999997E-2</v>
      </c>
      <c r="AF104" s="290">
        <v>1.3999999999999999E-2</v>
      </c>
      <c r="AG104" s="290">
        <v>2.8999999999999998E-3</v>
      </c>
      <c r="AH104" s="290">
        <v>1.9E-3</v>
      </c>
    </row>
    <row r="105" spans="2:34" ht="13.5" customHeight="1">
      <c r="B105" s="137">
        <v>193410</v>
      </c>
      <c r="C105" s="137">
        <v>-1.66</v>
      </c>
      <c r="D105" s="137">
        <v>1.24</v>
      </c>
      <c r="E105" s="137">
        <v>-5.08</v>
      </c>
      <c r="F105" s="137">
        <v>0.01</v>
      </c>
      <c r="S105" s="299">
        <v>44805</v>
      </c>
      <c r="T105" s="289">
        <v>61.75</v>
      </c>
      <c r="U105" s="289">
        <v>63.200001</v>
      </c>
      <c r="V105" s="289">
        <v>49.810001</v>
      </c>
      <c r="W105" s="289">
        <v>50.299999</v>
      </c>
      <c r="X105" s="289">
        <v>48.173572999999998</v>
      </c>
      <c r="Y105" s="289">
        <v>114242300</v>
      </c>
      <c r="Z105" s="289">
        <f t="shared" si="5"/>
        <v>-0.20774927540419597</v>
      </c>
      <c r="AA105" s="290">
        <f t="shared" si="6"/>
        <v>-0.20774927540419597</v>
      </c>
      <c r="AD105" s="299">
        <v>44805</v>
      </c>
      <c r="AE105" s="290">
        <v>-9.35E-2</v>
      </c>
      <c r="AF105" s="290">
        <v>-8.1000000000000013E-3</v>
      </c>
      <c r="AG105" s="290">
        <v>5.0000000000000001E-4</v>
      </c>
      <c r="AH105" s="290">
        <v>1.9E-3</v>
      </c>
    </row>
    <row r="106" spans="2:34" ht="13.5" customHeight="1">
      <c r="B106" s="137">
        <v>193411</v>
      </c>
      <c r="C106" s="137">
        <v>8.33</v>
      </c>
      <c r="D106" s="137">
        <v>6.48</v>
      </c>
      <c r="E106" s="137">
        <v>-2.15</v>
      </c>
      <c r="F106" s="137">
        <v>0.01</v>
      </c>
      <c r="S106" s="299">
        <v>44835</v>
      </c>
      <c r="T106" s="289">
        <v>49.380001</v>
      </c>
      <c r="U106" s="289">
        <v>54.380001</v>
      </c>
      <c r="V106" s="289">
        <v>33.169998</v>
      </c>
      <c r="W106" s="289">
        <v>37.290000999999997</v>
      </c>
      <c r="X106" s="289">
        <v>35.713569999999997</v>
      </c>
      <c r="Y106" s="289">
        <v>236340500</v>
      </c>
      <c r="Z106" s="289">
        <f t="shared" si="5"/>
        <v>-0.25864809737073069</v>
      </c>
      <c r="AA106" s="290">
        <f t="shared" si="6"/>
        <v>-0.25864809737073069</v>
      </c>
      <c r="AD106" s="299">
        <v>44835</v>
      </c>
      <c r="AE106" s="290">
        <v>7.8299999999999995E-2</v>
      </c>
      <c r="AF106" s="290">
        <v>5.9999999999999995E-4</v>
      </c>
      <c r="AG106" s="290">
        <v>8.0100000000000005E-2</v>
      </c>
      <c r="AH106" s="290">
        <v>2.3E-3</v>
      </c>
    </row>
    <row r="107" spans="2:34" ht="13.5" customHeight="1">
      <c r="B107" s="137">
        <v>193412</v>
      </c>
      <c r="C107" s="137">
        <v>0.36</v>
      </c>
      <c r="D107" s="137">
        <v>3.06</v>
      </c>
      <c r="E107" s="137">
        <v>-3.14</v>
      </c>
      <c r="F107" s="137">
        <v>0.01</v>
      </c>
      <c r="S107" s="299">
        <v>44866</v>
      </c>
      <c r="T107" s="289">
        <v>40.470001000000003</v>
      </c>
      <c r="U107" s="289">
        <v>58.779998999999997</v>
      </c>
      <c r="V107" s="289">
        <v>38.090000000000003</v>
      </c>
      <c r="W107" s="289">
        <v>57.18</v>
      </c>
      <c r="X107" s="289">
        <v>54.762726000000001</v>
      </c>
      <c r="Y107" s="289">
        <v>242457100</v>
      </c>
      <c r="Z107" s="289">
        <f t="shared" si="5"/>
        <v>0.53338705707662393</v>
      </c>
      <c r="AA107" s="290">
        <f t="shared" si="6"/>
        <v>0.53338705707662393</v>
      </c>
      <c r="AD107" s="299">
        <v>44866</v>
      </c>
      <c r="AE107" s="290">
        <v>4.5999999999999999E-2</v>
      </c>
      <c r="AF107" s="290">
        <v>-3.5200000000000002E-2</v>
      </c>
      <c r="AG107" s="290">
        <v>1.38E-2</v>
      </c>
      <c r="AH107" s="290">
        <v>2.8999999999999998E-3</v>
      </c>
    </row>
    <row r="108" spans="2:34" ht="13.5" customHeight="1">
      <c r="B108" s="137">
        <v>193501</v>
      </c>
      <c r="C108" s="137">
        <v>-3.45</v>
      </c>
      <c r="D108" s="137">
        <v>1.07</v>
      </c>
      <c r="E108" s="137">
        <v>-1.9</v>
      </c>
      <c r="F108" s="137">
        <v>0.01</v>
      </c>
      <c r="S108" s="299">
        <v>44896</v>
      </c>
      <c r="T108" s="289">
        <v>55.330002</v>
      </c>
      <c r="U108" s="289">
        <v>61.400002000000001</v>
      </c>
      <c r="V108" s="289">
        <v>54.68</v>
      </c>
      <c r="W108" s="289">
        <v>56.130001</v>
      </c>
      <c r="X108" s="289">
        <v>53.757111000000002</v>
      </c>
      <c r="Y108" s="289">
        <v>149114500</v>
      </c>
      <c r="Z108" s="289">
        <f t="shared" si="5"/>
        <v>-1.8363128964763331E-2</v>
      </c>
      <c r="AA108" s="290">
        <f t="shared" si="6"/>
        <v>-1.8363128964763331E-2</v>
      </c>
      <c r="AD108" s="299">
        <v>44896</v>
      </c>
      <c r="AE108" s="290">
        <v>-6.4100000000000004E-2</v>
      </c>
      <c r="AF108" s="290">
        <v>-6.8999999999999999E-3</v>
      </c>
      <c r="AG108" s="290">
        <v>1.37E-2</v>
      </c>
      <c r="AH108" s="290">
        <v>3.3E-3</v>
      </c>
    </row>
    <row r="109" spans="2:34" ht="13.5" customHeight="1">
      <c r="B109" s="137">
        <v>193502</v>
      </c>
      <c r="C109" s="137">
        <v>-1.94</v>
      </c>
      <c r="D109" s="137">
        <v>0.37</v>
      </c>
      <c r="E109" s="137">
        <v>-7.44</v>
      </c>
      <c r="F109" s="137">
        <v>0.02</v>
      </c>
      <c r="S109" s="299">
        <v>44927</v>
      </c>
      <c r="T109" s="289">
        <v>57.970001000000003</v>
      </c>
      <c r="U109" s="289">
        <v>67.095000999999996</v>
      </c>
      <c r="V109" s="289">
        <v>56.869999</v>
      </c>
      <c r="W109" s="289">
        <v>59.529998999999997</v>
      </c>
      <c r="X109" s="289">
        <v>57.013378000000003</v>
      </c>
      <c r="Y109" s="289">
        <v>145372000</v>
      </c>
      <c r="Z109" s="289">
        <f t="shared" si="5"/>
        <v>6.0573697868548049E-2</v>
      </c>
      <c r="AA109" s="290">
        <f t="shared" si="6"/>
        <v>6.0573697868548049E-2</v>
      </c>
      <c r="AD109" s="299">
        <v>44927</v>
      </c>
      <c r="AE109" s="290">
        <v>6.6500000000000004E-2</v>
      </c>
      <c r="AF109" s="290">
        <v>5.0099999999999999E-2</v>
      </c>
      <c r="AG109" s="290">
        <v>-4.0099999999999997E-2</v>
      </c>
      <c r="AH109" s="290">
        <v>3.4999999999999996E-3</v>
      </c>
    </row>
    <row r="110" spans="2:34" ht="13.5" customHeight="1">
      <c r="B110" s="137">
        <v>193503</v>
      </c>
      <c r="C110" s="137">
        <v>-3.68</v>
      </c>
      <c r="D110" s="137">
        <v>-3.59</v>
      </c>
      <c r="E110" s="137">
        <v>-5.12</v>
      </c>
      <c r="F110" s="137">
        <v>0.01</v>
      </c>
      <c r="S110" s="299">
        <v>44958</v>
      </c>
      <c r="T110" s="289">
        <v>60.130001</v>
      </c>
      <c r="U110" s="289">
        <v>61.759998000000003</v>
      </c>
      <c r="V110" s="289">
        <v>43.970001000000003</v>
      </c>
      <c r="W110" s="289">
        <v>44.439999</v>
      </c>
      <c r="X110" s="289">
        <v>42.561306000000002</v>
      </c>
      <c r="Y110" s="289">
        <v>169694800</v>
      </c>
      <c r="Z110" s="289">
        <f t="shared" si="5"/>
        <v>-0.25348562928511276</v>
      </c>
      <c r="AA110" s="290">
        <f t="shared" si="6"/>
        <v>-0.25348562928511276</v>
      </c>
      <c r="AD110" s="299">
        <v>44958</v>
      </c>
      <c r="AE110" s="290">
        <v>-2.58E-2</v>
      </c>
      <c r="AF110" s="290">
        <v>1.1699999999999999E-2</v>
      </c>
      <c r="AG110" s="290">
        <v>-8.1000000000000013E-3</v>
      </c>
      <c r="AH110" s="290">
        <v>3.4000000000000002E-3</v>
      </c>
    </row>
    <row r="111" spans="2:34" ht="13.5" customHeight="1">
      <c r="B111" s="137">
        <v>193504</v>
      </c>
      <c r="C111" s="137">
        <v>9.06</v>
      </c>
      <c r="D111" s="137">
        <v>-1.47</v>
      </c>
      <c r="E111" s="137">
        <v>4.47</v>
      </c>
      <c r="F111" s="137">
        <v>0.01</v>
      </c>
      <c r="S111" s="299">
        <v>44986</v>
      </c>
      <c r="T111" s="289">
        <v>46.540000999999997</v>
      </c>
      <c r="U111" s="289">
        <v>48.720001000000003</v>
      </c>
      <c r="V111" s="289">
        <v>37.700001</v>
      </c>
      <c r="W111" s="289">
        <v>43.889999000000003</v>
      </c>
      <c r="X111" s="289">
        <v>42.034554</v>
      </c>
      <c r="Y111" s="289">
        <v>281650700</v>
      </c>
      <c r="Z111" s="289">
        <f t="shared" si="5"/>
        <v>-1.237631194869826E-2</v>
      </c>
      <c r="AA111" s="290">
        <f t="shared" si="6"/>
        <v>-1.237631194869826E-2</v>
      </c>
      <c r="AD111" s="299">
        <v>44986</v>
      </c>
      <c r="AE111" s="290">
        <v>2.5099999999999997E-2</v>
      </c>
      <c r="AF111" s="290">
        <v>-5.5099999999999996E-2</v>
      </c>
      <c r="AG111" s="290">
        <v>-8.8499999999999995E-2</v>
      </c>
      <c r="AH111" s="290">
        <v>3.5999999999999999E-3</v>
      </c>
    </row>
    <row r="112" spans="2:34" ht="13.5" customHeight="1">
      <c r="B112" s="137">
        <v>193505</v>
      </c>
      <c r="C112" s="137">
        <v>3.47</v>
      </c>
      <c r="D112" s="137">
        <v>-3.34</v>
      </c>
      <c r="E112" s="137">
        <v>2.65</v>
      </c>
      <c r="F112" s="137">
        <v>0.01</v>
      </c>
      <c r="S112" s="299">
        <v>45017</v>
      </c>
      <c r="T112" s="289">
        <v>43.27</v>
      </c>
      <c r="U112" s="289">
        <v>43.560001</v>
      </c>
      <c r="V112" s="289">
        <v>33.529998999999997</v>
      </c>
      <c r="W112" s="289">
        <v>35.720001000000003</v>
      </c>
      <c r="X112" s="289">
        <v>34.209941999999998</v>
      </c>
      <c r="Y112" s="289">
        <v>206055300</v>
      </c>
      <c r="Z112" s="289">
        <f t="shared" si="5"/>
        <v>-0.18614713980312492</v>
      </c>
      <c r="AA112" s="290">
        <f t="shared" si="6"/>
        <v>-0.18614713980312492</v>
      </c>
      <c r="AD112" s="299">
        <v>45017</v>
      </c>
      <c r="AE112" s="290">
        <v>6.0999999999999995E-3</v>
      </c>
      <c r="AF112" s="290">
        <v>-3.3500000000000002E-2</v>
      </c>
      <c r="AG112" s="290">
        <v>-4.0000000000000002E-4</v>
      </c>
      <c r="AH112" s="290">
        <v>3.4999999999999996E-3</v>
      </c>
    </row>
    <row r="113" spans="2:34" ht="13.5" customHeight="1">
      <c r="B113" s="137">
        <v>193506</v>
      </c>
      <c r="C113" s="137">
        <v>5.93</v>
      </c>
      <c r="D113" s="137">
        <v>-2.57</v>
      </c>
      <c r="E113" s="137">
        <v>-1.69</v>
      </c>
      <c r="F113" s="137">
        <v>0.01</v>
      </c>
      <c r="S113" s="299">
        <v>45047</v>
      </c>
      <c r="T113" s="289">
        <v>35.720001000000003</v>
      </c>
      <c r="U113" s="289">
        <v>38.200001</v>
      </c>
      <c r="V113" s="289">
        <v>31.565000999999999</v>
      </c>
      <c r="W113" s="289">
        <v>32.599997999999999</v>
      </c>
      <c r="X113" s="289">
        <v>31.691454</v>
      </c>
      <c r="Y113" s="289">
        <v>271693200</v>
      </c>
      <c r="Z113" s="289">
        <f t="shared" si="5"/>
        <v>-7.3618598944131475E-2</v>
      </c>
      <c r="AA113" s="290">
        <f t="shared" si="6"/>
        <v>-7.3618598944131475E-2</v>
      </c>
      <c r="AD113" s="299">
        <v>45047</v>
      </c>
      <c r="AE113" s="290">
        <v>3.4999999999999996E-3</v>
      </c>
      <c r="AF113" s="290">
        <v>1.61E-2</v>
      </c>
      <c r="AG113" s="290">
        <v>-7.7199999999999991E-2</v>
      </c>
      <c r="AH113" s="290">
        <v>3.5999999999999999E-3</v>
      </c>
    </row>
    <row r="114" spans="2:34" ht="13.5" customHeight="1">
      <c r="B114" s="137">
        <v>193507</v>
      </c>
      <c r="C114" s="137">
        <v>7.51</v>
      </c>
      <c r="D114" s="137">
        <v>1.88</v>
      </c>
      <c r="E114" s="137">
        <v>6.93</v>
      </c>
      <c r="F114" s="137">
        <v>0.01</v>
      </c>
      <c r="S114" s="299">
        <v>45078</v>
      </c>
      <c r="T114" s="289">
        <v>33.279998999999997</v>
      </c>
      <c r="U114" s="289">
        <v>40.68</v>
      </c>
      <c r="V114" s="289">
        <v>33.25</v>
      </c>
      <c r="W114" s="289">
        <v>34.130001</v>
      </c>
      <c r="X114" s="289">
        <v>33.178818</v>
      </c>
      <c r="Y114" s="289">
        <v>228541400</v>
      </c>
      <c r="Z114" s="289">
        <f t="shared" si="5"/>
        <v>4.6932652569364519E-2</v>
      </c>
      <c r="AA114" s="290">
        <f t="shared" si="6"/>
        <v>4.6932652569364519E-2</v>
      </c>
      <c r="AD114" s="299">
        <v>45078</v>
      </c>
      <c r="AE114" s="290">
        <v>6.4600000000000005E-2</v>
      </c>
      <c r="AF114" s="290">
        <v>1.54E-2</v>
      </c>
      <c r="AG114" s="290">
        <v>-2.5999999999999999E-3</v>
      </c>
      <c r="AH114" s="290">
        <v>4.0000000000000001E-3</v>
      </c>
    </row>
    <row r="115" spans="2:34" ht="13.5" customHeight="1">
      <c r="B115" s="137">
        <v>193508</v>
      </c>
      <c r="C115" s="137">
        <v>2.65</v>
      </c>
      <c r="D115" s="137">
        <v>6.2</v>
      </c>
      <c r="E115" s="137">
        <v>6.08</v>
      </c>
      <c r="F115" s="137">
        <v>0.01</v>
      </c>
      <c r="S115" s="299">
        <v>45108</v>
      </c>
      <c r="T115" s="289">
        <v>35.099997999999999</v>
      </c>
      <c r="U115" s="289">
        <v>41.952998999999998</v>
      </c>
      <c r="V115" s="289">
        <v>33.805</v>
      </c>
      <c r="W115" s="289">
        <v>41.310001</v>
      </c>
      <c r="X115" s="289">
        <v>40.158714000000003</v>
      </c>
      <c r="Y115" s="289">
        <v>215589200</v>
      </c>
      <c r="Z115" s="289">
        <f t="shared" si="5"/>
        <v>0.21037205122858826</v>
      </c>
      <c r="AA115" s="290">
        <f t="shared" si="6"/>
        <v>0.21037205122858826</v>
      </c>
      <c r="AD115" s="299">
        <v>45108</v>
      </c>
      <c r="AE115" s="290">
        <v>3.2099999999999997E-2</v>
      </c>
      <c r="AF115" s="290">
        <v>2.0799999999999999E-2</v>
      </c>
      <c r="AG115" s="290">
        <v>4.1100000000000005E-2</v>
      </c>
      <c r="AH115" s="290">
        <v>4.5000000000000005E-3</v>
      </c>
    </row>
    <row r="116" spans="2:34" ht="13.5" customHeight="1">
      <c r="B116" s="137">
        <v>193509</v>
      </c>
      <c r="C116" s="137">
        <v>2.63</v>
      </c>
      <c r="D116" s="137">
        <v>1.53</v>
      </c>
      <c r="E116" s="137">
        <v>-4.07</v>
      </c>
      <c r="F116" s="137">
        <v>0.01</v>
      </c>
      <c r="S116" s="299">
        <v>45139</v>
      </c>
      <c r="T116" s="289">
        <v>40.419998</v>
      </c>
      <c r="U116" s="289">
        <v>40.810001</v>
      </c>
      <c r="V116" s="289">
        <v>32.325001</v>
      </c>
      <c r="W116" s="289">
        <v>33.209999000000003</v>
      </c>
      <c r="X116" s="289">
        <v>32.284453999999997</v>
      </c>
      <c r="Y116" s="289">
        <v>227201100</v>
      </c>
      <c r="Z116" s="289">
        <f t="shared" si="5"/>
        <v>-0.19607848996359811</v>
      </c>
      <c r="AA116" s="290">
        <f t="shared" si="6"/>
        <v>-0.19607848996359811</v>
      </c>
      <c r="AD116" s="299">
        <v>45139</v>
      </c>
      <c r="AE116" s="290">
        <v>-2.3900000000000001E-2</v>
      </c>
      <c r="AF116" s="290">
        <v>-3.1600000000000003E-2</v>
      </c>
      <c r="AG116" s="290">
        <v>-1.06E-2</v>
      </c>
      <c r="AH116" s="290">
        <v>4.5000000000000005E-3</v>
      </c>
    </row>
    <row r="117" spans="2:34" ht="13.5" customHeight="1">
      <c r="B117" s="137">
        <v>193510</v>
      </c>
      <c r="C117" s="137">
        <v>7.03</v>
      </c>
      <c r="D117" s="137">
        <v>2.72</v>
      </c>
      <c r="E117" s="137">
        <v>-2.37</v>
      </c>
      <c r="F117" s="137">
        <v>0.01</v>
      </c>
      <c r="S117" s="299">
        <v>45170</v>
      </c>
      <c r="T117" s="289">
        <v>33.849997999999999</v>
      </c>
      <c r="U117" s="289">
        <v>34.950001</v>
      </c>
      <c r="V117" s="289">
        <v>28.07</v>
      </c>
      <c r="W117" s="289">
        <v>29.129999000000002</v>
      </c>
      <c r="X117" s="289">
        <v>28.318161</v>
      </c>
      <c r="Y117" s="289">
        <v>172630000</v>
      </c>
      <c r="Z117" s="289">
        <f t="shared" si="5"/>
        <v>-0.12285457886325091</v>
      </c>
      <c r="AA117" s="290">
        <f t="shared" si="6"/>
        <v>-0.12285457886325091</v>
      </c>
      <c r="AD117" s="299">
        <v>45170</v>
      </c>
      <c r="AE117" s="290">
        <v>-5.2400000000000002E-2</v>
      </c>
      <c r="AF117" s="290">
        <v>-2.5099999999999997E-2</v>
      </c>
      <c r="AG117" s="290">
        <v>1.52E-2</v>
      </c>
      <c r="AH117" s="290">
        <v>4.3E-3</v>
      </c>
    </row>
    <row r="118" spans="2:34" ht="13.5" customHeight="1">
      <c r="B118" s="137">
        <v>193511</v>
      </c>
      <c r="C118" s="137">
        <v>4.88</v>
      </c>
      <c r="D118" s="137">
        <v>4.54</v>
      </c>
      <c r="E118" s="137">
        <v>12.06</v>
      </c>
      <c r="F118" s="137">
        <v>0.02</v>
      </c>
      <c r="S118" s="299">
        <v>45200</v>
      </c>
      <c r="T118" s="289">
        <v>29.247999</v>
      </c>
      <c r="U118" s="289">
        <v>30.799999</v>
      </c>
      <c r="V118" s="289">
        <v>24.01</v>
      </c>
      <c r="W118" s="289">
        <v>25.42</v>
      </c>
      <c r="X118" s="289">
        <v>24.711556999999999</v>
      </c>
      <c r="Y118" s="289">
        <v>288340900</v>
      </c>
      <c r="Z118" s="289">
        <f t="shared" si="5"/>
        <v>-0.12736010647019069</v>
      </c>
      <c r="AA118" s="290">
        <f t="shared" si="6"/>
        <v>-0.12736010647019069</v>
      </c>
      <c r="AD118" s="299">
        <v>45200</v>
      </c>
      <c r="AE118" s="290">
        <v>-3.1899999999999998E-2</v>
      </c>
      <c r="AF118" s="290">
        <v>-3.8699999999999998E-2</v>
      </c>
      <c r="AG118" s="290">
        <v>1.9E-3</v>
      </c>
      <c r="AH118" s="290">
        <v>4.6999999999999993E-3</v>
      </c>
    </row>
    <row r="119" spans="2:34" ht="13.5" customHeight="1">
      <c r="B119" s="137">
        <v>193512</v>
      </c>
      <c r="C119" s="137">
        <v>4.5599999999999996</v>
      </c>
      <c r="D119" s="137">
        <v>0.17</v>
      </c>
      <c r="E119" s="137">
        <v>0.95</v>
      </c>
      <c r="F119" s="137">
        <v>0.01</v>
      </c>
      <c r="S119" s="299">
        <v>45231</v>
      </c>
      <c r="T119" s="289">
        <v>25.450001</v>
      </c>
      <c r="U119" s="289">
        <v>29.27</v>
      </c>
      <c r="V119" s="289">
        <v>24.959999</v>
      </c>
      <c r="W119" s="289">
        <v>27.43</v>
      </c>
      <c r="X119" s="289">
        <v>26.665541000000001</v>
      </c>
      <c r="Y119" s="289">
        <v>257616500</v>
      </c>
      <c r="Z119" s="289">
        <f t="shared" si="5"/>
        <v>7.9071666750905267E-2</v>
      </c>
      <c r="AA119" s="290">
        <f t="shared" si="6"/>
        <v>7.9071666750905267E-2</v>
      </c>
      <c r="AD119" s="299">
        <v>45231</v>
      </c>
      <c r="AE119" s="290">
        <v>8.8399999999999992E-2</v>
      </c>
      <c r="AF119" s="290">
        <v>-2.0000000000000001E-4</v>
      </c>
      <c r="AG119" s="290">
        <v>1.6399999999999998E-2</v>
      </c>
      <c r="AH119" s="290">
        <v>4.4000000000000003E-3</v>
      </c>
    </row>
    <row r="120" spans="2:34" ht="13.5" customHeight="1">
      <c r="B120" s="137">
        <v>193601</v>
      </c>
      <c r="C120" s="137">
        <v>6.89</v>
      </c>
      <c r="D120" s="137">
        <v>5.23</v>
      </c>
      <c r="E120" s="137">
        <v>10.34</v>
      </c>
      <c r="F120" s="137">
        <v>0.01</v>
      </c>
      <c r="S120" s="299">
        <v>45261</v>
      </c>
      <c r="T120" s="289">
        <v>26.91</v>
      </c>
      <c r="U120" s="289">
        <v>29.184999000000001</v>
      </c>
      <c r="V120" s="289">
        <v>24.66</v>
      </c>
      <c r="W120" s="289">
        <v>28.889999</v>
      </c>
      <c r="X120" s="289">
        <v>28.084849999999999</v>
      </c>
      <c r="Y120" s="289">
        <v>285229100</v>
      </c>
      <c r="Z120" s="289">
        <f t="shared" si="5"/>
        <v>5.3226334316637258E-2</v>
      </c>
      <c r="AA120" s="290">
        <f t="shared" si="6"/>
        <v>5.3226334316637258E-2</v>
      </c>
      <c r="AD120" s="299">
        <v>45261</v>
      </c>
      <c r="AE120" s="290">
        <v>4.87E-2</v>
      </c>
      <c r="AF120" s="290">
        <v>6.3399999999999998E-2</v>
      </c>
      <c r="AG120" s="290">
        <v>4.9299999999999997E-2</v>
      </c>
      <c r="AH120" s="290">
        <v>4.3E-3</v>
      </c>
    </row>
    <row r="121" spans="2:34" ht="13.5" customHeight="1">
      <c r="B121" s="137">
        <v>193602</v>
      </c>
      <c r="C121" s="137">
        <v>2.4900000000000002</v>
      </c>
      <c r="D121" s="137">
        <v>0.95</v>
      </c>
      <c r="E121" s="137">
        <v>4.51</v>
      </c>
      <c r="F121" s="137">
        <v>0.01</v>
      </c>
      <c r="S121" s="299">
        <v>45292</v>
      </c>
      <c r="T121" s="289">
        <v>28</v>
      </c>
      <c r="U121" s="289">
        <v>28.030000999999999</v>
      </c>
      <c r="V121" s="289">
        <v>20.82</v>
      </c>
      <c r="W121" s="289">
        <v>22.549999</v>
      </c>
      <c r="X121" s="289">
        <v>21.921543</v>
      </c>
      <c r="Y121" s="289">
        <v>338013100</v>
      </c>
      <c r="Z121" s="289">
        <f t="shared" si="5"/>
        <v>-0.2194530859164282</v>
      </c>
      <c r="AA121" s="290">
        <f t="shared" si="6"/>
        <v>-0.2194530859164282</v>
      </c>
      <c r="AD121" s="299">
        <v>45292</v>
      </c>
      <c r="AE121" s="290">
        <v>7.0999999999999995E-3</v>
      </c>
      <c r="AF121" s="290">
        <v>-5.0900000000000001E-2</v>
      </c>
      <c r="AG121" s="290">
        <v>-2.3799999999999998E-2</v>
      </c>
      <c r="AH121" s="290">
        <v>4.6999999999999993E-3</v>
      </c>
    </row>
    <row r="122" spans="2:34" ht="13.5" customHeight="1">
      <c r="B122" s="137">
        <v>193603</v>
      </c>
      <c r="C122" s="137">
        <v>0.99</v>
      </c>
      <c r="D122" s="137">
        <v>0.69</v>
      </c>
      <c r="E122" s="137">
        <v>-1.44</v>
      </c>
      <c r="F122" s="137">
        <v>0.02</v>
      </c>
      <c r="S122" s="299">
        <v>45323</v>
      </c>
      <c r="T122" s="289">
        <v>22.58</v>
      </c>
      <c r="U122" s="289">
        <v>24.65</v>
      </c>
      <c r="V122" s="289">
        <v>21.524999999999999</v>
      </c>
      <c r="W122" s="289">
        <v>22.620000999999998</v>
      </c>
      <c r="X122" s="289">
        <v>21.989594</v>
      </c>
      <c r="Y122" s="289">
        <v>243512200</v>
      </c>
      <c r="Z122" s="289">
        <f t="shared" si="5"/>
        <v>3.1042979045772245E-3</v>
      </c>
      <c r="AA122" s="290">
        <f t="shared" si="6"/>
        <v>3.1042979045772245E-3</v>
      </c>
      <c r="AD122" s="299">
        <v>45323</v>
      </c>
      <c r="AE122" s="290">
        <v>5.0599999999999999E-2</v>
      </c>
      <c r="AF122" s="290">
        <v>-2.3999999999999998E-3</v>
      </c>
      <c r="AG122" s="290">
        <v>-3.4799999999999998E-2</v>
      </c>
      <c r="AH122" s="290">
        <v>4.1999999999999997E-3</v>
      </c>
    </row>
    <row r="123" spans="2:34" ht="13.5" customHeight="1">
      <c r="B123" s="137">
        <v>193604</v>
      </c>
      <c r="C123" s="137">
        <v>-8.14</v>
      </c>
      <c r="D123" s="137">
        <v>-6.06</v>
      </c>
      <c r="E123" s="137">
        <v>-2.15</v>
      </c>
      <c r="F123" s="137">
        <v>0.02</v>
      </c>
      <c r="S123" s="299">
        <v>45352</v>
      </c>
      <c r="T123" s="289">
        <v>23</v>
      </c>
      <c r="U123" s="289">
        <v>28.549999</v>
      </c>
      <c r="V123" s="289">
        <v>21.18</v>
      </c>
      <c r="W123" s="289">
        <v>27.389999</v>
      </c>
      <c r="X123" s="289">
        <v>26.626656000000001</v>
      </c>
      <c r="Y123" s="289">
        <v>393370900</v>
      </c>
      <c r="Z123" s="289">
        <f t="shared" si="5"/>
        <v>0.21087528946646317</v>
      </c>
      <c r="AA123" s="290">
        <f t="shared" si="6"/>
        <v>0.21087528946646317</v>
      </c>
      <c r="AD123" s="299"/>
    </row>
    <row r="124" spans="2:34" ht="13.5" customHeight="1">
      <c r="B124" s="137">
        <v>193605</v>
      </c>
      <c r="C124" s="137">
        <v>5.19</v>
      </c>
      <c r="D124" s="137">
        <v>0.91</v>
      </c>
      <c r="E124" s="137">
        <v>2.61</v>
      </c>
      <c r="F124" s="137">
        <v>0.02</v>
      </c>
      <c r="S124" s="299">
        <v>45383</v>
      </c>
      <c r="T124" s="289">
        <v>28</v>
      </c>
      <c r="U124" s="289">
        <v>28.379999000000002</v>
      </c>
      <c r="V124" s="289">
        <v>25.959999</v>
      </c>
      <c r="W124" s="289">
        <v>26.02</v>
      </c>
      <c r="X124" s="289">
        <v>25.294837999999999</v>
      </c>
      <c r="Y124" s="289">
        <v>47975300</v>
      </c>
      <c r="AD124" s="299"/>
    </row>
    <row r="125" spans="2:34" ht="13.5" customHeight="1">
      <c r="B125" s="137">
        <v>193606</v>
      </c>
      <c r="C125" s="137">
        <v>2.4</v>
      </c>
      <c r="D125" s="137">
        <v>-3.2</v>
      </c>
      <c r="E125" s="137">
        <v>-1.2</v>
      </c>
      <c r="F125" s="137">
        <v>0.03</v>
      </c>
      <c r="S125" s="299">
        <v>45387</v>
      </c>
      <c r="T125" s="289">
        <v>26.18</v>
      </c>
      <c r="U125" s="289">
        <v>26.280000999999999</v>
      </c>
      <c r="V125" s="289">
        <v>25.959999</v>
      </c>
      <c r="W125" s="289">
        <v>26.02</v>
      </c>
      <c r="X125" s="289">
        <v>26.02</v>
      </c>
      <c r="Y125" s="289">
        <v>5667196</v>
      </c>
      <c r="AD125" s="299"/>
    </row>
    <row r="126" spans="2:34" ht="13.5" customHeight="1">
      <c r="B126" s="137">
        <v>193607</v>
      </c>
      <c r="C126" s="137">
        <v>6.67</v>
      </c>
      <c r="D126" s="137">
        <v>1</v>
      </c>
      <c r="E126" s="137">
        <v>2.4</v>
      </c>
      <c r="F126" s="137">
        <v>0.01</v>
      </c>
    </row>
    <row r="127" spans="2:34" ht="13.5" customHeight="1">
      <c r="B127" s="137">
        <v>193608</v>
      </c>
      <c r="C127" s="137">
        <v>0.99</v>
      </c>
      <c r="D127" s="137">
        <v>0.6</v>
      </c>
      <c r="E127" s="137">
        <v>3.82</v>
      </c>
      <c r="F127" s="137">
        <v>0.02</v>
      </c>
    </row>
    <row r="128" spans="2:34" ht="13.5" customHeight="1">
      <c r="B128" s="137">
        <v>193609</v>
      </c>
      <c r="C128" s="137">
        <v>0.98</v>
      </c>
      <c r="D128" s="137">
        <v>3.08</v>
      </c>
      <c r="E128" s="137">
        <v>0.9</v>
      </c>
      <c r="F128" s="137">
        <v>0.01</v>
      </c>
    </row>
    <row r="129" spans="2:6" ht="13.5" customHeight="1">
      <c r="B129" s="137">
        <v>193610</v>
      </c>
      <c r="C129" s="137">
        <v>7.12</v>
      </c>
      <c r="D129" s="137">
        <v>-2.4300000000000002</v>
      </c>
      <c r="E129" s="137">
        <v>2.4700000000000002</v>
      </c>
      <c r="F129" s="137">
        <v>0.02</v>
      </c>
    </row>
    <row r="130" spans="2:6" ht="13.5" customHeight="1">
      <c r="B130" s="137">
        <v>193611</v>
      </c>
      <c r="C130" s="137">
        <v>3.27</v>
      </c>
      <c r="D130" s="137">
        <v>8.77</v>
      </c>
      <c r="E130" s="137">
        <v>-1.21</v>
      </c>
      <c r="F130" s="137">
        <v>0.01</v>
      </c>
    </row>
    <row r="131" spans="2:6" ht="13.5" customHeight="1">
      <c r="B131" s="137">
        <v>193612</v>
      </c>
      <c r="C131" s="137">
        <v>0.21</v>
      </c>
      <c r="D131" s="137">
        <v>3.96</v>
      </c>
      <c r="E131" s="137">
        <v>4.3</v>
      </c>
      <c r="F131" s="137">
        <v>0</v>
      </c>
    </row>
    <row r="132" spans="2:6" ht="13.5" customHeight="1">
      <c r="B132" s="137">
        <v>193701</v>
      </c>
      <c r="C132" s="137">
        <v>3.35</v>
      </c>
      <c r="D132" s="137">
        <v>4.34</v>
      </c>
      <c r="E132" s="137">
        <v>2.61</v>
      </c>
      <c r="F132" s="137">
        <v>0.01</v>
      </c>
    </row>
    <row r="133" spans="2:6" ht="13.5" customHeight="1">
      <c r="B133" s="137">
        <v>193702</v>
      </c>
      <c r="C133" s="137">
        <v>1.0900000000000001</v>
      </c>
      <c r="D133" s="137">
        <v>1.05</v>
      </c>
      <c r="E133" s="137">
        <v>4.83</v>
      </c>
      <c r="F133" s="137">
        <v>0.02</v>
      </c>
    </row>
    <row r="134" spans="2:6" ht="13.5" customHeight="1">
      <c r="B134" s="137">
        <v>193703</v>
      </c>
      <c r="C134" s="137">
        <v>-0.27</v>
      </c>
      <c r="D134" s="137">
        <v>-1.69</v>
      </c>
      <c r="E134" s="137">
        <v>6.5</v>
      </c>
      <c r="F134" s="137">
        <v>0.01</v>
      </c>
    </row>
    <row r="135" spans="2:6" ht="13.5" customHeight="1">
      <c r="B135" s="137">
        <v>193704</v>
      </c>
      <c r="C135" s="137">
        <v>-7.36</v>
      </c>
      <c r="D135" s="137">
        <v>-3.83</v>
      </c>
      <c r="E135" s="137">
        <v>-3.66</v>
      </c>
      <c r="F135" s="137">
        <v>0.03</v>
      </c>
    </row>
    <row r="136" spans="2:6" ht="13.5" customHeight="1">
      <c r="B136" s="137">
        <v>193705</v>
      </c>
      <c r="C136" s="137">
        <v>-0.83</v>
      </c>
      <c r="D136" s="137">
        <v>-0.68</v>
      </c>
      <c r="E136" s="137">
        <v>-3.48</v>
      </c>
      <c r="F136" s="137">
        <v>0.06</v>
      </c>
    </row>
    <row r="137" spans="2:6" ht="13.5" customHeight="1">
      <c r="B137" s="137">
        <v>193706</v>
      </c>
      <c r="C137" s="137">
        <v>-4.21</v>
      </c>
      <c r="D137" s="137">
        <v>-3.76</v>
      </c>
      <c r="E137" s="137">
        <v>-3.33</v>
      </c>
      <c r="F137" s="137">
        <v>0.03</v>
      </c>
    </row>
    <row r="138" spans="2:6" ht="13.5" customHeight="1">
      <c r="B138" s="137">
        <v>193707</v>
      </c>
      <c r="C138" s="137">
        <v>8.91</v>
      </c>
      <c r="D138" s="137">
        <v>0.89</v>
      </c>
      <c r="E138" s="137">
        <v>0.81</v>
      </c>
      <c r="F138" s="137">
        <v>0.03</v>
      </c>
    </row>
    <row r="139" spans="2:6" ht="13.5" customHeight="1">
      <c r="B139" s="137">
        <v>193708</v>
      </c>
      <c r="C139" s="137">
        <v>-4.8600000000000003</v>
      </c>
      <c r="D139" s="137">
        <v>0.44</v>
      </c>
      <c r="E139" s="137">
        <v>-2.25</v>
      </c>
      <c r="F139" s="137">
        <v>0.02</v>
      </c>
    </row>
    <row r="140" spans="2:6" ht="13.5" customHeight="1">
      <c r="B140" s="137">
        <v>193709</v>
      </c>
      <c r="C140" s="137">
        <v>-13.61</v>
      </c>
      <c r="D140" s="137">
        <v>-6.98</v>
      </c>
      <c r="E140" s="137">
        <v>-4.57</v>
      </c>
      <c r="F140" s="137">
        <v>0.04</v>
      </c>
    </row>
    <row r="141" spans="2:6" ht="13.5" customHeight="1">
      <c r="B141" s="137">
        <v>193710</v>
      </c>
      <c r="C141" s="137">
        <v>-9.61</v>
      </c>
      <c r="D141" s="137">
        <v>0.41</v>
      </c>
      <c r="E141" s="137">
        <v>-1.55</v>
      </c>
      <c r="F141" s="137">
        <v>0.02</v>
      </c>
    </row>
    <row r="142" spans="2:6" ht="13.5" customHeight="1">
      <c r="B142" s="137">
        <v>193711</v>
      </c>
      <c r="C142" s="137">
        <v>-8.31</v>
      </c>
      <c r="D142" s="137">
        <v>-3.6</v>
      </c>
      <c r="E142" s="137">
        <v>0.15</v>
      </c>
      <c r="F142" s="137">
        <v>0.02</v>
      </c>
    </row>
    <row r="143" spans="2:6" ht="13.5" customHeight="1">
      <c r="B143" s="137">
        <v>193712</v>
      </c>
      <c r="C143" s="137">
        <v>-4.24</v>
      </c>
      <c r="D143" s="137">
        <v>-7.74</v>
      </c>
      <c r="E143" s="137">
        <v>-0.4</v>
      </c>
      <c r="F143" s="137">
        <v>0</v>
      </c>
    </row>
    <row r="144" spans="2:6" ht="13.5" customHeight="1">
      <c r="B144" s="137">
        <v>193801</v>
      </c>
      <c r="C144" s="137">
        <v>0.49</v>
      </c>
      <c r="D144" s="137">
        <v>4.84</v>
      </c>
      <c r="E144" s="137">
        <v>-1.61</v>
      </c>
      <c r="F144" s="137">
        <v>0</v>
      </c>
    </row>
    <row r="145" spans="2:6" ht="13.5" customHeight="1">
      <c r="B145" s="137">
        <v>193802</v>
      </c>
      <c r="C145" s="137">
        <v>5.84</v>
      </c>
      <c r="D145" s="137">
        <v>0.4</v>
      </c>
      <c r="E145" s="137">
        <v>-2.02</v>
      </c>
      <c r="F145" s="137">
        <v>0</v>
      </c>
    </row>
    <row r="146" spans="2:6" ht="13.5" customHeight="1">
      <c r="B146" s="137">
        <v>193803</v>
      </c>
      <c r="C146" s="137">
        <v>-23.82</v>
      </c>
      <c r="D146" s="137">
        <v>-4.34</v>
      </c>
      <c r="E146" s="137">
        <v>-3.54</v>
      </c>
      <c r="F146" s="137">
        <v>-0.01</v>
      </c>
    </row>
    <row r="147" spans="2:6" ht="13.5" customHeight="1">
      <c r="B147" s="137">
        <v>193804</v>
      </c>
      <c r="C147" s="137">
        <v>14.51</v>
      </c>
      <c r="D147" s="137">
        <v>6.46</v>
      </c>
      <c r="E147" s="137">
        <v>0.23</v>
      </c>
      <c r="F147" s="137">
        <v>0.01</v>
      </c>
    </row>
    <row r="148" spans="2:6" ht="13.5" customHeight="1">
      <c r="B148" s="137">
        <v>193805</v>
      </c>
      <c r="C148" s="137">
        <v>-3.83</v>
      </c>
      <c r="D148" s="137">
        <v>-2.5099999999999998</v>
      </c>
      <c r="E148" s="137">
        <v>-0.27</v>
      </c>
      <c r="F148" s="137">
        <v>0</v>
      </c>
    </row>
    <row r="149" spans="2:6" ht="13.5" customHeight="1">
      <c r="B149" s="137">
        <v>193806</v>
      </c>
      <c r="C149" s="137">
        <v>23.87</v>
      </c>
      <c r="D149" s="137">
        <v>4.3</v>
      </c>
      <c r="E149" s="137">
        <v>0.32</v>
      </c>
      <c r="F149" s="137">
        <v>0</v>
      </c>
    </row>
    <row r="150" spans="2:6" ht="13.5" customHeight="1">
      <c r="B150" s="137">
        <v>193807</v>
      </c>
      <c r="C150" s="137">
        <v>7.34</v>
      </c>
      <c r="D150" s="137">
        <v>6.64</v>
      </c>
      <c r="E150" s="137">
        <v>2.2000000000000002</v>
      </c>
      <c r="F150" s="137">
        <v>-0.01</v>
      </c>
    </row>
    <row r="151" spans="2:6" ht="13.5" customHeight="1">
      <c r="B151" s="137">
        <v>193808</v>
      </c>
      <c r="C151" s="137">
        <v>-2.67</v>
      </c>
      <c r="D151" s="137">
        <v>-2.4500000000000002</v>
      </c>
      <c r="E151" s="137">
        <v>-4.72</v>
      </c>
      <c r="F151" s="137">
        <v>0</v>
      </c>
    </row>
    <row r="152" spans="2:6" ht="13.5" customHeight="1">
      <c r="B152" s="137">
        <v>193809</v>
      </c>
      <c r="C152" s="137">
        <v>0.81</v>
      </c>
      <c r="D152" s="137">
        <v>-2.73</v>
      </c>
      <c r="E152" s="137">
        <v>-1.62</v>
      </c>
      <c r="F152" s="137">
        <v>0.02</v>
      </c>
    </row>
    <row r="153" spans="2:6" ht="13.5" customHeight="1">
      <c r="B153" s="137">
        <v>193810</v>
      </c>
      <c r="C153" s="137">
        <v>7.8</v>
      </c>
      <c r="D153" s="137">
        <v>5.81</v>
      </c>
      <c r="E153" s="137">
        <v>5.03</v>
      </c>
      <c r="F153" s="137">
        <v>0.01</v>
      </c>
    </row>
    <row r="154" spans="2:6" ht="13.5" customHeight="1">
      <c r="B154" s="137">
        <v>193811</v>
      </c>
      <c r="C154" s="137">
        <v>-1.72</v>
      </c>
      <c r="D154" s="137">
        <v>-2.57</v>
      </c>
      <c r="E154" s="137">
        <v>-1.22</v>
      </c>
      <c r="F154" s="137">
        <v>-0.06</v>
      </c>
    </row>
    <row r="155" spans="2:6" ht="13.5" customHeight="1">
      <c r="B155" s="137">
        <v>193812</v>
      </c>
      <c r="C155" s="137">
        <v>4.1900000000000004</v>
      </c>
      <c r="D155" s="137">
        <v>-1.82</v>
      </c>
      <c r="E155" s="137">
        <v>0.53</v>
      </c>
      <c r="F155" s="137">
        <v>0</v>
      </c>
    </row>
    <row r="156" spans="2:6" ht="13.5" customHeight="1">
      <c r="B156" s="137">
        <v>193901</v>
      </c>
      <c r="C156" s="137">
        <v>-5.96</v>
      </c>
      <c r="D156" s="137">
        <v>-1.55</v>
      </c>
      <c r="E156" s="137">
        <v>-3.94</v>
      </c>
      <c r="F156" s="137">
        <v>-0.01</v>
      </c>
    </row>
    <row r="157" spans="2:6" ht="13.5" customHeight="1">
      <c r="B157" s="137">
        <v>193902</v>
      </c>
      <c r="C157" s="137">
        <v>3.51</v>
      </c>
      <c r="D157" s="137">
        <v>0.63</v>
      </c>
      <c r="E157" s="137">
        <v>2.95</v>
      </c>
      <c r="F157" s="137">
        <v>0.01</v>
      </c>
    </row>
    <row r="158" spans="2:6" ht="13.5" customHeight="1">
      <c r="B158" s="137">
        <v>193903</v>
      </c>
      <c r="C158" s="137">
        <v>-11.99</v>
      </c>
      <c r="D158" s="137">
        <v>-4.75</v>
      </c>
      <c r="E158" s="137">
        <v>-8.31</v>
      </c>
      <c r="F158" s="137">
        <v>-0.01</v>
      </c>
    </row>
    <row r="159" spans="2:6" ht="13.5" customHeight="1">
      <c r="B159" s="137">
        <v>193904</v>
      </c>
      <c r="C159" s="137">
        <v>-0.18</v>
      </c>
      <c r="D159" s="137">
        <v>1.67</v>
      </c>
      <c r="E159" s="137">
        <v>-0.3</v>
      </c>
      <c r="F159" s="137">
        <v>0</v>
      </c>
    </row>
    <row r="160" spans="2:6" ht="13.5" customHeight="1">
      <c r="B160" s="137">
        <v>193905</v>
      </c>
      <c r="C160" s="137">
        <v>6.8</v>
      </c>
      <c r="D160" s="137">
        <v>2.8</v>
      </c>
      <c r="E160" s="137">
        <v>0.49</v>
      </c>
      <c r="F160" s="137">
        <v>0.01</v>
      </c>
    </row>
    <row r="161" spans="2:6" ht="13.5" customHeight="1">
      <c r="B161" s="137">
        <v>193906</v>
      </c>
      <c r="C161" s="137">
        <v>-5.31</v>
      </c>
      <c r="D161" s="137">
        <v>-1.01</v>
      </c>
      <c r="E161" s="137">
        <v>-5.42</v>
      </c>
      <c r="F161" s="137">
        <v>0.01</v>
      </c>
    </row>
    <row r="162" spans="2:6" ht="13.5" customHeight="1">
      <c r="B162" s="137">
        <v>193907</v>
      </c>
      <c r="C162" s="137">
        <v>10.24</v>
      </c>
      <c r="D162" s="137">
        <v>4.32</v>
      </c>
      <c r="E162" s="137">
        <v>-0.03</v>
      </c>
      <c r="F162" s="137">
        <v>0</v>
      </c>
    </row>
    <row r="163" spans="2:6" ht="13.5" customHeight="1">
      <c r="B163" s="137">
        <v>193908</v>
      </c>
      <c r="C163" s="137">
        <v>-6.68</v>
      </c>
      <c r="D163" s="137">
        <v>-4.6100000000000003</v>
      </c>
      <c r="E163" s="137">
        <v>-2.42</v>
      </c>
      <c r="F163" s="137">
        <v>-0.01</v>
      </c>
    </row>
    <row r="164" spans="2:6" ht="13.5" customHeight="1">
      <c r="B164" s="137">
        <v>193909</v>
      </c>
      <c r="C164" s="137">
        <v>16.88</v>
      </c>
      <c r="D164" s="137">
        <v>20.239999999999998</v>
      </c>
      <c r="E164" s="137">
        <v>22.22</v>
      </c>
      <c r="F164" s="137">
        <v>0.01</v>
      </c>
    </row>
    <row r="165" spans="2:6" ht="13.5" customHeight="1">
      <c r="B165" s="137">
        <v>193910</v>
      </c>
      <c r="C165" s="137">
        <v>-0.53</v>
      </c>
      <c r="D165" s="137">
        <v>-0.01</v>
      </c>
      <c r="E165" s="137">
        <v>-4.8899999999999997</v>
      </c>
      <c r="F165" s="137">
        <v>0</v>
      </c>
    </row>
    <row r="166" spans="2:6" ht="13.5" customHeight="1">
      <c r="B166" s="137">
        <v>193911</v>
      </c>
      <c r="C166" s="137">
        <v>-3.62</v>
      </c>
      <c r="D166" s="137">
        <v>-5.07</v>
      </c>
      <c r="E166" s="137">
        <v>-6.46</v>
      </c>
      <c r="F166" s="137">
        <v>0</v>
      </c>
    </row>
    <row r="167" spans="2:6" ht="13.5" customHeight="1">
      <c r="B167" s="137">
        <v>193912</v>
      </c>
      <c r="C167" s="137">
        <v>3.03</v>
      </c>
      <c r="D167" s="137">
        <v>0.79</v>
      </c>
      <c r="E167" s="137">
        <v>-4.0599999999999996</v>
      </c>
      <c r="F167" s="137">
        <v>0</v>
      </c>
    </row>
    <row r="168" spans="2:6" ht="13.5" customHeight="1">
      <c r="B168" s="137">
        <v>194001</v>
      </c>
      <c r="C168" s="137">
        <v>-2.41</v>
      </c>
      <c r="D168" s="137">
        <v>0.21</v>
      </c>
      <c r="E168" s="137">
        <v>-0.81</v>
      </c>
      <c r="F168" s="137">
        <v>0</v>
      </c>
    </row>
    <row r="169" spans="2:6" ht="13.5" customHeight="1">
      <c r="B169" s="137">
        <v>194002</v>
      </c>
      <c r="C169" s="137">
        <v>1.44</v>
      </c>
      <c r="D169" s="137">
        <v>2.5099999999999998</v>
      </c>
      <c r="E169" s="137">
        <v>-0.33</v>
      </c>
      <c r="F169" s="137">
        <v>0</v>
      </c>
    </row>
    <row r="170" spans="2:6" ht="13.5" customHeight="1">
      <c r="B170" s="137">
        <v>194003</v>
      </c>
      <c r="C170" s="137">
        <v>2.0499999999999998</v>
      </c>
      <c r="D170" s="137">
        <v>1.25</v>
      </c>
      <c r="E170" s="137">
        <v>-1.27</v>
      </c>
      <c r="F170" s="137">
        <v>0</v>
      </c>
    </row>
    <row r="171" spans="2:6" ht="13.5" customHeight="1">
      <c r="B171" s="137">
        <v>194004</v>
      </c>
      <c r="C171" s="137">
        <v>0.22</v>
      </c>
      <c r="D171" s="137">
        <v>3.92</v>
      </c>
      <c r="E171" s="137">
        <v>-0.13</v>
      </c>
      <c r="F171" s="137">
        <v>0</v>
      </c>
    </row>
    <row r="172" spans="2:6" ht="13.5" customHeight="1">
      <c r="B172" s="137">
        <v>194005</v>
      </c>
      <c r="C172" s="137">
        <v>-21.95</v>
      </c>
      <c r="D172" s="137">
        <v>-6.66</v>
      </c>
      <c r="E172" s="137">
        <v>-3.69</v>
      </c>
      <c r="F172" s="137">
        <v>-0.02</v>
      </c>
    </row>
    <row r="173" spans="2:6" ht="13.5" customHeight="1">
      <c r="B173" s="137">
        <v>194006</v>
      </c>
      <c r="C173" s="137">
        <v>6.67</v>
      </c>
      <c r="D173" s="137">
        <v>-2.13</v>
      </c>
      <c r="E173" s="137">
        <v>4.62</v>
      </c>
      <c r="F173" s="137">
        <v>0</v>
      </c>
    </row>
    <row r="174" spans="2:6" ht="13.5" customHeight="1">
      <c r="B174" s="137">
        <v>194007</v>
      </c>
      <c r="C174" s="137">
        <v>3.16</v>
      </c>
      <c r="D174" s="137">
        <v>1.01</v>
      </c>
      <c r="E174" s="137">
        <v>-0.74</v>
      </c>
      <c r="F174" s="137">
        <v>0.01</v>
      </c>
    </row>
    <row r="175" spans="2:6" ht="13.5" customHeight="1">
      <c r="B175" s="137">
        <v>194008</v>
      </c>
      <c r="C175" s="137">
        <v>2.19</v>
      </c>
      <c r="D175" s="137">
        <v>-0.11</v>
      </c>
      <c r="E175" s="137">
        <v>0.56000000000000005</v>
      </c>
      <c r="F175" s="137">
        <v>-0.01</v>
      </c>
    </row>
    <row r="176" spans="2:6" ht="13.5" customHeight="1">
      <c r="B176" s="137">
        <v>194009</v>
      </c>
      <c r="C176" s="137">
        <v>2.39</v>
      </c>
      <c r="D176" s="137">
        <v>3.22</v>
      </c>
      <c r="E176" s="137">
        <v>-1.1299999999999999</v>
      </c>
      <c r="F176" s="137">
        <v>0</v>
      </c>
    </row>
    <row r="177" spans="2:6" ht="13.5" customHeight="1">
      <c r="B177" s="137">
        <v>194010</v>
      </c>
      <c r="C177" s="137">
        <v>3.02</v>
      </c>
      <c r="D177" s="137">
        <v>0.28000000000000003</v>
      </c>
      <c r="E177" s="137">
        <v>4.6399999999999997</v>
      </c>
      <c r="F177" s="137">
        <v>0</v>
      </c>
    </row>
    <row r="178" spans="2:6" ht="13.5" customHeight="1">
      <c r="B178" s="137">
        <v>194011</v>
      </c>
      <c r="C178" s="137">
        <v>-1.61</v>
      </c>
      <c r="D178" s="137">
        <v>1.94</v>
      </c>
      <c r="E178" s="137">
        <v>0.12</v>
      </c>
      <c r="F178" s="137">
        <v>0</v>
      </c>
    </row>
    <row r="179" spans="2:6" ht="13.5" customHeight="1">
      <c r="B179" s="137">
        <v>194012</v>
      </c>
      <c r="C179" s="137">
        <v>0.69</v>
      </c>
      <c r="D179" s="137">
        <v>-2.15</v>
      </c>
      <c r="E179" s="137">
        <v>-0.89</v>
      </c>
      <c r="F179" s="137">
        <v>0</v>
      </c>
    </row>
    <row r="180" spans="2:6" ht="13.5" customHeight="1">
      <c r="B180" s="137">
        <v>194101</v>
      </c>
      <c r="C180" s="137">
        <v>-4.17</v>
      </c>
      <c r="D180" s="137">
        <v>1</v>
      </c>
      <c r="E180" s="137">
        <v>3.83</v>
      </c>
      <c r="F180" s="137">
        <v>-0.01</v>
      </c>
    </row>
    <row r="181" spans="2:6" ht="13.5" customHeight="1">
      <c r="B181" s="137">
        <v>194102</v>
      </c>
      <c r="C181" s="137">
        <v>-1.43</v>
      </c>
      <c r="D181" s="137">
        <v>-1.56</v>
      </c>
      <c r="E181" s="137">
        <v>0.89</v>
      </c>
      <c r="F181" s="137">
        <v>-0.01</v>
      </c>
    </row>
    <row r="182" spans="2:6" ht="13.5" customHeight="1">
      <c r="B182" s="137">
        <v>194103</v>
      </c>
      <c r="C182" s="137">
        <v>0.84</v>
      </c>
      <c r="D182" s="137">
        <v>0.1</v>
      </c>
      <c r="E182" s="137">
        <v>3.04</v>
      </c>
      <c r="F182" s="137">
        <v>0.01</v>
      </c>
    </row>
    <row r="183" spans="2:6" ht="13.5" customHeight="1">
      <c r="B183" s="137">
        <v>194104</v>
      </c>
      <c r="C183" s="137">
        <v>-5.46</v>
      </c>
      <c r="D183" s="137">
        <v>-1.68</v>
      </c>
      <c r="E183" s="137">
        <v>3.41</v>
      </c>
      <c r="F183" s="137">
        <v>-0.01</v>
      </c>
    </row>
    <row r="184" spans="2:6" ht="13.5" customHeight="1">
      <c r="B184" s="137">
        <v>194105</v>
      </c>
      <c r="C184" s="137">
        <v>1.39</v>
      </c>
      <c r="D184" s="137">
        <v>-0.65</v>
      </c>
      <c r="E184" s="137">
        <v>0.6</v>
      </c>
      <c r="F184" s="137">
        <v>0</v>
      </c>
    </row>
    <row r="185" spans="2:6" ht="13.5" customHeight="1">
      <c r="B185" s="137">
        <v>194106</v>
      </c>
      <c r="C185" s="137">
        <v>5.83</v>
      </c>
      <c r="D185" s="137">
        <v>1.32</v>
      </c>
      <c r="E185" s="137">
        <v>0.59</v>
      </c>
      <c r="F185" s="137">
        <v>0</v>
      </c>
    </row>
    <row r="186" spans="2:6" ht="13.5" customHeight="1">
      <c r="B186" s="137">
        <v>194107</v>
      </c>
      <c r="C186" s="137">
        <v>5.87</v>
      </c>
      <c r="D186" s="137">
        <v>5.71</v>
      </c>
      <c r="E186" s="137">
        <v>7.25</v>
      </c>
      <c r="F186" s="137">
        <v>0.03</v>
      </c>
    </row>
    <row r="187" spans="2:6" ht="13.5" customHeight="1">
      <c r="B187" s="137">
        <v>194108</v>
      </c>
      <c r="C187" s="137">
        <v>-0.17</v>
      </c>
      <c r="D187" s="137">
        <v>-0.42</v>
      </c>
      <c r="E187" s="137">
        <v>-1.1000000000000001</v>
      </c>
      <c r="F187" s="137">
        <v>0.01</v>
      </c>
    </row>
    <row r="188" spans="2:6" ht="13.5" customHeight="1">
      <c r="B188" s="137">
        <v>194109</v>
      </c>
      <c r="C188" s="137">
        <v>-0.87</v>
      </c>
      <c r="D188" s="137">
        <v>-0.99</v>
      </c>
      <c r="E188" s="137">
        <v>-0.28000000000000003</v>
      </c>
      <c r="F188" s="137">
        <v>0.01</v>
      </c>
    </row>
    <row r="189" spans="2:6" ht="13.5" customHeight="1">
      <c r="B189" s="137">
        <v>194110</v>
      </c>
      <c r="C189" s="137">
        <v>-5.25</v>
      </c>
      <c r="D189" s="137">
        <v>-2.02</v>
      </c>
      <c r="E189" s="137">
        <v>1.63</v>
      </c>
      <c r="F189" s="137">
        <v>0</v>
      </c>
    </row>
    <row r="190" spans="2:6" ht="13.5" customHeight="1">
      <c r="B190" s="137">
        <v>194111</v>
      </c>
      <c r="C190" s="137">
        <v>-1.92</v>
      </c>
      <c r="D190" s="137">
        <v>-1.21</v>
      </c>
      <c r="E190" s="137">
        <v>-0.64</v>
      </c>
      <c r="F190" s="137">
        <v>0</v>
      </c>
    </row>
    <row r="191" spans="2:6" ht="13.5" customHeight="1">
      <c r="B191" s="137">
        <v>194112</v>
      </c>
      <c r="C191" s="137">
        <v>-4.87</v>
      </c>
      <c r="D191" s="137">
        <v>-2.99</v>
      </c>
      <c r="E191" s="137">
        <v>-5.94</v>
      </c>
      <c r="F191" s="137">
        <v>0.01</v>
      </c>
    </row>
    <row r="192" spans="2:6" ht="13.5" customHeight="1">
      <c r="B192" s="137">
        <v>194201</v>
      </c>
      <c r="C192" s="137">
        <v>0.79</v>
      </c>
      <c r="D192" s="137">
        <v>7.53</v>
      </c>
      <c r="E192" s="137">
        <v>10.1</v>
      </c>
      <c r="F192" s="137">
        <v>0.02</v>
      </c>
    </row>
    <row r="193" spans="2:6" ht="13.5" customHeight="1">
      <c r="B193" s="137">
        <v>194202</v>
      </c>
      <c r="C193" s="137">
        <v>-2.46</v>
      </c>
      <c r="D193" s="137">
        <v>1.72</v>
      </c>
      <c r="E193" s="137">
        <v>-1.1299999999999999</v>
      </c>
      <c r="F193" s="137">
        <v>0.01</v>
      </c>
    </row>
    <row r="194" spans="2:6" ht="13.5" customHeight="1">
      <c r="B194" s="137">
        <v>194203</v>
      </c>
      <c r="C194" s="137">
        <v>-6.58</v>
      </c>
      <c r="D194" s="137">
        <v>1.77</v>
      </c>
      <c r="E194" s="137">
        <v>-0.62</v>
      </c>
      <c r="F194" s="137">
        <v>0.01</v>
      </c>
    </row>
    <row r="195" spans="2:6" ht="13.5" customHeight="1">
      <c r="B195" s="137">
        <v>194204</v>
      </c>
      <c r="C195" s="137">
        <v>-4.37</v>
      </c>
      <c r="D195" s="137">
        <v>-0.6</v>
      </c>
      <c r="E195" s="137">
        <v>2.09</v>
      </c>
      <c r="F195" s="137">
        <v>0.01</v>
      </c>
    </row>
    <row r="196" spans="2:6" ht="13.5" customHeight="1">
      <c r="B196" s="137">
        <v>194205</v>
      </c>
      <c r="C196" s="137">
        <v>5.94</v>
      </c>
      <c r="D196" s="137">
        <v>-3.05</v>
      </c>
      <c r="E196" s="137">
        <v>-2.65</v>
      </c>
      <c r="F196" s="137">
        <v>0.03</v>
      </c>
    </row>
    <row r="197" spans="2:6" ht="13.5" customHeight="1">
      <c r="B197" s="137">
        <v>194206</v>
      </c>
      <c r="C197" s="137">
        <v>2.69</v>
      </c>
      <c r="D197" s="137">
        <v>-1.22</v>
      </c>
      <c r="E197" s="137">
        <v>0.54</v>
      </c>
      <c r="F197" s="137">
        <v>0.02</v>
      </c>
    </row>
    <row r="198" spans="2:6" ht="13.5" customHeight="1">
      <c r="B198" s="137">
        <v>194207</v>
      </c>
      <c r="C198" s="137">
        <v>3.51</v>
      </c>
      <c r="D198" s="137">
        <v>-0.15</v>
      </c>
      <c r="E198" s="137">
        <v>2.4</v>
      </c>
      <c r="F198" s="137">
        <v>0.03</v>
      </c>
    </row>
    <row r="199" spans="2:6" ht="13.5" customHeight="1">
      <c r="B199" s="137">
        <v>194208</v>
      </c>
      <c r="C199" s="137">
        <v>1.8</v>
      </c>
      <c r="D199" s="137">
        <v>-0.09</v>
      </c>
      <c r="E199" s="137">
        <v>1.35</v>
      </c>
      <c r="F199" s="137">
        <v>0.03</v>
      </c>
    </row>
    <row r="200" spans="2:6" ht="13.5" customHeight="1">
      <c r="B200" s="137">
        <v>194209</v>
      </c>
      <c r="C200" s="137">
        <v>2.61</v>
      </c>
      <c r="D200" s="137">
        <v>0.63</v>
      </c>
      <c r="E200" s="137">
        <v>2.35</v>
      </c>
      <c r="F200" s="137">
        <v>0.03</v>
      </c>
    </row>
    <row r="201" spans="2:6" ht="13.5" customHeight="1">
      <c r="B201" s="137">
        <v>194210</v>
      </c>
      <c r="C201" s="137">
        <v>6.82</v>
      </c>
      <c r="D201" s="137">
        <v>1.75</v>
      </c>
      <c r="E201" s="137">
        <v>6.39</v>
      </c>
      <c r="F201" s="137">
        <v>0.03</v>
      </c>
    </row>
    <row r="202" spans="2:6" ht="13.5" customHeight="1">
      <c r="B202" s="137">
        <v>194211</v>
      </c>
      <c r="C202" s="137">
        <v>0.15</v>
      </c>
      <c r="D202" s="137">
        <v>-1.5</v>
      </c>
      <c r="E202" s="137">
        <v>-4.21</v>
      </c>
      <c r="F202" s="137">
        <v>0.03</v>
      </c>
    </row>
    <row r="203" spans="2:6" ht="13.5" customHeight="1">
      <c r="B203" s="137">
        <v>194212</v>
      </c>
      <c r="C203" s="137">
        <v>5.12</v>
      </c>
      <c r="D203" s="137">
        <v>-2.5099999999999998</v>
      </c>
      <c r="E203" s="137">
        <v>0.57999999999999996</v>
      </c>
      <c r="F203" s="137">
        <v>0.03</v>
      </c>
    </row>
    <row r="204" spans="2:6" ht="13.5" customHeight="1">
      <c r="B204" s="137">
        <v>194301</v>
      </c>
      <c r="C204" s="137">
        <v>7.13</v>
      </c>
      <c r="D204" s="137">
        <v>8.8000000000000007</v>
      </c>
      <c r="E204" s="137">
        <v>8.18</v>
      </c>
      <c r="F204" s="137">
        <v>0.03</v>
      </c>
    </row>
    <row r="205" spans="2:6" ht="13.5" customHeight="1">
      <c r="B205" s="137">
        <v>194302</v>
      </c>
      <c r="C205" s="137">
        <v>6.15</v>
      </c>
      <c r="D205" s="137">
        <v>4.75</v>
      </c>
      <c r="E205" s="137">
        <v>6.4</v>
      </c>
      <c r="F205" s="137">
        <v>0.03</v>
      </c>
    </row>
    <row r="206" spans="2:6" ht="13.5" customHeight="1">
      <c r="B206" s="137">
        <v>194303</v>
      </c>
      <c r="C206" s="137">
        <v>6.01</v>
      </c>
      <c r="D206" s="137">
        <v>4.99</v>
      </c>
      <c r="E206" s="137">
        <v>5.48</v>
      </c>
      <c r="F206" s="137">
        <v>0.03</v>
      </c>
    </row>
    <row r="207" spans="2:6" ht="13.5" customHeight="1">
      <c r="B207" s="137">
        <v>194304</v>
      </c>
      <c r="C207" s="137">
        <v>0.81</v>
      </c>
      <c r="D207" s="137">
        <v>2.0499999999999998</v>
      </c>
      <c r="E207" s="137">
        <v>5.82</v>
      </c>
      <c r="F207" s="137">
        <v>0.03</v>
      </c>
    </row>
    <row r="208" spans="2:6" ht="13.5" customHeight="1">
      <c r="B208" s="137">
        <v>194305</v>
      </c>
      <c r="C208" s="137">
        <v>5.74</v>
      </c>
      <c r="D208" s="137">
        <v>4.3499999999999996</v>
      </c>
      <c r="E208" s="137">
        <v>3.25</v>
      </c>
      <c r="F208" s="137">
        <v>0.03</v>
      </c>
    </row>
    <row r="209" spans="2:6" ht="13.5" customHeight="1">
      <c r="B209" s="137">
        <v>194306</v>
      </c>
      <c r="C209" s="137">
        <v>1.82</v>
      </c>
      <c r="D209" s="137">
        <v>-1.02</v>
      </c>
      <c r="E209" s="137">
        <v>-0.7</v>
      </c>
      <c r="F209" s="137">
        <v>0.03</v>
      </c>
    </row>
    <row r="210" spans="2:6" ht="13.5" customHeight="1">
      <c r="B210" s="137">
        <v>194307</v>
      </c>
      <c r="C210" s="137">
        <v>-4.7699999999999996</v>
      </c>
      <c r="D210" s="137">
        <v>-2.39</v>
      </c>
      <c r="E210" s="137">
        <v>-2.29</v>
      </c>
      <c r="F210" s="137">
        <v>0.03</v>
      </c>
    </row>
    <row r="211" spans="2:6" ht="13.5" customHeight="1">
      <c r="B211" s="137">
        <v>194308</v>
      </c>
      <c r="C211" s="137">
        <v>1.3</v>
      </c>
      <c r="D211" s="137">
        <v>-0.6</v>
      </c>
      <c r="E211" s="137">
        <v>-0.43</v>
      </c>
      <c r="F211" s="137">
        <v>0.03</v>
      </c>
    </row>
    <row r="212" spans="2:6" ht="13.5" customHeight="1">
      <c r="B212" s="137">
        <v>194309</v>
      </c>
      <c r="C212" s="137">
        <v>2.4</v>
      </c>
      <c r="D212" s="137">
        <v>1.29</v>
      </c>
      <c r="E212" s="137">
        <v>1.43</v>
      </c>
      <c r="F212" s="137">
        <v>0.03</v>
      </c>
    </row>
    <row r="213" spans="2:6" ht="13.5" customHeight="1">
      <c r="B213" s="137">
        <v>194310</v>
      </c>
      <c r="C213" s="137">
        <v>-1.1499999999999999</v>
      </c>
      <c r="D213" s="137">
        <v>0.57999999999999996</v>
      </c>
      <c r="E213" s="137">
        <v>1.64</v>
      </c>
      <c r="F213" s="137">
        <v>0.03</v>
      </c>
    </row>
    <row r="214" spans="2:6" ht="13.5" customHeight="1">
      <c r="B214" s="137">
        <v>194311</v>
      </c>
      <c r="C214" s="137">
        <v>-5.91</v>
      </c>
      <c r="D214" s="137">
        <v>-1.65</v>
      </c>
      <c r="E214" s="137">
        <v>-4.0199999999999996</v>
      </c>
      <c r="F214" s="137">
        <v>0.03</v>
      </c>
    </row>
    <row r="215" spans="2:6" ht="13.5" customHeight="1">
      <c r="B215" s="137">
        <v>194312</v>
      </c>
      <c r="C215" s="137">
        <v>6.36</v>
      </c>
      <c r="D215" s="137">
        <v>3.34</v>
      </c>
      <c r="E215" s="137">
        <v>3.24</v>
      </c>
      <c r="F215" s="137">
        <v>0.03</v>
      </c>
    </row>
    <row r="216" spans="2:6" ht="13.5" customHeight="1">
      <c r="B216" s="137">
        <v>194401</v>
      </c>
      <c r="C216" s="137">
        <v>1.74</v>
      </c>
      <c r="D216" s="137">
        <v>2.5499999999999998</v>
      </c>
      <c r="E216" s="137">
        <v>2.16</v>
      </c>
      <c r="F216" s="137">
        <v>0.03</v>
      </c>
    </row>
    <row r="217" spans="2:6" ht="13.5" customHeight="1">
      <c r="B217" s="137">
        <v>194402</v>
      </c>
      <c r="C217" s="137">
        <v>0.37</v>
      </c>
      <c r="D217" s="137">
        <v>-0.1</v>
      </c>
      <c r="E217" s="137">
        <v>0.84</v>
      </c>
      <c r="F217" s="137">
        <v>0.03</v>
      </c>
    </row>
    <row r="218" spans="2:6" ht="13.5" customHeight="1">
      <c r="B218" s="137">
        <v>194403</v>
      </c>
      <c r="C218" s="137">
        <v>2.46</v>
      </c>
      <c r="D218" s="137">
        <v>1.73</v>
      </c>
      <c r="E218" s="137">
        <v>3.43</v>
      </c>
      <c r="F218" s="137">
        <v>0.02</v>
      </c>
    </row>
    <row r="219" spans="2:6" ht="13.5" customHeight="1">
      <c r="B219" s="137">
        <v>194404</v>
      </c>
      <c r="C219" s="137">
        <v>-1.69</v>
      </c>
      <c r="D219" s="137">
        <v>-1.37</v>
      </c>
      <c r="E219" s="137">
        <v>-1.1399999999999999</v>
      </c>
      <c r="F219" s="137">
        <v>0.03</v>
      </c>
    </row>
    <row r="220" spans="2:6" ht="13.5" customHeight="1">
      <c r="B220" s="137">
        <v>194405</v>
      </c>
      <c r="C220" s="137">
        <v>5.07</v>
      </c>
      <c r="D220" s="137">
        <v>1.68</v>
      </c>
      <c r="E220" s="137">
        <v>1.04</v>
      </c>
      <c r="F220" s="137">
        <v>0.03</v>
      </c>
    </row>
    <row r="221" spans="2:6" ht="13.5" customHeight="1">
      <c r="B221" s="137">
        <v>194406</v>
      </c>
      <c r="C221" s="137">
        <v>5.49</v>
      </c>
      <c r="D221" s="137">
        <v>4.01</v>
      </c>
      <c r="E221" s="137">
        <v>1.75</v>
      </c>
      <c r="F221" s="137">
        <v>0.03</v>
      </c>
    </row>
    <row r="222" spans="2:6" ht="13.5" customHeight="1">
      <c r="B222" s="137">
        <v>194407</v>
      </c>
      <c r="C222" s="137">
        <v>-1.49</v>
      </c>
      <c r="D222" s="137">
        <v>0.57999999999999996</v>
      </c>
      <c r="E222" s="137">
        <v>-0.42</v>
      </c>
      <c r="F222" s="137">
        <v>0.03</v>
      </c>
    </row>
    <row r="223" spans="2:6" ht="13.5" customHeight="1">
      <c r="B223" s="137">
        <v>194408</v>
      </c>
      <c r="C223" s="137">
        <v>1.57</v>
      </c>
      <c r="D223" s="137">
        <v>2.33</v>
      </c>
      <c r="E223" s="137">
        <v>-1.49</v>
      </c>
      <c r="F223" s="137">
        <v>0.03</v>
      </c>
    </row>
    <row r="224" spans="2:6" ht="13.5" customHeight="1">
      <c r="B224" s="137">
        <v>194409</v>
      </c>
      <c r="C224" s="137">
        <v>0.01</v>
      </c>
      <c r="D224" s="137">
        <v>0.49</v>
      </c>
      <c r="E224" s="137">
        <v>-1.1599999999999999</v>
      </c>
      <c r="F224" s="137">
        <v>0.02</v>
      </c>
    </row>
    <row r="225" spans="2:6" ht="13.5" customHeight="1">
      <c r="B225" s="137">
        <v>194410</v>
      </c>
      <c r="C225" s="137">
        <v>0.16</v>
      </c>
      <c r="D225" s="137">
        <v>-0.15</v>
      </c>
      <c r="E225" s="137">
        <v>-0.33</v>
      </c>
      <c r="F225" s="137">
        <v>0.03</v>
      </c>
    </row>
    <row r="226" spans="2:6" ht="13.5" customHeight="1">
      <c r="B226" s="137">
        <v>194411</v>
      </c>
      <c r="C226" s="137">
        <v>1.71</v>
      </c>
      <c r="D226" s="137">
        <v>0.36</v>
      </c>
      <c r="E226" s="137">
        <v>2.38</v>
      </c>
      <c r="F226" s="137">
        <v>0.03</v>
      </c>
    </row>
    <row r="227" spans="2:6" ht="13.5" customHeight="1">
      <c r="B227" s="137">
        <v>194412</v>
      </c>
      <c r="C227" s="137">
        <v>4.03</v>
      </c>
      <c r="D227" s="137">
        <v>2.25</v>
      </c>
      <c r="E227" s="137">
        <v>5.91</v>
      </c>
      <c r="F227" s="137">
        <v>0.02</v>
      </c>
    </row>
    <row r="228" spans="2:6" ht="13.5" customHeight="1">
      <c r="B228" s="137">
        <v>194501</v>
      </c>
      <c r="C228" s="137">
        <v>2.0099999999999998</v>
      </c>
      <c r="D228" s="137">
        <v>2.46</v>
      </c>
      <c r="E228" s="137">
        <v>0.67</v>
      </c>
      <c r="F228" s="137">
        <v>0.03</v>
      </c>
    </row>
    <row r="229" spans="2:6" ht="13.5" customHeight="1">
      <c r="B229" s="137">
        <v>194502</v>
      </c>
      <c r="C229" s="137">
        <v>6.23</v>
      </c>
      <c r="D229" s="137">
        <v>1.55</v>
      </c>
      <c r="E229" s="137">
        <v>4.34</v>
      </c>
      <c r="F229" s="137">
        <v>0.02</v>
      </c>
    </row>
    <row r="230" spans="2:6" ht="13.5" customHeight="1">
      <c r="B230" s="137">
        <v>194503</v>
      </c>
      <c r="C230" s="137">
        <v>-3.89</v>
      </c>
      <c r="D230" s="137">
        <v>-1.6</v>
      </c>
      <c r="E230" s="137">
        <v>-1.74</v>
      </c>
      <c r="F230" s="137">
        <v>0.02</v>
      </c>
    </row>
    <row r="231" spans="2:6" ht="13.5" customHeight="1">
      <c r="B231" s="137">
        <v>194504</v>
      </c>
      <c r="C231" s="137">
        <v>7.8</v>
      </c>
      <c r="D231" s="137">
        <v>0.32</v>
      </c>
      <c r="E231" s="137">
        <v>3.24</v>
      </c>
      <c r="F231" s="137">
        <v>0.03</v>
      </c>
    </row>
    <row r="232" spans="2:6" ht="13.5" customHeight="1">
      <c r="B232" s="137">
        <v>194505</v>
      </c>
      <c r="C232" s="137">
        <v>1.73</v>
      </c>
      <c r="D232" s="137">
        <v>1.52</v>
      </c>
      <c r="E232" s="137">
        <v>0.36</v>
      </c>
      <c r="F232" s="137">
        <v>0.03</v>
      </c>
    </row>
    <row r="233" spans="2:6" ht="13.5" customHeight="1">
      <c r="B233" s="137">
        <v>194506</v>
      </c>
      <c r="C233" s="137">
        <v>0.39</v>
      </c>
      <c r="D233" s="137">
        <v>3.12</v>
      </c>
      <c r="E233" s="137">
        <v>4.21</v>
      </c>
      <c r="F233" s="137">
        <v>0.02</v>
      </c>
    </row>
    <row r="234" spans="2:6" ht="13.5" customHeight="1">
      <c r="B234" s="137">
        <v>194507</v>
      </c>
      <c r="C234" s="137">
        <v>-2.17</v>
      </c>
      <c r="D234" s="137">
        <v>-1.52</v>
      </c>
      <c r="E234" s="137">
        <v>-2.62</v>
      </c>
      <c r="F234" s="137">
        <v>0.03</v>
      </c>
    </row>
    <row r="235" spans="2:6" ht="13.5" customHeight="1">
      <c r="B235" s="137">
        <v>194508</v>
      </c>
      <c r="C235" s="137">
        <v>6.2</v>
      </c>
      <c r="D235" s="137">
        <v>1.5</v>
      </c>
      <c r="E235" s="137">
        <v>-4.2699999999999996</v>
      </c>
      <c r="F235" s="137">
        <v>0.03</v>
      </c>
    </row>
    <row r="236" spans="2:6" ht="13.5" customHeight="1">
      <c r="B236" s="137">
        <v>194509</v>
      </c>
      <c r="C236" s="137">
        <v>4.7699999999999996</v>
      </c>
      <c r="D236" s="137">
        <v>1.7</v>
      </c>
      <c r="E236" s="137">
        <v>0.42</v>
      </c>
      <c r="F236" s="137">
        <v>0.03</v>
      </c>
    </row>
    <row r="237" spans="2:6" ht="13.5" customHeight="1">
      <c r="B237" s="137">
        <v>194510</v>
      </c>
      <c r="C237" s="137">
        <v>3.89</v>
      </c>
      <c r="D237" s="137">
        <v>2.38</v>
      </c>
      <c r="E237" s="137">
        <v>2.13</v>
      </c>
      <c r="F237" s="137">
        <v>0.03</v>
      </c>
    </row>
    <row r="238" spans="2:6" ht="13.5" customHeight="1">
      <c r="B238" s="137">
        <v>194511</v>
      </c>
      <c r="C238" s="137">
        <v>5.39</v>
      </c>
      <c r="D238" s="137">
        <v>4.3099999999999996</v>
      </c>
      <c r="E238" s="137">
        <v>3.96</v>
      </c>
      <c r="F238" s="137">
        <v>0.02</v>
      </c>
    </row>
    <row r="239" spans="2:6" ht="13.5" customHeight="1">
      <c r="B239" s="137">
        <v>194512</v>
      </c>
      <c r="C239" s="137">
        <v>1.2</v>
      </c>
      <c r="D239" s="137">
        <v>2.1</v>
      </c>
      <c r="E239" s="137">
        <v>-2.2799999999999998</v>
      </c>
      <c r="F239" s="137">
        <v>0.03</v>
      </c>
    </row>
    <row r="240" spans="2:6" ht="13.5" customHeight="1">
      <c r="B240" s="137">
        <v>194601</v>
      </c>
      <c r="C240" s="137">
        <v>6.24</v>
      </c>
      <c r="D240" s="137">
        <v>3.91</v>
      </c>
      <c r="E240" s="137">
        <v>2.48</v>
      </c>
      <c r="F240" s="137">
        <v>0.03</v>
      </c>
    </row>
    <row r="241" spans="2:6" ht="13.5" customHeight="1">
      <c r="B241" s="137">
        <v>194602</v>
      </c>
      <c r="C241" s="137">
        <v>-5.83</v>
      </c>
      <c r="D241" s="137">
        <v>-0.71</v>
      </c>
      <c r="E241" s="137">
        <v>-1.46</v>
      </c>
      <c r="F241" s="137">
        <v>0.03</v>
      </c>
    </row>
    <row r="242" spans="2:6" ht="13.5" customHeight="1">
      <c r="B242" s="137">
        <v>194603</v>
      </c>
      <c r="C242" s="137">
        <v>5.87</v>
      </c>
      <c r="D242" s="137">
        <v>0.28999999999999998</v>
      </c>
      <c r="E242" s="137">
        <v>-0.54</v>
      </c>
      <c r="F242" s="137">
        <v>0.03</v>
      </c>
    </row>
    <row r="243" spans="2:6" ht="13.5" customHeight="1">
      <c r="B243" s="137">
        <v>194604</v>
      </c>
      <c r="C243" s="137">
        <v>4.2300000000000004</v>
      </c>
      <c r="D243" s="137">
        <v>2.35</v>
      </c>
      <c r="E243" s="137">
        <v>0.32</v>
      </c>
      <c r="F243" s="137">
        <v>0.03</v>
      </c>
    </row>
    <row r="244" spans="2:6" ht="13.5" customHeight="1">
      <c r="B244" s="137">
        <v>194605</v>
      </c>
      <c r="C244" s="137">
        <v>3.93</v>
      </c>
      <c r="D244" s="137">
        <v>1.46</v>
      </c>
      <c r="E244" s="137">
        <v>1.28</v>
      </c>
      <c r="F244" s="137">
        <v>0.03</v>
      </c>
    </row>
    <row r="245" spans="2:6" ht="13.5" customHeight="1">
      <c r="B245" s="137">
        <v>194606</v>
      </c>
      <c r="C245" s="137">
        <v>-3.89</v>
      </c>
      <c r="D245" s="137">
        <v>-1.58</v>
      </c>
      <c r="E245" s="137">
        <v>-0.39</v>
      </c>
      <c r="F245" s="137">
        <v>0.03</v>
      </c>
    </row>
    <row r="246" spans="2:6" ht="13.5" customHeight="1">
      <c r="B246" s="137">
        <v>194607</v>
      </c>
      <c r="C246" s="137">
        <v>-2.69</v>
      </c>
      <c r="D246" s="137">
        <v>-2.0699999999999998</v>
      </c>
      <c r="E246" s="137">
        <v>7.0000000000000007E-2</v>
      </c>
      <c r="F246" s="137">
        <v>0.03</v>
      </c>
    </row>
    <row r="247" spans="2:6" ht="13.5" customHeight="1">
      <c r="B247" s="137">
        <v>194608</v>
      </c>
      <c r="C247" s="137">
        <v>-6.44</v>
      </c>
      <c r="D247" s="137">
        <v>-1.84</v>
      </c>
      <c r="E247" s="137">
        <v>0.55000000000000004</v>
      </c>
      <c r="F247" s="137">
        <v>0.03</v>
      </c>
    </row>
    <row r="248" spans="2:6" ht="13.5" customHeight="1">
      <c r="B248" s="137">
        <v>194609</v>
      </c>
      <c r="C248" s="137">
        <v>-10.17</v>
      </c>
      <c r="D248" s="137">
        <v>-4.4000000000000004</v>
      </c>
      <c r="E248" s="137">
        <v>-1.92</v>
      </c>
      <c r="F248" s="137">
        <v>0.03</v>
      </c>
    </row>
    <row r="249" spans="2:6" ht="13.5" customHeight="1">
      <c r="B249" s="137">
        <v>194610</v>
      </c>
      <c r="C249" s="137">
        <v>-1.44</v>
      </c>
      <c r="D249" s="137">
        <v>0.1</v>
      </c>
      <c r="E249" s="137">
        <v>3.46</v>
      </c>
      <c r="F249" s="137">
        <v>0.03</v>
      </c>
    </row>
    <row r="250" spans="2:6" ht="13.5" customHeight="1">
      <c r="B250" s="137">
        <v>194611</v>
      </c>
      <c r="C250" s="137">
        <v>-0.01</v>
      </c>
      <c r="D250" s="137">
        <v>-0.44</v>
      </c>
      <c r="E250" s="137">
        <v>1.47</v>
      </c>
      <c r="F250" s="137">
        <v>0.03</v>
      </c>
    </row>
    <row r="251" spans="2:6" ht="13.5" customHeight="1">
      <c r="B251" s="137">
        <v>194612</v>
      </c>
      <c r="C251" s="137">
        <v>4.96</v>
      </c>
      <c r="D251" s="137">
        <v>0.08</v>
      </c>
      <c r="E251" s="137">
        <v>-1.36</v>
      </c>
      <c r="F251" s="137">
        <v>0.03</v>
      </c>
    </row>
    <row r="252" spans="2:6" ht="13.5" customHeight="1">
      <c r="B252" s="137">
        <v>194701</v>
      </c>
      <c r="C252" s="137">
        <v>1.25</v>
      </c>
      <c r="D252" s="137">
        <v>2.2000000000000002</v>
      </c>
      <c r="E252" s="137">
        <v>-0.73</v>
      </c>
      <c r="F252" s="137">
        <v>0.03</v>
      </c>
    </row>
    <row r="253" spans="2:6" ht="13.5" customHeight="1">
      <c r="B253" s="137">
        <v>194702</v>
      </c>
      <c r="C253" s="137">
        <v>-1.08</v>
      </c>
      <c r="D253" s="137">
        <v>0.68</v>
      </c>
      <c r="E253" s="137">
        <v>0.15</v>
      </c>
      <c r="F253" s="137">
        <v>0.03</v>
      </c>
    </row>
    <row r="254" spans="2:6" ht="13.5" customHeight="1">
      <c r="B254" s="137">
        <v>194703</v>
      </c>
      <c r="C254" s="137">
        <v>-1.67</v>
      </c>
      <c r="D254" s="137">
        <v>-1.62</v>
      </c>
      <c r="E254" s="137">
        <v>0.61</v>
      </c>
      <c r="F254" s="137">
        <v>0.03</v>
      </c>
    </row>
    <row r="255" spans="2:6" ht="13.5" customHeight="1">
      <c r="B255" s="137">
        <v>194704</v>
      </c>
      <c r="C255" s="137">
        <v>-4.8</v>
      </c>
      <c r="D255" s="137">
        <v>-3.96</v>
      </c>
      <c r="E255" s="137">
        <v>0.85</v>
      </c>
      <c r="F255" s="137">
        <v>0.03</v>
      </c>
    </row>
    <row r="256" spans="2:6" ht="13.5" customHeight="1">
      <c r="B256" s="137">
        <v>194705</v>
      </c>
      <c r="C256" s="137">
        <v>-0.97</v>
      </c>
      <c r="D256" s="137">
        <v>-3.26</v>
      </c>
      <c r="E256" s="137">
        <v>0.33</v>
      </c>
      <c r="F256" s="137">
        <v>0.03</v>
      </c>
    </row>
    <row r="257" spans="2:6" ht="13.5" customHeight="1">
      <c r="B257" s="137">
        <v>194706</v>
      </c>
      <c r="C257" s="137">
        <v>5.29</v>
      </c>
      <c r="D257" s="137">
        <v>-0.3</v>
      </c>
      <c r="E257" s="137">
        <v>-0.59</v>
      </c>
      <c r="F257" s="137">
        <v>0.03</v>
      </c>
    </row>
    <row r="258" spans="2:6" ht="13.5" customHeight="1">
      <c r="B258" s="137">
        <v>194707</v>
      </c>
      <c r="C258" s="137">
        <v>4.1399999999999997</v>
      </c>
      <c r="D258" s="137">
        <v>1.43</v>
      </c>
      <c r="E258" s="137">
        <v>2.82</v>
      </c>
      <c r="F258" s="137">
        <v>0.03</v>
      </c>
    </row>
    <row r="259" spans="2:6" ht="13.5" customHeight="1">
      <c r="B259" s="137">
        <v>194708</v>
      </c>
      <c r="C259" s="137">
        <v>-1.74</v>
      </c>
      <c r="D259" s="137">
        <v>0.32</v>
      </c>
      <c r="E259" s="137">
        <v>0.18</v>
      </c>
      <c r="F259" s="137">
        <v>0.03</v>
      </c>
    </row>
    <row r="260" spans="2:6" ht="13.5" customHeight="1">
      <c r="B260" s="137">
        <v>194709</v>
      </c>
      <c r="C260" s="137">
        <v>-0.54</v>
      </c>
      <c r="D260" s="137">
        <v>1.64</v>
      </c>
      <c r="E260" s="137">
        <v>1.36</v>
      </c>
      <c r="F260" s="137">
        <v>0.06</v>
      </c>
    </row>
    <row r="261" spans="2:6" ht="13.5" customHeight="1">
      <c r="B261" s="137">
        <v>194710</v>
      </c>
      <c r="C261" s="137">
        <v>2.4700000000000002</v>
      </c>
      <c r="D261" s="137">
        <v>0.51</v>
      </c>
      <c r="E261" s="137">
        <v>7.0000000000000007E-2</v>
      </c>
      <c r="F261" s="137">
        <v>0.06</v>
      </c>
    </row>
    <row r="262" spans="2:6" ht="13.5" customHeight="1">
      <c r="B262" s="137">
        <v>194711</v>
      </c>
      <c r="C262" s="137">
        <v>-1.97</v>
      </c>
      <c r="D262" s="137">
        <v>-1.71</v>
      </c>
      <c r="E262" s="137">
        <v>1.1000000000000001</v>
      </c>
      <c r="F262" s="137">
        <v>0.06</v>
      </c>
    </row>
    <row r="263" spans="2:6" ht="13.5" customHeight="1">
      <c r="B263" s="137">
        <v>194712</v>
      </c>
      <c r="C263" s="137">
        <v>3</v>
      </c>
      <c r="D263" s="137">
        <v>-2.46</v>
      </c>
      <c r="E263" s="137">
        <v>3.71</v>
      </c>
      <c r="F263" s="137">
        <v>0.08</v>
      </c>
    </row>
    <row r="264" spans="2:6" ht="13.5" customHeight="1">
      <c r="B264" s="137">
        <v>194801</v>
      </c>
      <c r="C264" s="137">
        <v>-3.93</v>
      </c>
      <c r="D264" s="137">
        <v>2.5</v>
      </c>
      <c r="E264" s="137">
        <v>1.39</v>
      </c>
      <c r="F264" s="137">
        <v>7.0000000000000007E-2</v>
      </c>
    </row>
    <row r="265" spans="2:6" ht="13.5" customHeight="1">
      <c r="B265" s="137">
        <v>194802</v>
      </c>
      <c r="C265" s="137">
        <v>-4.38</v>
      </c>
      <c r="D265" s="137">
        <v>-1.72</v>
      </c>
      <c r="E265" s="137">
        <v>7.0000000000000007E-2</v>
      </c>
      <c r="F265" s="137">
        <v>7.0000000000000007E-2</v>
      </c>
    </row>
    <row r="266" spans="2:6" ht="13.5" customHeight="1">
      <c r="B266" s="137">
        <v>194803</v>
      </c>
      <c r="C266" s="137">
        <v>8.07</v>
      </c>
      <c r="D266" s="137">
        <v>0.14000000000000001</v>
      </c>
      <c r="E266" s="137">
        <v>4.5</v>
      </c>
      <c r="F266" s="137">
        <v>0.09</v>
      </c>
    </row>
    <row r="267" spans="2:6" ht="13.5" customHeight="1">
      <c r="B267" s="137">
        <v>194804</v>
      </c>
      <c r="C267" s="137">
        <v>3.65</v>
      </c>
      <c r="D267" s="137">
        <v>-1.65</v>
      </c>
      <c r="E267" s="137">
        <v>4.1100000000000003</v>
      </c>
      <c r="F267" s="137">
        <v>0.08</v>
      </c>
    </row>
    <row r="268" spans="2:6" ht="13.5" customHeight="1">
      <c r="B268" s="137">
        <v>194805</v>
      </c>
      <c r="C268" s="137">
        <v>7.3</v>
      </c>
      <c r="D268" s="137">
        <v>0.91</v>
      </c>
      <c r="E268" s="137">
        <v>-1.27</v>
      </c>
      <c r="F268" s="137">
        <v>0.08</v>
      </c>
    </row>
    <row r="269" spans="2:6" ht="13.5" customHeight="1">
      <c r="B269" s="137">
        <v>194806</v>
      </c>
      <c r="C269" s="137">
        <v>-0.1</v>
      </c>
      <c r="D269" s="137">
        <v>-1.82</v>
      </c>
      <c r="E269" s="137">
        <v>2.81</v>
      </c>
      <c r="F269" s="137">
        <v>0.09</v>
      </c>
    </row>
    <row r="270" spans="2:6" ht="13.5" customHeight="1">
      <c r="B270" s="137">
        <v>194807</v>
      </c>
      <c r="C270" s="137">
        <v>-5.09</v>
      </c>
      <c r="D270" s="137">
        <v>-0.33</v>
      </c>
      <c r="E270" s="137">
        <v>0.14000000000000001</v>
      </c>
      <c r="F270" s="137">
        <v>0.08</v>
      </c>
    </row>
    <row r="271" spans="2:6" ht="13.5" customHeight="1">
      <c r="B271" s="137">
        <v>194808</v>
      </c>
      <c r="C271" s="137">
        <v>0.25</v>
      </c>
      <c r="D271" s="137">
        <v>-1.1100000000000001</v>
      </c>
      <c r="E271" s="137">
        <v>0.28000000000000003</v>
      </c>
      <c r="F271" s="137">
        <v>0.09</v>
      </c>
    </row>
    <row r="272" spans="2:6" ht="13.5" customHeight="1">
      <c r="B272" s="137">
        <v>194809</v>
      </c>
      <c r="C272" s="137">
        <v>-2.97</v>
      </c>
      <c r="D272" s="137">
        <v>-1.23</v>
      </c>
      <c r="E272" s="137">
        <v>-1.71</v>
      </c>
      <c r="F272" s="137">
        <v>0.04</v>
      </c>
    </row>
    <row r="273" spans="2:6" ht="13.5" customHeight="1">
      <c r="B273" s="137">
        <v>194810</v>
      </c>
      <c r="C273" s="137">
        <v>5.96</v>
      </c>
      <c r="D273" s="137">
        <v>-1.5</v>
      </c>
      <c r="E273" s="137">
        <v>0.57999999999999996</v>
      </c>
      <c r="F273" s="137">
        <v>0.04</v>
      </c>
    </row>
    <row r="274" spans="2:6" ht="13.5" customHeight="1">
      <c r="B274" s="137">
        <v>194811</v>
      </c>
      <c r="C274" s="137">
        <v>-9.3000000000000007</v>
      </c>
      <c r="D274" s="137">
        <v>-0.6</v>
      </c>
      <c r="E274" s="137">
        <v>-4.13</v>
      </c>
      <c r="F274" s="137">
        <v>0.04</v>
      </c>
    </row>
    <row r="275" spans="2:6" ht="13.5" customHeight="1">
      <c r="B275" s="137">
        <v>194812</v>
      </c>
      <c r="C275" s="137">
        <v>3.26</v>
      </c>
      <c r="D275" s="137">
        <v>-2.82</v>
      </c>
      <c r="E275" s="137">
        <v>-1.94</v>
      </c>
      <c r="F275" s="137">
        <v>0.04</v>
      </c>
    </row>
    <row r="276" spans="2:6" ht="13.5" customHeight="1">
      <c r="B276" s="137">
        <v>194901</v>
      </c>
      <c r="C276" s="137">
        <v>0.23</v>
      </c>
      <c r="D276" s="137">
        <v>1.77</v>
      </c>
      <c r="E276" s="137">
        <v>1.23</v>
      </c>
      <c r="F276" s="137">
        <v>0.1</v>
      </c>
    </row>
    <row r="277" spans="2:6" ht="13.5" customHeight="1">
      <c r="B277" s="137">
        <v>194902</v>
      </c>
      <c r="C277" s="137">
        <v>-2.93</v>
      </c>
      <c r="D277" s="137">
        <v>-1.9</v>
      </c>
      <c r="E277" s="137">
        <v>-0.86</v>
      </c>
      <c r="F277" s="137">
        <v>0.09</v>
      </c>
    </row>
    <row r="278" spans="2:6" ht="13.5" customHeight="1">
      <c r="B278" s="137">
        <v>194903</v>
      </c>
      <c r="C278" s="137">
        <v>4.04</v>
      </c>
      <c r="D278" s="137">
        <v>2.5</v>
      </c>
      <c r="E278" s="137">
        <v>1.29</v>
      </c>
      <c r="F278" s="137">
        <v>0.1</v>
      </c>
    </row>
    <row r="279" spans="2:6" ht="13.5" customHeight="1">
      <c r="B279" s="137">
        <v>194904</v>
      </c>
      <c r="C279" s="137">
        <v>-1.87</v>
      </c>
      <c r="D279" s="137">
        <v>-0.89</v>
      </c>
      <c r="E279" s="137">
        <v>-1.1299999999999999</v>
      </c>
      <c r="F279" s="137">
        <v>0.09</v>
      </c>
    </row>
    <row r="280" spans="2:6" ht="13.5" customHeight="1">
      <c r="B280" s="137">
        <v>194905</v>
      </c>
      <c r="C280" s="137">
        <v>-2.94</v>
      </c>
      <c r="D280" s="137">
        <v>-0.79</v>
      </c>
      <c r="E280" s="137">
        <v>-2.37</v>
      </c>
      <c r="F280" s="137">
        <v>0.1</v>
      </c>
    </row>
    <row r="281" spans="2:6" ht="13.5" customHeight="1">
      <c r="B281" s="137">
        <v>194906</v>
      </c>
      <c r="C281" s="137">
        <v>0.1</v>
      </c>
      <c r="D281" s="137">
        <v>-0.91</v>
      </c>
      <c r="E281" s="137">
        <v>-1.65</v>
      </c>
      <c r="F281" s="137">
        <v>0.1</v>
      </c>
    </row>
    <row r="282" spans="2:6" ht="13.5" customHeight="1">
      <c r="B282" s="137">
        <v>194907</v>
      </c>
      <c r="C282" s="137">
        <v>5.54</v>
      </c>
      <c r="D282" s="137">
        <v>0.55000000000000004</v>
      </c>
      <c r="E282" s="137">
        <v>0.37</v>
      </c>
      <c r="F282" s="137">
        <v>0.09</v>
      </c>
    </row>
    <row r="283" spans="2:6" ht="13.5" customHeight="1">
      <c r="B283" s="137">
        <v>194908</v>
      </c>
      <c r="C283" s="137">
        <v>2.6</v>
      </c>
      <c r="D283" s="137">
        <v>0.2</v>
      </c>
      <c r="E283" s="137">
        <v>-0.55000000000000004</v>
      </c>
      <c r="F283" s="137">
        <v>0.09</v>
      </c>
    </row>
    <row r="284" spans="2:6" ht="13.5" customHeight="1">
      <c r="B284" s="137">
        <v>194909</v>
      </c>
      <c r="C284" s="137">
        <v>3.09</v>
      </c>
      <c r="D284" s="137">
        <v>1</v>
      </c>
      <c r="E284" s="137">
        <v>0.19</v>
      </c>
      <c r="F284" s="137">
        <v>0.09</v>
      </c>
    </row>
    <row r="285" spans="2:6" ht="13.5" customHeight="1">
      <c r="B285" s="137">
        <v>194910</v>
      </c>
      <c r="C285" s="137">
        <v>3.14</v>
      </c>
      <c r="D285" s="137">
        <v>1.04</v>
      </c>
      <c r="E285" s="137">
        <v>-0.48</v>
      </c>
      <c r="F285" s="137">
        <v>0.09</v>
      </c>
    </row>
    <row r="286" spans="2:6" ht="13.5" customHeight="1">
      <c r="B286" s="137">
        <v>194911</v>
      </c>
      <c r="C286" s="137">
        <v>1.82</v>
      </c>
      <c r="D286" s="137">
        <v>-1.02</v>
      </c>
      <c r="E286" s="137">
        <v>-0.96</v>
      </c>
      <c r="F286" s="137">
        <v>0.08</v>
      </c>
    </row>
    <row r="287" spans="2:6" ht="13.5" customHeight="1">
      <c r="B287" s="137">
        <v>194912</v>
      </c>
      <c r="C287" s="137">
        <v>5.13</v>
      </c>
      <c r="D287" s="137">
        <v>2.06</v>
      </c>
      <c r="E287" s="137">
        <v>1.77</v>
      </c>
      <c r="F287" s="137">
        <v>0.09</v>
      </c>
    </row>
    <row r="288" spans="2:6" ht="13.5" customHeight="1">
      <c r="B288" s="137">
        <v>195001</v>
      </c>
      <c r="C288" s="137">
        <v>1.7</v>
      </c>
      <c r="D288" s="137">
        <v>3.33</v>
      </c>
      <c r="E288" s="137">
        <v>0.12</v>
      </c>
      <c r="F288" s="137">
        <v>0.09</v>
      </c>
    </row>
    <row r="289" spans="2:6" ht="13.5" customHeight="1">
      <c r="B289" s="137">
        <v>195002</v>
      </c>
      <c r="C289" s="137">
        <v>1.48</v>
      </c>
      <c r="D289" s="137">
        <v>0.03</v>
      </c>
      <c r="E289" s="137">
        <v>-0.79</v>
      </c>
      <c r="F289" s="137">
        <v>0.09</v>
      </c>
    </row>
    <row r="290" spans="2:6" ht="13.5" customHeight="1">
      <c r="B290" s="137">
        <v>195003</v>
      </c>
      <c r="C290" s="137">
        <v>1.26</v>
      </c>
      <c r="D290" s="137">
        <v>-1.44</v>
      </c>
      <c r="E290" s="137">
        <v>-2.81</v>
      </c>
      <c r="F290" s="137">
        <v>0.1</v>
      </c>
    </row>
    <row r="291" spans="2:6" ht="13.5" customHeight="1">
      <c r="B291" s="137">
        <v>195004</v>
      </c>
      <c r="C291" s="137">
        <v>3.94</v>
      </c>
      <c r="D291" s="137">
        <v>1.94</v>
      </c>
      <c r="E291" s="137">
        <v>1.3</v>
      </c>
      <c r="F291" s="137">
        <v>0.09</v>
      </c>
    </row>
    <row r="292" spans="2:6" ht="13.5" customHeight="1">
      <c r="B292" s="137">
        <v>195005</v>
      </c>
      <c r="C292" s="137">
        <v>4.3099999999999996</v>
      </c>
      <c r="D292" s="137">
        <v>-2.1</v>
      </c>
      <c r="E292" s="137">
        <v>0.46</v>
      </c>
      <c r="F292" s="137">
        <v>0.1</v>
      </c>
    </row>
    <row r="293" spans="2:6" ht="13.5" customHeight="1">
      <c r="B293" s="137">
        <v>195006</v>
      </c>
      <c r="C293" s="137">
        <v>-5.94</v>
      </c>
      <c r="D293" s="137">
        <v>-2.34</v>
      </c>
      <c r="E293" s="137">
        <v>-0.7</v>
      </c>
      <c r="F293" s="137">
        <v>0.1</v>
      </c>
    </row>
    <row r="294" spans="2:6" ht="13.5" customHeight="1">
      <c r="B294" s="137">
        <v>195007</v>
      </c>
      <c r="C294" s="137">
        <v>1.36</v>
      </c>
      <c r="D294" s="137">
        <v>0.69</v>
      </c>
      <c r="E294" s="137">
        <v>13.56</v>
      </c>
      <c r="F294" s="137">
        <v>0.1</v>
      </c>
    </row>
    <row r="295" spans="2:6" ht="13.5" customHeight="1">
      <c r="B295" s="137">
        <v>195008</v>
      </c>
      <c r="C295" s="137">
        <v>4.8499999999999996</v>
      </c>
      <c r="D295" s="137">
        <v>0.76</v>
      </c>
      <c r="E295" s="137">
        <v>-1.5</v>
      </c>
      <c r="F295" s="137">
        <v>0.1</v>
      </c>
    </row>
    <row r="296" spans="2:6" ht="13.5" customHeight="1">
      <c r="B296" s="137">
        <v>195009</v>
      </c>
      <c r="C296" s="137">
        <v>4.8099999999999996</v>
      </c>
      <c r="D296" s="137">
        <v>0.49</v>
      </c>
      <c r="E296" s="137">
        <v>-1.07</v>
      </c>
      <c r="F296" s="137">
        <v>0.1</v>
      </c>
    </row>
    <row r="297" spans="2:6" ht="13.5" customHeight="1">
      <c r="B297" s="137">
        <v>195010</v>
      </c>
      <c r="C297" s="137">
        <v>-0.18</v>
      </c>
      <c r="D297" s="137">
        <v>-0.47</v>
      </c>
      <c r="E297" s="137">
        <v>1.3</v>
      </c>
      <c r="F297" s="137">
        <v>0.12</v>
      </c>
    </row>
    <row r="298" spans="2:6" ht="13.5" customHeight="1">
      <c r="B298" s="137">
        <v>195011</v>
      </c>
      <c r="C298" s="137">
        <v>2.76</v>
      </c>
      <c r="D298" s="137">
        <v>-0.89</v>
      </c>
      <c r="E298" s="137">
        <v>3.33</v>
      </c>
      <c r="F298" s="137">
        <v>0.11</v>
      </c>
    </row>
    <row r="299" spans="2:6" ht="13.5" customHeight="1">
      <c r="B299" s="137">
        <v>195012</v>
      </c>
      <c r="C299" s="137">
        <v>5.54</v>
      </c>
      <c r="D299" s="137">
        <v>1.47</v>
      </c>
      <c r="E299" s="137">
        <v>7.36</v>
      </c>
      <c r="F299" s="137">
        <v>0.11</v>
      </c>
    </row>
    <row r="300" spans="2:6" ht="13.5" customHeight="1">
      <c r="B300" s="137">
        <v>195101</v>
      </c>
      <c r="C300" s="137">
        <v>5.7</v>
      </c>
      <c r="D300" s="137">
        <v>1.76</v>
      </c>
      <c r="E300" s="137">
        <v>3.64</v>
      </c>
      <c r="F300" s="137">
        <v>0.13</v>
      </c>
    </row>
    <row r="301" spans="2:6" ht="13.5" customHeight="1">
      <c r="B301" s="137">
        <v>195102</v>
      </c>
      <c r="C301" s="137">
        <v>1.41</v>
      </c>
      <c r="D301" s="137">
        <v>0.08</v>
      </c>
      <c r="E301" s="137">
        <v>-2.85</v>
      </c>
      <c r="F301" s="137">
        <v>0.1</v>
      </c>
    </row>
    <row r="302" spans="2:6" ht="13.5" customHeight="1">
      <c r="B302" s="137">
        <v>195103</v>
      </c>
      <c r="C302" s="137">
        <v>-2.15</v>
      </c>
      <c r="D302" s="137">
        <v>-0.77</v>
      </c>
      <c r="E302" s="137">
        <v>-4.0999999999999996</v>
      </c>
      <c r="F302" s="137">
        <v>0.11</v>
      </c>
    </row>
    <row r="303" spans="2:6" ht="13.5" customHeight="1">
      <c r="B303" s="137">
        <v>195104</v>
      </c>
      <c r="C303" s="137">
        <v>4.8600000000000003</v>
      </c>
      <c r="D303" s="137">
        <v>-1.45</v>
      </c>
      <c r="E303" s="137">
        <v>3.27</v>
      </c>
      <c r="F303" s="137">
        <v>0.13</v>
      </c>
    </row>
    <row r="304" spans="2:6" ht="13.5" customHeight="1">
      <c r="B304" s="137">
        <v>195105</v>
      </c>
      <c r="C304" s="137">
        <v>-2.34</v>
      </c>
      <c r="D304" s="137">
        <v>0</v>
      </c>
      <c r="E304" s="137">
        <v>-1.37</v>
      </c>
      <c r="F304" s="137">
        <v>0.12</v>
      </c>
    </row>
    <row r="305" spans="2:6" ht="13.5" customHeight="1">
      <c r="B305" s="137">
        <v>195106</v>
      </c>
      <c r="C305" s="137">
        <v>-2.62</v>
      </c>
      <c r="D305" s="137">
        <v>-2.06</v>
      </c>
      <c r="E305" s="137">
        <v>-3.75</v>
      </c>
      <c r="F305" s="137">
        <v>0.12</v>
      </c>
    </row>
    <row r="306" spans="2:6" ht="13.5" customHeight="1">
      <c r="B306" s="137">
        <v>195107</v>
      </c>
      <c r="C306" s="137">
        <v>6.94</v>
      </c>
      <c r="D306" s="137">
        <v>-1.99</v>
      </c>
      <c r="E306" s="137">
        <v>2.06</v>
      </c>
      <c r="F306" s="137">
        <v>0.13</v>
      </c>
    </row>
    <row r="307" spans="2:6" ht="13.5" customHeight="1">
      <c r="B307" s="137">
        <v>195108</v>
      </c>
      <c r="C307" s="137">
        <v>4.2699999999999996</v>
      </c>
      <c r="D307" s="137">
        <v>0.99</v>
      </c>
      <c r="E307" s="137">
        <v>-0.13</v>
      </c>
      <c r="F307" s="137">
        <v>0.13</v>
      </c>
    </row>
    <row r="308" spans="2:6" ht="13.5" customHeight="1">
      <c r="B308" s="137">
        <v>195109</v>
      </c>
      <c r="C308" s="137">
        <v>0.7</v>
      </c>
      <c r="D308" s="137">
        <v>1.87</v>
      </c>
      <c r="E308" s="137">
        <v>0.63</v>
      </c>
      <c r="F308" s="137">
        <v>0.12</v>
      </c>
    </row>
    <row r="309" spans="2:6" ht="13.5" customHeight="1">
      <c r="B309" s="137">
        <v>195110</v>
      </c>
      <c r="C309" s="137">
        <v>-2.5299999999999998</v>
      </c>
      <c r="D309" s="137">
        <v>-0.22</v>
      </c>
      <c r="E309" s="137">
        <v>0.23</v>
      </c>
      <c r="F309" s="137">
        <v>0.16</v>
      </c>
    </row>
    <row r="310" spans="2:6" ht="13.5" customHeight="1">
      <c r="B310" s="137">
        <v>195111</v>
      </c>
      <c r="C310" s="137">
        <v>0.56999999999999995</v>
      </c>
      <c r="D310" s="137">
        <v>-0.32</v>
      </c>
      <c r="E310" s="137">
        <v>-0.06</v>
      </c>
      <c r="F310" s="137">
        <v>0.11</v>
      </c>
    </row>
    <row r="311" spans="2:6" ht="13.5" customHeight="1">
      <c r="B311" s="137">
        <v>195112</v>
      </c>
      <c r="C311" s="137">
        <v>3.33</v>
      </c>
      <c r="D311" s="137">
        <v>-2.2599999999999998</v>
      </c>
      <c r="E311" s="137">
        <v>-1.59</v>
      </c>
      <c r="F311" s="137">
        <v>0.12</v>
      </c>
    </row>
    <row r="312" spans="2:6" ht="13.5" customHeight="1">
      <c r="B312" s="137">
        <v>195201</v>
      </c>
      <c r="C312" s="137">
        <v>1.45</v>
      </c>
      <c r="D312" s="137">
        <v>-0.61</v>
      </c>
      <c r="E312" s="137">
        <v>1.55</v>
      </c>
      <c r="F312" s="137">
        <v>0.15</v>
      </c>
    </row>
    <row r="313" spans="2:6" ht="13.5" customHeight="1">
      <c r="B313" s="137">
        <v>195202</v>
      </c>
      <c r="C313" s="137">
        <v>-2.62</v>
      </c>
      <c r="D313" s="137">
        <v>0.82</v>
      </c>
      <c r="E313" s="137">
        <v>-0.61</v>
      </c>
      <c r="F313" s="137">
        <v>0.12</v>
      </c>
    </row>
    <row r="314" spans="2:6" ht="13.5" customHeight="1">
      <c r="B314" s="137">
        <v>195203</v>
      </c>
      <c r="C314" s="137">
        <v>4.4400000000000004</v>
      </c>
      <c r="D314" s="137">
        <v>-2.99</v>
      </c>
      <c r="E314" s="137">
        <v>2.17</v>
      </c>
      <c r="F314" s="137">
        <v>0.11</v>
      </c>
    </row>
    <row r="315" spans="2:6" ht="13.5" customHeight="1">
      <c r="B315" s="137">
        <v>195204</v>
      </c>
      <c r="C315" s="137">
        <v>-4.97</v>
      </c>
      <c r="D315" s="137">
        <v>0.46</v>
      </c>
      <c r="E315" s="137">
        <v>-0.1</v>
      </c>
      <c r="F315" s="137">
        <v>0.12</v>
      </c>
    </row>
    <row r="316" spans="2:6" ht="13.5" customHeight="1">
      <c r="B316" s="137">
        <v>195205</v>
      </c>
      <c r="C316" s="137">
        <v>3.2</v>
      </c>
      <c r="D316" s="137">
        <v>-1</v>
      </c>
      <c r="E316" s="137">
        <v>0.04</v>
      </c>
      <c r="F316" s="137">
        <v>0.13</v>
      </c>
    </row>
    <row r="317" spans="2:6" ht="13.5" customHeight="1">
      <c r="B317" s="137">
        <v>195206</v>
      </c>
      <c r="C317" s="137">
        <v>3.83</v>
      </c>
      <c r="D317" s="137">
        <v>-1.64</v>
      </c>
      <c r="E317" s="137">
        <v>1.24</v>
      </c>
      <c r="F317" s="137">
        <v>0.15</v>
      </c>
    </row>
    <row r="318" spans="2:6" ht="13.5" customHeight="1">
      <c r="B318" s="137">
        <v>195207</v>
      </c>
      <c r="C318" s="137">
        <v>0.91</v>
      </c>
      <c r="D318" s="137">
        <v>-0.4</v>
      </c>
      <c r="E318" s="137">
        <v>-0.35</v>
      </c>
      <c r="F318" s="137">
        <v>0.15</v>
      </c>
    </row>
    <row r="319" spans="2:6" ht="13.5" customHeight="1">
      <c r="B319" s="137">
        <v>195208</v>
      </c>
      <c r="C319" s="137">
        <v>-0.76</v>
      </c>
      <c r="D319" s="137">
        <v>1.1499999999999999</v>
      </c>
      <c r="E319" s="137">
        <v>0.01</v>
      </c>
      <c r="F319" s="137">
        <v>0.15</v>
      </c>
    </row>
    <row r="320" spans="2:6" ht="13.5" customHeight="1">
      <c r="B320" s="137">
        <v>195209</v>
      </c>
      <c r="C320" s="137">
        <v>-2.0299999999999998</v>
      </c>
      <c r="D320" s="137">
        <v>1.1100000000000001</v>
      </c>
      <c r="E320" s="137">
        <v>-1.52</v>
      </c>
      <c r="F320" s="137">
        <v>0.16</v>
      </c>
    </row>
    <row r="321" spans="2:6" ht="13.5" customHeight="1">
      <c r="B321" s="137">
        <v>195210</v>
      </c>
      <c r="C321" s="137">
        <v>-0.66</v>
      </c>
      <c r="D321" s="137">
        <v>-1.05</v>
      </c>
      <c r="E321" s="137">
        <v>-0.46</v>
      </c>
      <c r="F321" s="137">
        <v>0.14000000000000001</v>
      </c>
    </row>
    <row r="322" spans="2:6" ht="13.5" customHeight="1">
      <c r="B322" s="137">
        <v>195211</v>
      </c>
      <c r="C322" s="137">
        <v>5.94</v>
      </c>
      <c r="D322" s="137">
        <v>-0.72</v>
      </c>
      <c r="E322" s="137">
        <v>0.97</v>
      </c>
      <c r="F322" s="137">
        <v>0.1</v>
      </c>
    </row>
    <row r="323" spans="2:6" ht="13.5" customHeight="1">
      <c r="B323" s="137">
        <v>195212</v>
      </c>
      <c r="C323" s="137">
        <v>2.93</v>
      </c>
      <c r="D323" s="137">
        <v>-1.48</v>
      </c>
      <c r="E323" s="137">
        <v>0.19</v>
      </c>
      <c r="F323" s="137">
        <v>0.16</v>
      </c>
    </row>
    <row r="324" spans="2:6" ht="13.5" customHeight="1">
      <c r="B324" s="137">
        <v>195301</v>
      </c>
      <c r="C324" s="137">
        <v>-0.34</v>
      </c>
      <c r="D324" s="137">
        <v>3.61</v>
      </c>
      <c r="E324" s="137">
        <v>1.32</v>
      </c>
      <c r="F324" s="137">
        <v>0.16</v>
      </c>
    </row>
    <row r="325" spans="2:6" ht="13.5" customHeight="1">
      <c r="B325" s="137">
        <v>195302</v>
      </c>
      <c r="C325" s="137">
        <v>-0.27</v>
      </c>
      <c r="D325" s="137">
        <v>2.15</v>
      </c>
      <c r="E325" s="137">
        <v>-0.09</v>
      </c>
      <c r="F325" s="137">
        <v>0.14000000000000001</v>
      </c>
    </row>
    <row r="326" spans="2:6" ht="13.5" customHeight="1">
      <c r="B326" s="137">
        <v>195303</v>
      </c>
      <c r="C326" s="137">
        <v>-1.43</v>
      </c>
      <c r="D326" s="137">
        <v>-0.22</v>
      </c>
      <c r="E326" s="137">
        <v>-0.85</v>
      </c>
      <c r="F326" s="137">
        <v>0.18</v>
      </c>
    </row>
    <row r="327" spans="2:6" ht="13.5" customHeight="1">
      <c r="B327" s="137">
        <v>195304</v>
      </c>
      <c r="C327" s="137">
        <v>-2.83</v>
      </c>
      <c r="D327" s="137">
        <v>0.3</v>
      </c>
      <c r="E327" s="137">
        <v>1.57</v>
      </c>
      <c r="F327" s="137">
        <v>0.16</v>
      </c>
    </row>
    <row r="328" spans="2:6" ht="13.5" customHeight="1">
      <c r="B328" s="137">
        <v>195305</v>
      </c>
      <c r="C328" s="137">
        <v>0.52</v>
      </c>
      <c r="D328" s="137">
        <v>-7.0000000000000007E-2</v>
      </c>
      <c r="E328" s="137">
        <v>0.23</v>
      </c>
      <c r="F328" s="137">
        <v>0.17</v>
      </c>
    </row>
    <row r="329" spans="2:6" ht="13.5" customHeight="1">
      <c r="B329" s="137">
        <v>195306</v>
      </c>
      <c r="C329" s="137">
        <v>-1.89</v>
      </c>
      <c r="D329" s="137">
        <v>-1.87</v>
      </c>
      <c r="E329" s="137">
        <v>-0.47</v>
      </c>
      <c r="F329" s="137">
        <v>0.18</v>
      </c>
    </row>
    <row r="330" spans="2:6" ht="13.5" customHeight="1">
      <c r="B330" s="137">
        <v>195307</v>
      </c>
      <c r="C330" s="137">
        <v>2.4</v>
      </c>
      <c r="D330" s="137">
        <v>-1</v>
      </c>
      <c r="E330" s="137">
        <v>-0.22</v>
      </c>
      <c r="F330" s="137">
        <v>0.15</v>
      </c>
    </row>
    <row r="331" spans="2:6" ht="13.5" customHeight="1">
      <c r="B331" s="137">
        <v>195308</v>
      </c>
      <c r="C331" s="137">
        <v>-4.5199999999999996</v>
      </c>
      <c r="D331" s="137">
        <v>0.28999999999999998</v>
      </c>
      <c r="E331" s="137">
        <v>-3.53</v>
      </c>
      <c r="F331" s="137">
        <v>0.17</v>
      </c>
    </row>
    <row r="332" spans="2:6" ht="13.5" customHeight="1">
      <c r="B332" s="137">
        <v>195309</v>
      </c>
      <c r="C332" s="137">
        <v>0.2</v>
      </c>
      <c r="D332" s="137">
        <v>-0.84</v>
      </c>
      <c r="E332" s="137">
        <v>-2.44</v>
      </c>
      <c r="F332" s="137">
        <v>0.16</v>
      </c>
    </row>
    <row r="333" spans="2:6" ht="13.5" customHeight="1">
      <c r="B333" s="137">
        <v>195310</v>
      </c>
      <c r="C333" s="137">
        <v>4.5999999999999996</v>
      </c>
      <c r="D333" s="137">
        <v>-1.35</v>
      </c>
      <c r="E333" s="137">
        <v>-0.25</v>
      </c>
      <c r="F333" s="137">
        <v>0.13</v>
      </c>
    </row>
    <row r="334" spans="2:6" ht="13.5" customHeight="1">
      <c r="B334" s="137">
        <v>195311</v>
      </c>
      <c r="C334" s="137">
        <v>2.83</v>
      </c>
      <c r="D334" s="137">
        <v>-1.3</v>
      </c>
      <c r="E334" s="137">
        <v>-0.15</v>
      </c>
      <c r="F334" s="137">
        <v>0.08</v>
      </c>
    </row>
    <row r="335" spans="2:6" ht="13.5" customHeight="1">
      <c r="B335" s="137">
        <v>195312</v>
      </c>
      <c r="C335" s="137">
        <v>0.03</v>
      </c>
      <c r="D335" s="137">
        <v>-0.85</v>
      </c>
      <c r="E335" s="137">
        <v>-2.84</v>
      </c>
      <c r="F335" s="137">
        <v>0.13</v>
      </c>
    </row>
    <row r="336" spans="2:6" ht="13.5" customHeight="1">
      <c r="B336" s="137">
        <v>195401</v>
      </c>
      <c r="C336" s="137">
        <v>5.13</v>
      </c>
      <c r="D336" s="137">
        <v>0.48</v>
      </c>
      <c r="E336" s="137">
        <v>3.44</v>
      </c>
      <c r="F336" s="137">
        <v>0.11</v>
      </c>
    </row>
    <row r="337" spans="2:6" ht="13.5" customHeight="1">
      <c r="B337" s="137">
        <v>195402</v>
      </c>
      <c r="C337" s="137">
        <v>1.67</v>
      </c>
      <c r="D337" s="137">
        <v>-0.19</v>
      </c>
      <c r="E337" s="137">
        <v>-0.28999999999999998</v>
      </c>
      <c r="F337" s="137">
        <v>7.0000000000000007E-2</v>
      </c>
    </row>
    <row r="338" spans="2:6" ht="13.5" customHeight="1">
      <c r="B338" s="137">
        <v>195403</v>
      </c>
      <c r="C338" s="137">
        <v>3.65</v>
      </c>
      <c r="D338" s="137">
        <v>-0.54</v>
      </c>
      <c r="E338" s="137">
        <v>-1.5</v>
      </c>
      <c r="F338" s="137">
        <v>0.08</v>
      </c>
    </row>
    <row r="339" spans="2:6" ht="13.5" customHeight="1">
      <c r="B339" s="137">
        <v>195404</v>
      </c>
      <c r="C339" s="137">
        <v>4.2699999999999996</v>
      </c>
      <c r="D339" s="137">
        <v>-3.44</v>
      </c>
      <c r="E339" s="137">
        <v>-0.34</v>
      </c>
      <c r="F339" s="137">
        <v>0.09</v>
      </c>
    </row>
    <row r="340" spans="2:6" ht="13.5" customHeight="1">
      <c r="B340" s="137">
        <v>195405</v>
      </c>
      <c r="C340" s="137">
        <v>3.09</v>
      </c>
      <c r="D340" s="137">
        <v>0.41</v>
      </c>
      <c r="E340" s="137">
        <v>2.4500000000000002</v>
      </c>
      <c r="F340" s="137">
        <v>0.05</v>
      </c>
    </row>
    <row r="341" spans="2:6" ht="13.5" customHeight="1">
      <c r="B341" s="137">
        <v>195406</v>
      </c>
      <c r="C341" s="137">
        <v>1.07</v>
      </c>
      <c r="D341" s="137">
        <v>0.38</v>
      </c>
      <c r="E341" s="137">
        <v>0.01</v>
      </c>
      <c r="F341" s="137">
        <v>0.06</v>
      </c>
    </row>
    <row r="342" spans="2:6" ht="13.5" customHeight="1">
      <c r="B342" s="137">
        <v>195407</v>
      </c>
      <c r="C342" s="137">
        <v>4.99</v>
      </c>
      <c r="D342" s="137">
        <v>1.06</v>
      </c>
      <c r="E342" s="137">
        <v>4.13</v>
      </c>
      <c r="F342" s="137">
        <v>0.05</v>
      </c>
    </row>
    <row r="343" spans="2:6" ht="13.5" customHeight="1">
      <c r="B343" s="137">
        <v>195408</v>
      </c>
      <c r="C343" s="137">
        <v>-2.34</v>
      </c>
      <c r="D343" s="137">
        <v>2.69</v>
      </c>
      <c r="E343" s="137">
        <v>-1.38</v>
      </c>
      <c r="F343" s="137">
        <v>0.05</v>
      </c>
    </row>
    <row r="344" spans="2:6" ht="13.5" customHeight="1">
      <c r="B344" s="137">
        <v>195409</v>
      </c>
      <c r="C344" s="137">
        <v>6.39</v>
      </c>
      <c r="D344" s="137">
        <v>-2.5299999999999998</v>
      </c>
      <c r="E344" s="137">
        <v>0.68</v>
      </c>
      <c r="F344" s="137">
        <v>0.09</v>
      </c>
    </row>
    <row r="345" spans="2:6" ht="13.5" customHeight="1">
      <c r="B345" s="137">
        <v>195410</v>
      </c>
      <c r="C345" s="137">
        <v>-1.67</v>
      </c>
      <c r="D345" s="137">
        <v>0.62</v>
      </c>
      <c r="E345" s="137">
        <v>0.67</v>
      </c>
      <c r="F345" s="137">
        <v>7.0000000000000007E-2</v>
      </c>
    </row>
    <row r="346" spans="2:6" ht="13.5" customHeight="1">
      <c r="B346" s="137">
        <v>195411</v>
      </c>
      <c r="C346" s="137">
        <v>9.3800000000000008</v>
      </c>
      <c r="D346" s="137">
        <v>-2.62</v>
      </c>
      <c r="E346" s="137">
        <v>4.4000000000000004</v>
      </c>
      <c r="F346" s="137">
        <v>0.06</v>
      </c>
    </row>
    <row r="347" spans="2:6" ht="13.5" customHeight="1">
      <c r="B347" s="137">
        <v>195412</v>
      </c>
      <c r="C347" s="137">
        <v>5.48</v>
      </c>
      <c r="D347" s="137">
        <v>2.12</v>
      </c>
      <c r="E347" s="137">
        <v>5.66</v>
      </c>
      <c r="F347" s="137">
        <v>0.08</v>
      </c>
    </row>
    <row r="348" spans="2:6" ht="13.5" customHeight="1">
      <c r="B348" s="137">
        <v>195501</v>
      </c>
      <c r="C348" s="137">
        <v>0.6</v>
      </c>
      <c r="D348" s="137">
        <v>0.36</v>
      </c>
      <c r="E348" s="137">
        <v>2.14</v>
      </c>
      <c r="F348" s="137">
        <v>0.08</v>
      </c>
    </row>
    <row r="349" spans="2:6" ht="13.5" customHeight="1">
      <c r="B349" s="137">
        <v>195502</v>
      </c>
      <c r="C349" s="137">
        <v>3.02</v>
      </c>
      <c r="D349" s="137">
        <v>1.59</v>
      </c>
      <c r="E349" s="137">
        <v>0.57999999999999996</v>
      </c>
      <c r="F349" s="137">
        <v>0.09</v>
      </c>
    </row>
    <row r="350" spans="2:6" ht="13.5" customHeight="1">
      <c r="B350" s="137">
        <v>195503</v>
      </c>
      <c r="C350" s="137">
        <v>-0.16</v>
      </c>
      <c r="D350" s="137">
        <v>-0.74</v>
      </c>
      <c r="E350" s="137">
        <v>1.97</v>
      </c>
      <c r="F350" s="137">
        <v>0.1</v>
      </c>
    </row>
    <row r="351" spans="2:6" ht="13.5" customHeight="1">
      <c r="B351" s="137">
        <v>195504</v>
      </c>
      <c r="C351" s="137">
        <v>3.11</v>
      </c>
      <c r="D351" s="137">
        <v>-1.62</v>
      </c>
      <c r="E351" s="137">
        <v>0.68</v>
      </c>
      <c r="F351" s="137">
        <v>0.1</v>
      </c>
    </row>
    <row r="352" spans="2:6" ht="13.5" customHeight="1">
      <c r="B352" s="137">
        <v>195505</v>
      </c>
      <c r="C352" s="137">
        <v>0.93</v>
      </c>
      <c r="D352" s="137">
        <v>-0.28000000000000003</v>
      </c>
      <c r="E352" s="137">
        <v>-0.96</v>
      </c>
      <c r="F352" s="137">
        <v>0.14000000000000001</v>
      </c>
    </row>
    <row r="353" spans="2:6" ht="13.5" customHeight="1">
      <c r="B353" s="137">
        <v>195506</v>
      </c>
      <c r="C353" s="137">
        <v>6.55</v>
      </c>
      <c r="D353" s="137">
        <v>-4.6500000000000004</v>
      </c>
      <c r="E353" s="137">
        <v>1.84</v>
      </c>
      <c r="F353" s="137">
        <v>0.1</v>
      </c>
    </row>
    <row r="354" spans="2:6" ht="13.5" customHeight="1">
      <c r="B354" s="137">
        <v>195507</v>
      </c>
      <c r="C354" s="137">
        <v>1.9</v>
      </c>
      <c r="D354" s="137">
        <v>-1.17</v>
      </c>
      <c r="E354" s="137">
        <v>0.35</v>
      </c>
      <c r="F354" s="137">
        <v>0.1</v>
      </c>
    </row>
    <row r="355" spans="2:6" ht="13.5" customHeight="1">
      <c r="B355" s="137">
        <v>195508</v>
      </c>
      <c r="C355" s="137">
        <v>0.21</v>
      </c>
      <c r="D355" s="137">
        <v>-0.44</v>
      </c>
      <c r="E355" s="137">
        <v>0.72</v>
      </c>
      <c r="F355" s="137">
        <v>0.16</v>
      </c>
    </row>
    <row r="356" spans="2:6" ht="13.5" customHeight="1">
      <c r="B356" s="137">
        <v>195509</v>
      </c>
      <c r="C356" s="137">
        <v>-0.36</v>
      </c>
      <c r="D356" s="137">
        <v>0.35</v>
      </c>
      <c r="E356" s="137">
        <v>-0.99</v>
      </c>
      <c r="F356" s="137">
        <v>0.16</v>
      </c>
    </row>
    <row r="357" spans="2:6" ht="13.5" customHeight="1">
      <c r="B357" s="137">
        <v>195510</v>
      </c>
      <c r="C357" s="137">
        <v>-2.68</v>
      </c>
      <c r="D357" s="137">
        <v>1.48</v>
      </c>
      <c r="E357" s="137">
        <v>-0.15</v>
      </c>
      <c r="F357" s="137">
        <v>0.18</v>
      </c>
    </row>
    <row r="358" spans="2:6" ht="13.5" customHeight="1">
      <c r="B358" s="137">
        <v>195511</v>
      </c>
      <c r="C358" s="137">
        <v>7.03</v>
      </c>
      <c r="D358" s="137">
        <v>-2.2200000000000002</v>
      </c>
      <c r="E358" s="137">
        <v>0.33</v>
      </c>
      <c r="F358" s="137">
        <v>0.17</v>
      </c>
    </row>
    <row r="359" spans="2:6" ht="13.5" customHeight="1">
      <c r="B359" s="137">
        <v>195512</v>
      </c>
      <c r="C359" s="137">
        <v>1.49</v>
      </c>
      <c r="D359" s="137">
        <v>2.16</v>
      </c>
      <c r="E359" s="137">
        <v>-2.2999999999999998</v>
      </c>
      <c r="F359" s="137">
        <v>0.18</v>
      </c>
    </row>
    <row r="360" spans="2:6" ht="13.5" customHeight="1">
      <c r="B360" s="137">
        <v>195601</v>
      </c>
      <c r="C360" s="137">
        <v>-3.03</v>
      </c>
      <c r="D360" s="137">
        <v>0.37</v>
      </c>
      <c r="E360" s="137">
        <v>0.95</v>
      </c>
      <c r="F360" s="137">
        <v>0.22</v>
      </c>
    </row>
    <row r="361" spans="2:6" ht="13.5" customHeight="1">
      <c r="B361" s="137">
        <v>195602</v>
      </c>
      <c r="C361" s="137">
        <v>3.77</v>
      </c>
      <c r="D361" s="137">
        <v>-0.98</v>
      </c>
      <c r="E361" s="137">
        <v>-0.43</v>
      </c>
      <c r="F361" s="137">
        <v>0.19</v>
      </c>
    </row>
    <row r="362" spans="2:6" ht="13.5" customHeight="1">
      <c r="B362" s="137">
        <v>195603</v>
      </c>
      <c r="C362" s="137">
        <v>6.64</v>
      </c>
      <c r="D362" s="137">
        <v>-2.09</v>
      </c>
      <c r="E362" s="137">
        <v>-0.46</v>
      </c>
      <c r="F362" s="137">
        <v>0.15</v>
      </c>
    </row>
    <row r="363" spans="2:6" ht="13.5" customHeight="1">
      <c r="B363" s="137">
        <v>195604</v>
      </c>
      <c r="C363" s="137">
        <v>0.28000000000000003</v>
      </c>
      <c r="D363" s="137">
        <v>0.01</v>
      </c>
      <c r="E363" s="137">
        <v>-0.24</v>
      </c>
      <c r="F363" s="137">
        <v>0.19</v>
      </c>
    </row>
    <row r="364" spans="2:6" ht="13.5" customHeight="1">
      <c r="B364" s="137">
        <v>195605</v>
      </c>
      <c r="C364" s="137">
        <v>-5.2</v>
      </c>
      <c r="D364" s="137">
        <v>1.45</v>
      </c>
      <c r="E364" s="137">
        <v>-1.31</v>
      </c>
      <c r="F364" s="137">
        <v>0.23</v>
      </c>
    </row>
    <row r="365" spans="2:6" ht="13.5" customHeight="1">
      <c r="B365" s="137">
        <v>195606</v>
      </c>
      <c r="C365" s="137">
        <v>3.48</v>
      </c>
      <c r="D365" s="137">
        <v>-1.48</v>
      </c>
      <c r="E365" s="137">
        <v>-1.1299999999999999</v>
      </c>
      <c r="F365" s="137">
        <v>0.2</v>
      </c>
    </row>
    <row r="366" spans="2:6" ht="13.5" customHeight="1">
      <c r="B366" s="137">
        <v>195607</v>
      </c>
      <c r="C366" s="137">
        <v>4.84</v>
      </c>
      <c r="D366" s="137">
        <v>-1.66</v>
      </c>
      <c r="E366" s="137">
        <v>-0.04</v>
      </c>
      <c r="F366" s="137">
        <v>0.22</v>
      </c>
    </row>
    <row r="367" spans="2:6" ht="13.5" customHeight="1">
      <c r="B367" s="137">
        <v>195608</v>
      </c>
      <c r="C367" s="137">
        <v>-3.18</v>
      </c>
      <c r="D367" s="137">
        <v>1.89</v>
      </c>
      <c r="E367" s="137">
        <v>-0.74</v>
      </c>
      <c r="F367" s="137">
        <v>0.17</v>
      </c>
    </row>
    <row r="368" spans="2:6" ht="13.5" customHeight="1">
      <c r="B368" s="137">
        <v>195609</v>
      </c>
      <c r="C368" s="137">
        <v>-5.14</v>
      </c>
      <c r="D368" s="137">
        <v>1.57</v>
      </c>
      <c r="E368" s="137">
        <v>1.76</v>
      </c>
      <c r="F368" s="137">
        <v>0.18</v>
      </c>
    </row>
    <row r="369" spans="2:6" ht="13.5" customHeight="1">
      <c r="B369" s="137">
        <v>195610</v>
      </c>
      <c r="C369" s="137">
        <v>0.52</v>
      </c>
      <c r="D369" s="137">
        <v>-0.1</v>
      </c>
      <c r="E369" s="137">
        <v>-0.06</v>
      </c>
      <c r="F369" s="137">
        <v>0.25</v>
      </c>
    </row>
    <row r="370" spans="2:6" ht="13.5" customHeight="1">
      <c r="B370" s="137">
        <v>195611</v>
      </c>
      <c r="C370" s="137">
        <v>0.36</v>
      </c>
      <c r="D370" s="137">
        <v>-0.21</v>
      </c>
      <c r="E370" s="137">
        <v>1.78</v>
      </c>
      <c r="F370" s="137">
        <v>0.2</v>
      </c>
    </row>
    <row r="371" spans="2:6" ht="13.5" customHeight="1">
      <c r="B371" s="137">
        <v>195612</v>
      </c>
      <c r="C371" s="137">
        <v>3.16</v>
      </c>
      <c r="D371" s="137">
        <v>-0.01</v>
      </c>
      <c r="E371" s="137">
        <v>-2.15</v>
      </c>
      <c r="F371" s="137">
        <v>0.24</v>
      </c>
    </row>
    <row r="372" spans="2:6" ht="13.5" customHeight="1">
      <c r="B372" s="137">
        <v>195701</v>
      </c>
      <c r="C372" s="137">
        <v>-3.58</v>
      </c>
      <c r="D372" s="137">
        <v>3.37</v>
      </c>
      <c r="E372" s="137">
        <v>2.81</v>
      </c>
      <c r="F372" s="137">
        <v>0.27</v>
      </c>
    </row>
    <row r="373" spans="2:6" ht="13.5" customHeight="1">
      <c r="B373" s="137">
        <v>195702</v>
      </c>
      <c r="C373" s="137">
        <v>-2.06</v>
      </c>
      <c r="D373" s="137">
        <v>-0.72</v>
      </c>
      <c r="E373" s="137">
        <v>-0.72</v>
      </c>
      <c r="F373" s="137">
        <v>0.24</v>
      </c>
    </row>
    <row r="374" spans="2:6" ht="13.5" customHeight="1">
      <c r="B374" s="137">
        <v>195703</v>
      </c>
      <c r="C374" s="137">
        <v>2.13</v>
      </c>
      <c r="D374" s="137">
        <v>0.26</v>
      </c>
      <c r="E374" s="137">
        <v>-0.48</v>
      </c>
      <c r="F374" s="137">
        <v>0.23</v>
      </c>
    </row>
    <row r="375" spans="2:6" ht="13.5" customHeight="1">
      <c r="B375" s="137">
        <v>195704</v>
      </c>
      <c r="C375" s="137">
        <v>4.26</v>
      </c>
      <c r="D375" s="137">
        <v>-1.59</v>
      </c>
      <c r="E375" s="137">
        <v>-1.45</v>
      </c>
      <c r="F375" s="137">
        <v>0.25</v>
      </c>
    </row>
    <row r="376" spans="2:6" ht="13.5" customHeight="1">
      <c r="B376" s="137">
        <v>195705</v>
      </c>
      <c r="C376" s="137">
        <v>3.45</v>
      </c>
      <c r="D376" s="137">
        <v>-1.05</v>
      </c>
      <c r="E376" s="137">
        <v>-2.1</v>
      </c>
      <c r="F376" s="137">
        <v>0.26</v>
      </c>
    </row>
    <row r="377" spans="2:6" ht="13.5" customHeight="1">
      <c r="B377" s="137">
        <v>195706</v>
      </c>
      <c r="C377" s="137">
        <v>-0.74</v>
      </c>
      <c r="D377" s="137">
        <v>0.54</v>
      </c>
      <c r="E377" s="137">
        <v>0.01</v>
      </c>
      <c r="F377" s="137">
        <v>0.24</v>
      </c>
    </row>
    <row r="378" spans="2:6" ht="13.5" customHeight="1">
      <c r="B378" s="137">
        <v>195707</v>
      </c>
      <c r="C378" s="137">
        <v>0.66</v>
      </c>
      <c r="D378" s="137">
        <v>-0.76</v>
      </c>
      <c r="E378" s="137">
        <v>0.43</v>
      </c>
      <c r="F378" s="137">
        <v>0.3</v>
      </c>
    </row>
    <row r="379" spans="2:6" ht="13.5" customHeight="1">
      <c r="B379" s="137">
        <v>195708</v>
      </c>
      <c r="C379" s="137">
        <v>-5.1100000000000003</v>
      </c>
      <c r="D379" s="137">
        <v>0.05</v>
      </c>
      <c r="E379" s="137">
        <v>-0.41</v>
      </c>
      <c r="F379" s="137">
        <v>0.25</v>
      </c>
    </row>
    <row r="380" spans="2:6" ht="13.5" customHeight="1">
      <c r="B380" s="137">
        <v>195709</v>
      </c>
      <c r="C380" s="137">
        <v>-5.98</v>
      </c>
      <c r="D380" s="137">
        <v>0.08</v>
      </c>
      <c r="E380" s="137">
        <v>0.92</v>
      </c>
      <c r="F380" s="137">
        <v>0.26</v>
      </c>
    </row>
    <row r="381" spans="2:6" ht="13.5" customHeight="1">
      <c r="B381" s="137">
        <v>195710</v>
      </c>
      <c r="C381" s="137">
        <v>-4.32</v>
      </c>
      <c r="D381" s="137">
        <v>-2.52</v>
      </c>
      <c r="E381" s="137">
        <v>-1.8</v>
      </c>
      <c r="F381" s="137">
        <v>0.28999999999999998</v>
      </c>
    </row>
    <row r="382" spans="2:6" ht="13.5" customHeight="1">
      <c r="B382" s="137">
        <v>195711</v>
      </c>
      <c r="C382" s="137">
        <v>2.2999999999999998</v>
      </c>
      <c r="D382" s="137">
        <v>0.4</v>
      </c>
      <c r="E382" s="137">
        <v>-2.87</v>
      </c>
      <c r="F382" s="137">
        <v>0.28000000000000003</v>
      </c>
    </row>
    <row r="383" spans="2:6" ht="13.5" customHeight="1">
      <c r="B383" s="137">
        <v>195712</v>
      </c>
      <c r="C383" s="137">
        <v>-3.91</v>
      </c>
      <c r="D383" s="137">
        <v>-0.98</v>
      </c>
      <c r="E383" s="137">
        <v>-1.62</v>
      </c>
      <c r="F383" s="137">
        <v>0.24</v>
      </c>
    </row>
    <row r="384" spans="2:6" ht="13.5" customHeight="1">
      <c r="B384" s="137">
        <v>195801</v>
      </c>
      <c r="C384" s="137">
        <v>4.66</v>
      </c>
      <c r="D384" s="137">
        <v>4.3899999999999997</v>
      </c>
      <c r="E384" s="137">
        <v>4.1900000000000004</v>
      </c>
      <c r="F384" s="137">
        <v>0.28000000000000003</v>
      </c>
    </row>
    <row r="385" spans="2:6" ht="13.5" customHeight="1">
      <c r="B385" s="137">
        <v>195802</v>
      </c>
      <c r="C385" s="137">
        <v>-1.52</v>
      </c>
      <c r="D385" s="137">
        <v>0.65</v>
      </c>
      <c r="E385" s="137">
        <v>0.33</v>
      </c>
      <c r="F385" s="137">
        <v>0.12</v>
      </c>
    </row>
    <row r="386" spans="2:6" ht="13.5" customHeight="1">
      <c r="B386" s="137">
        <v>195803</v>
      </c>
      <c r="C386" s="137">
        <v>3.27</v>
      </c>
      <c r="D386" s="137">
        <v>0.65</v>
      </c>
      <c r="E386" s="137">
        <v>-0.97</v>
      </c>
      <c r="F386" s="137">
        <v>0.09</v>
      </c>
    </row>
    <row r="387" spans="2:6" ht="13.5" customHeight="1">
      <c r="B387" s="137">
        <v>195804</v>
      </c>
      <c r="C387" s="137">
        <v>3.09</v>
      </c>
      <c r="D387" s="137">
        <v>-0.62</v>
      </c>
      <c r="E387" s="137">
        <v>1.61</v>
      </c>
      <c r="F387" s="137">
        <v>0.08</v>
      </c>
    </row>
    <row r="388" spans="2:6" ht="13.5" customHeight="1">
      <c r="B388" s="137">
        <v>195805</v>
      </c>
      <c r="C388" s="137">
        <v>2.31</v>
      </c>
      <c r="D388" s="137">
        <v>2.16</v>
      </c>
      <c r="E388" s="137">
        <v>-0.26</v>
      </c>
      <c r="F388" s="137">
        <v>0.11</v>
      </c>
    </row>
    <row r="389" spans="2:6" ht="13.5" customHeight="1">
      <c r="B389" s="137">
        <v>195806</v>
      </c>
      <c r="C389" s="137">
        <v>2.93</v>
      </c>
      <c r="D389" s="137">
        <v>-0.19</v>
      </c>
      <c r="E389" s="137">
        <v>0.4</v>
      </c>
      <c r="F389" s="137">
        <v>0.03</v>
      </c>
    </row>
    <row r="390" spans="2:6" ht="13.5" customHeight="1">
      <c r="B390" s="137">
        <v>195807</v>
      </c>
      <c r="C390" s="137">
        <v>4.3899999999999997</v>
      </c>
      <c r="D390" s="137">
        <v>0.47</v>
      </c>
      <c r="E390" s="137">
        <v>3.06</v>
      </c>
      <c r="F390" s="137">
        <v>7.0000000000000007E-2</v>
      </c>
    </row>
    <row r="391" spans="2:6" ht="13.5" customHeight="1">
      <c r="B391" s="137">
        <v>195808</v>
      </c>
      <c r="C391" s="137">
        <v>1.91</v>
      </c>
      <c r="D391" s="137">
        <v>1.18</v>
      </c>
      <c r="E391" s="137">
        <v>0.36</v>
      </c>
      <c r="F391" s="137">
        <v>0.04</v>
      </c>
    </row>
    <row r="392" spans="2:6" ht="13.5" customHeight="1">
      <c r="B392" s="137">
        <v>195809</v>
      </c>
      <c r="C392" s="137">
        <v>4.66</v>
      </c>
      <c r="D392" s="137">
        <v>0.12</v>
      </c>
      <c r="E392" s="137">
        <v>2.85</v>
      </c>
      <c r="F392" s="137">
        <v>0.19</v>
      </c>
    </row>
    <row r="393" spans="2:6" ht="13.5" customHeight="1">
      <c r="B393" s="137">
        <v>195810</v>
      </c>
      <c r="C393" s="137">
        <v>2.5299999999999998</v>
      </c>
      <c r="D393" s="137">
        <v>1.0900000000000001</v>
      </c>
      <c r="E393" s="137">
        <v>-1.18</v>
      </c>
      <c r="F393" s="137">
        <v>0.18</v>
      </c>
    </row>
    <row r="394" spans="2:6" ht="13.5" customHeight="1">
      <c r="B394" s="137">
        <v>195811</v>
      </c>
      <c r="C394" s="137">
        <v>3.01</v>
      </c>
      <c r="D394" s="137">
        <v>1.97</v>
      </c>
      <c r="E394" s="137">
        <v>-1.18</v>
      </c>
      <c r="F394" s="137">
        <v>0.11</v>
      </c>
    </row>
    <row r="395" spans="2:6" ht="13.5" customHeight="1">
      <c r="B395" s="137">
        <v>195812</v>
      </c>
      <c r="C395" s="137">
        <v>5.15</v>
      </c>
      <c r="D395" s="137">
        <v>-2.0299999999999998</v>
      </c>
      <c r="E395" s="137">
        <v>0.03</v>
      </c>
      <c r="F395" s="137">
        <v>0.22</v>
      </c>
    </row>
    <row r="396" spans="2:6" ht="13.5" customHeight="1">
      <c r="B396" s="137">
        <v>195901</v>
      </c>
      <c r="C396" s="137">
        <v>0.71</v>
      </c>
      <c r="D396" s="137">
        <v>3.02</v>
      </c>
      <c r="E396" s="137">
        <v>2.91</v>
      </c>
      <c r="F396" s="137">
        <v>0.21</v>
      </c>
    </row>
    <row r="397" spans="2:6" ht="13.5" customHeight="1">
      <c r="B397" s="137">
        <v>195902</v>
      </c>
      <c r="C397" s="137">
        <v>0.95</v>
      </c>
      <c r="D397" s="137">
        <v>1.46</v>
      </c>
      <c r="E397" s="137">
        <v>1.1599999999999999</v>
      </c>
      <c r="F397" s="137">
        <v>0.19</v>
      </c>
    </row>
    <row r="398" spans="2:6" ht="13.5" customHeight="1">
      <c r="B398" s="137">
        <v>195903</v>
      </c>
      <c r="C398" s="137">
        <v>0.28000000000000003</v>
      </c>
      <c r="D398" s="137">
        <v>1.49</v>
      </c>
      <c r="E398" s="137">
        <v>-0.34</v>
      </c>
      <c r="F398" s="137">
        <v>0.22</v>
      </c>
    </row>
    <row r="399" spans="2:6" ht="13.5" customHeight="1">
      <c r="B399" s="137">
        <v>195904</v>
      </c>
      <c r="C399" s="137">
        <v>3.66</v>
      </c>
      <c r="D399" s="137">
        <v>-0.6</v>
      </c>
      <c r="E399" s="137">
        <v>-1.23</v>
      </c>
      <c r="F399" s="137">
        <v>0.2</v>
      </c>
    </row>
    <row r="400" spans="2:6" ht="13.5" customHeight="1">
      <c r="B400" s="137">
        <v>195905</v>
      </c>
      <c r="C400" s="137">
        <v>1.73</v>
      </c>
      <c r="D400" s="137">
        <v>-2.16</v>
      </c>
      <c r="E400" s="137">
        <v>1.79</v>
      </c>
      <c r="F400" s="137">
        <v>0.22</v>
      </c>
    </row>
    <row r="401" spans="2:6" ht="13.5" customHeight="1">
      <c r="B401" s="137">
        <v>195906</v>
      </c>
      <c r="C401" s="137">
        <v>-0.25</v>
      </c>
      <c r="D401" s="137">
        <v>0.67</v>
      </c>
      <c r="E401" s="137">
        <v>1.31</v>
      </c>
      <c r="F401" s="137">
        <v>0.25</v>
      </c>
    </row>
    <row r="402" spans="2:6" ht="13.5" customHeight="1">
      <c r="B402" s="137">
        <v>195907</v>
      </c>
      <c r="C402" s="137">
        <v>3.17</v>
      </c>
      <c r="D402" s="137">
        <v>-0.3</v>
      </c>
      <c r="E402" s="137">
        <v>0.23</v>
      </c>
      <c r="F402" s="137">
        <v>0.25</v>
      </c>
    </row>
    <row r="403" spans="2:6" ht="13.5" customHeight="1">
      <c r="B403" s="137">
        <v>195908</v>
      </c>
      <c r="C403" s="137">
        <v>-1.39</v>
      </c>
      <c r="D403" s="137">
        <v>-0.76</v>
      </c>
      <c r="E403" s="137">
        <v>0.44</v>
      </c>
      <c r="F403" s="137">
        <v>0.19</v>
      </c>
    </row>
    <row r="404" spans="2:6" ht="13.5" customHeight="1">
      <c r="B404" s="137">
        <v>195909</v>
      </c>
      <c r="C404" s="137">
        <v>-4.8</v>
      </c>
      <c r="D404" s="137">
        <v>-0.09</v>
      </c>
      <c r="E404" s="137">
        <v>0.55000000000000004</v>
      </c>
      <c r="F404" s="137">
        <v>0.31</v>
      </c>
    </row>
    <row r="405" spans="2:6" ht="13.5" customHeight="1">
      <c r="B405" s="137">
        <v>195910</v>
      </c>
      <c r="C405" s="137">
        <v>1.28</v>
      </c>
      <c r="D405" s="137">
        <v>1.44</v>
      </c>
      <c r="E405" s="137">
        <v>-2.1</v>
      </c>
      <c r="F405" s="137">
        <v>0.3</v>
      </c>
    </row>
    <row r="406" spans="2:6" ht="13.5" customHeight="1">
      <c r="B406" s="137">
        <v>195911</v>
      </c>
      <c r="C406" s="137">
        <v>1.6</v>
      </c>
      <c r="D406" s="137">
        <v>1.23</v>
      </c>
      <c r="E406" s="137">
        <v>-3.21</v>
      </c>
      <c r="F406" s="137">
        <v>0.26</v>
      </c>
    </row>
    <row r="407" spans="2:6" ht="13.5" customHeight="1">
      <c r="B407" s="137">
        <v>195912</v>
      </c>
      <c r="C407" s="137">
        <v>2.4500000000000002</v>
      </c>
      <c r="D407" s="137">
        <v>-0.57999999999999996</v>
      </c>
      <c r="E407" s="137">
        <v>-7.0000000000000007E-2</v>
      </c>
      <c r="F407" s="137">
        <v>0.34</v>
      </c>
    </row>
    <row r="408" spans="2:6" ht="13.5" customHeight="1">
      <c r="B408" s="137">
        <v>196001</v>
      </c>
      <c r="C408" s="137">
        <v>-6.98</v>
      </c>
      <c r="D408" s="137">
        <v>2.09</v>
      </c>
      <c r="E408" s="137">
        <v>2.78</v>
      </c>
      <c r="F408" s="137">
        <v>0.33</v>
      </c>
    </row>
    <row r="409" spans="2:6" ht="13.5" customHeight="1">
      <c r="B409" s="137">
        <v>196002</v>
      </c>
      <c r="C409" s="137">
        <v>1.17</v>
      </c>
      <c r="D409" s="137">
        <v>0.51</v>
      </c>
      <c r="E409" s="137">
        <v>-1.93</v>
      </c>
      <c r="F409" s="137">
        <v>0.28999999999999998</v>
      </c>
    </row>
    <row r="410" spans="2:6" ht="13.5" customHeight="1">
      <c r="B410" s="137">
        <v>196003</v>
      </c>
      <c r="C410" s="137">
        <v>-1.63</v>
      </c>
      <c r="D410" s="137">
        <v>-0.49</v>
      </c>
      <c r="E410" s="137">
        <v>-2.94</v>
      </c>
      <c r="F410" s="137">
        <v>0.35</v>
      </c>
    </row>
    <row r="411" spans="2:6" ht="13.5" customHeight="1">
      <c r="B411" s="137">
        <v>196004</v>
      </c>
      <c r="C411" s="137">
        <v>-1.71</v>
      </c>
      <c r="D411" s="137">
        <v>0.32</v>
      </c>
      <c r="E411" s="137">
        <v>-2.2799999999999998</v>
      </c>
      <c r="F411" s="137">
        <v>0.19</v>
      </c>
    </row>
    <row r="412" spans="2:6" ht="13.5" customHeight="1">
      <c r="B412" s="137">
        <v>196005</v>
      </c>
      <c r="C412" s="137">
        <v>3.12</v>
      </c>
      <c r="D412" s="137">
        <v>1.21</v>
      </c>
      <c r="E412" s="137">
        <v>-3.7</v>
      </c>
      <c r="F412" s="137">
        <v>0.27</v>
      </c>
    </row>
    <row r="413" spans="2:6" ht="13.5" customHeight="1">
      <c r="B413" s="137">
        <v>196006</v>
      </c>
      <c r="C413" s="137">
        <v>2.08</v>
      </c>
      <c r="D413" s="137">
        <v>-0.21</v>
      </c>
      <c r="E413" s="137">
        <v>-0.34</v>
      </c>
      <c r="F413" s="137">
        <v>0.24</v>
      </c>
    </row>
    <row r="414" spans="2:6" ht="13.5" customHeight="1">
      <c r="B414" s="137">
        <v>196007</v>
      </c>
      <c r="C414" s="137">
        <v>-2.37</v>
      </c>
      <c r="D414" s="137">
        <v>-0.51</v>
      </c>
      <c r="E414" s="137">
        <v>1.98</v>
      </c>
      <c r="F414" s="137">
        <v>0.13</v>
      </c>
    </row>
    <row r="415" spans="2:6" ht="13.5" customHeight="1">
      <c r="B415" s="137">
        <v>196008</v>
      </c>
      <c r="C415" s="137">
        <v>3.01</v>
      </c>
      <c r="D415" s="137">
        <v>0.87</v>
      </c>
      <c r="E415" s="137">
        <v>-0.18</v>
      </c>
      <c r="F415" s="137">
        <v>0.17</v>
      </c>
    </row>
    <row r="416" spans="2:6" ht="13.5" customHeight="1">
      <c r="B416" s="137">
        <v>196009</v>
      </c>
      <c r="C416" s="137">
        <v>-5.99</v>
      </c>
      <c r="D416" s="137">
        <v>-1.1100000000000001</v>
      </c>
      <c r="E416" s="137">
        <v>1.62</v>
      </c>
      <c r="F416" s="137">
        <v>0.16</v>
      </c>
    </row>
    <row r="417" spans="2:6" ht="13.5" customHeight="1">
      <c r="B417" s="137">
        <v>196010</v>
      </c>
      <c r="C417" s="137">
        <v>-0.71</v>
      </c>
      <c r="D417" s="137">
        <v>-4.08</v>
      </c>
      <c r="E417" s="137">
        <v>2.83</v>
      </c>
      <c r="F417" s="137">
        <v>0.22</v>
      </c>
    </row>
    <row r="418" spans="2:6" ht="13.5" customHeight="1">
      <c r="B418" s="137">
        <v>196011</v>
      </c>
      <c r="C418" s="137">
        <v>4.6900000000000004</v>
      </c>
      <c r="D418" s="137">
        <v>0.4</v>
      </c>
      <c r="E418" s="137">
        <v>-2.4300000000000002</v>
      </c>
      <c r="F418" s="137">
        <v>0.13</v>
      </c>
    </row>
    <row r="419" spans="2:6" ht="13.5" customHeight="1">
      <c r="B419" s="137">
        <v>196012</v>
      </c>
      <c r="C419" s="137">
        <v>4.71</v>
      </c>
      <c r="D419" s="137">
        <v>-1.55</v>
      </c>
      <c r="E419" s="137">
        <v>-0.81</v>
      </c>
      <c r="F419" s="137">
        <v>0.16</v>
      </c>
    </row>
    <row r="420" spans="2:6" ht="13.5" customHeight="1">
      <c r="B420" s="137">
        <v>196101</v>
      </c>
      <c r="C420" s="137">
        <v>6.2</v>
      </c>
      <c r="D420" s="137">
        <v>0.64</v>
      </c>
      <c r="E420" s="137">
        <v>3.72</v>
      </c>
      <c r="F420" s="137">
        <v>0.19</v>
      </c>
    </row>
    <row r="421" spans="2:6" ht="13.5" customHeight="1">
      <c r="B421" s="137">
        <v>196102</v>
      </c>
      <c r="C421" s="137">
        <v>3.57</v>
      </c>
      <c r="D421" s="137">
        <v>3.93</v>
      </c>
      <c r="E421" s="137">
        <v>-0.66</v>
      </c>
      <c r="F421" s="137">
        <v>0.14000000000000001</v>
      </c>
    </row>
    <row r="422" spans="2:6" ht="13.5" customHeight="1">
      <c r="B422" s="137">
        <v>196103</v>
      </c>
      <c r="C422" s="137">
        <v>2.89</v>
      </c>
      <c r="D422" s="137">
        <v>3.3</v>
      </c>
      <c r="E422" s="137">
        <v>-0.73</v>
      </c>
      <c r="F422" s="137">
        <v>0.2</v>
      </c>
    </row>
    <row r="423" spans="2:6" ht="13.5" customHeight="1">
      <c r="B423" s="137">
        <v>196104</v>
      </c>
      <c r="C423" s="137">
        <v>0.28999999999999998</v>
      </c>
      <c r="D423" s="137">
        <v>7.0000000000000007E-2</v>
      </c>
      <c r="E423" s="137">
        <v>2.12</v>
      </c>
      <c r="F423" s="137">
        <v>0.17</v>
      </c>
    </row>
    <row r="424" spans="2:6" ht="13.5" customHeight="1">
      <c r="B424" s="137">
        <v>196105</v>
      </c>
      <c r="C424" s="137">
        <v>2.4</v>
      </c>
      <c r="D424" s="137">
        <v>2.0099999999999998</v>
      </c>
      <c r="E424" s="137">
        <v>0.37</v>
      </c>
      <c r="F424" s="137">
        <v>0.18</v>
      </c>
    </row>
    <row r="425" spans="2:6" ht="13.5" customHeight="1">
      <c r="B425" s="137">
        <v>196106</v>
      </c>
      <c r="C425" s="137">
        <v>-3.08</v>
      </c>
      <c r="D425" s="137">
        <v>-2.4900000000000002</v>
      </c>
      <c r="E425" s="137">
        <v>-0.14000000000000001</v>
      </c>
      <c r="F425" s="137">
        <v>0.2</v>
      </c>
    </row>
    <row r="426" spans="2:6" ht="13.5" customHeight="1">
      <c r="B426" s="137">
        <v>196107</v>
      </c>
      <c r="C426" s="137">
        <v>2.83</v>
      </c>
      <c r="D426" s="137">
        <v>-1.9</v>
      </c>
      <c r="E426" s="137">
        <v>-0.09</v>
      </c>
      <c r="F426" s="137">
        <v>0.18</v>
      </c>
    </row>
    <row r="427" spans="2:6" ht="13.5" customHeight="1">
      <c r="B427" s="137">
        <v>196108</v>
      </c>
      <c r="C427" s="137">
        <v>2.57</v>
      </c>
      <c r="D427" s="137">
        <v>-1.75</v>
      </c>
      <c r="E427" s="137">
        <v>-0.28000000000000003</v>
      </c>
      <c r="F427" s="137">
        <v>0.14000000000000001</v>
      </c>
    </row>
    <row r="428" spans="2:6" ht="13.5" customHeight="1">
      <c r="B428" s="137">
        <v>196109</v>
      </c>
      <c r="C428" s="137">
        <v>-2.15</v>
      </c>
      <c r="D428" s="137">
        <v>-1.07</v>
      </c>
      <c r="E428" s="137">
        <v>-0.61</v>
      </c>
      <c r="F428" s="137">
        <v>0.17</v>
      </c>
    </row>
    <row r="429" spans="2:6" ht="13.5" customHeight="1">
      <c r="B429" s="137">
        <v>196110</v>
      </c>
      <c r="C429" s="137">
        <v>2.57</v>
      </c>
      <c r="D429" s="137">
        <v>-1.65</v>
      </c>
      <c r="E429" s="137">
        <v>0.15</v>
      </c>
      <c r="F429" s="137">
        <v>0.19</v>
      </c>
    </row>
    <row r="430" spans="2:6" ht="13.5" customHeight="1">
      <c r="B430" s="137">
        <v>196111</v>
      </c>
      <c r="C430" s="137">
        <v>4.45</v>
      </c>
      <c r="D430" s="137">
        <v>1.26</v>
      </c>
      <c r="E430" s="137">
        <v>-1.23</v>
      </c>
      <c r="F430" s="137">
        <v>0.15</v>
      </c>
    </row>
    <row r="431" spans="2:6" ht="13.5" customHeight="1">
      <c r="B431" s="137">
        <v>196112</v>
      </c>
      <c r="C431" s="137">
        <v>-0.18</v>
      </c>
      <c r="D431" s="137">
        <v>-0.85</v>
      </c>
      <c r="E431" s="137">
        <v>1.79</v>
      </c>
      <c r="F431" s="137">
        <v>0.19</v>
      </c>
    </row>
    <row r="432" spans="2:6" ht="13.5" customHeight="1">
      <c r="B432" s="137">
        <v>196201</v>
      </c>
      <c r="C432" s="137">
        <v>-3.87</v>
      </c>
      <c r="D432" s="137">
        <v>1.77</v>
      </c>
      <c r="E432" s="137">
        <v>5.13</v>
      </c>
      <c r="F432" s="137">
        <v>0.24</v>
      </c>
    </row>
    <row r="433" spans="2:6" ht="13.5" customHeight="1">
      <c r="B433" s="137">
        <v>196202</v>
      </c>
      <c r="C433" s="137">
        <v>1.81</v>
      </c>
      <c r="D433" s="137">
        <v>-1.1499999999999999</v>
      </c>
      <c r="E433" s="137">
        <v>0.82</v>
      </c>
      <c r="F433" s="137">
        <v>0.2</v>
      </c>
    </row>
    <row r="434" spans="2:6" ht="13.5" customHeight="1">
      <c r="B434" s="137">
        <v>196203</v>
      </c>
      <c r="C434" s="137">
        <v>-0.68</v>
      </c>
      <c r="D434" s="137">
        <v>0.52</v>
      </c>
      <c r="E434" s="137">
        <v>-1.38</v>
      </c>
      <c r="F434" s="137">
        <v>0.2</v>
      </c>
    </row>
    <row r="435" spans="2:6" ht="13.5" customHeight="1">
      <c r="B435" s="137">
        <v>196204</v>
      </c>
      <c r="C435" s="137">
        <v>-6.59</v>
      </c>
      <c r="D435" s="137">
        <v>-0.7</v>
      </c>
      <c r="E435" s="137">
        <v>0.03</v>
      </c>
      <c r="F435" s="137">
        <v>0.22</v>
      </c>
    </row>
    <row r="436" spans="2:6" ht="13.5" customHeight="1">
      <c r="B436" s="137">
        <v>196205</v>
      </c>
      <c r="C436" s="137">
        <v>-8.65</v>
      </c>
      <c r="D436" s="137">
        <v>-3.34</v>
      </c>
      <c r="E436" s="137">
        <v>2.77</v>
      </c>
      <c r="F436" s="137">
        <v>0.24</v>
      </c>
    </row>
    <row r="437" spans="2:6" ht="13.5" customHeight="1">
      <c r="B437" s="137">
        <v>196206</v>
      </c>
      <c r="C437" s="137">
        <v>-8.4700000000000006</v>
      </c>
      <c r="D437" s="137">
        <v>-0.59</v>
      </c>
      <c r="E437" s="137">
        <v>2.5499999999999998</v>
      </c>
      <c r="F437" s="137">
        <v>0.2</v>
      </c>
    </row>
    <row r="438" spans="2:6" ht="13.5" customHeight="1">
      <c r="B438" s="137">
        <v>196207</v>
      </c>
      <c r="C438" s="137">
        <v>6.28</v>
      </c>
      <c r="D438" s="137">
        <v>1.52</v>
      </c>
      <c r="E438" s="137">
        <v>-3.41</v>
      </c>
      <c r="F438" s="137">
        <v>0.27</v>
      </c>
    </row>
    <row r="439" spans="2:6" ht="13.5" customHeight="1">
      <c r="B439" s="137">
        <v>196208</v>
      </c>
      <c r="C439" s="137">
        <v>2.13</v>
      </c>
      <c r="D439" s="137">
        <v>1.22</v>
      </c>
      <c r="E439" s="137">
        <v>-1.2</v>
      </c>
      <c r="F439" s="137">
        <v>0.23</v>
      </c>
    </row>
    <row r="440" spans="2:6" ht="13.5" customHeight="1">
      <c r="B440" s="137">
        <v>196209</v>
      </c>
      <c r="C440" s="137">
        <v>-5.22</v>
      </c>
      <c r="D440" s="137">
        <v>-2.42</v>
      </c>
      <c r="E440" s="137">
        <v>1.28</v>
      </c>
      <c r="F440" s="137">
        <v>0.21</v>
      </c>
    </row>
    <row r="441" spans="2:6" ht="13.5" customHeight="1">
      <c r="B441" s="137">
        <v>196210</v>
      </c>
      <c r="C441" s="137">
        <v>-0.05</v>
      </c>
      <c r="D441" s="137">
        <v>-3.97</v>
      </c>
      <c r="E441" s="137">
        <v>1.3</v>
      </c>
      <c r="F441" s="137">
        <v>0.25</v>
      </c>
    </row>
    <row r="442" spans="2:6" ht="13.5" customHeight="1">
      <c r="B442" s="137">
        <v>196211</v>
      </c>
      <c r="C442" s="137">
        <v>10.87</v>
      </c>
      <c r="D442" s="137">
        <v>2.61</v>
      </c>
      <c r="E442" s="137">
        <v>0.95</v>
      </c>
      <c r="F442" s="137">
        <v>0.2</v>
      </c>
    </row>
    <row r="443" spans="2:6" ht="13.5" customHeight="1">
      <c r="B443" s="137">
        <v>196212</v>
      </c>
      <c r="C443" s="137">
        <v>1.01</v>
      </c>
      <c r="D443" s="137">
        <v>-3.8</v>
      </c>
      <c r="E443" s="137">
        <v>0.36</v>
      </c>
      <c r="F443" s="137">
        <v>0.23</v>
      </c>
    </row>
    <row r="444" spans="2:6" ht="13.5" customHeight="1">
      <c r="B444" s="137">
        <v>196301</v>
      </c>
      <c r="C444" s="137">
        <v>4.93</v>
      </c>
      <c r="D444" s="137">
        <v>3.08</v>
      </c>
      <c r="E444" s="137">
        <v>2.21</v>
      </c>
      <c r="F444" s="137">
        <v>0.25</v>
      </c>
    </row>
    <row r="445" spans="2:6" ht="13.5" customHeight="1">
      <c r="B445" s="137">
        <v>196302</v>
      </c>
      <c r="C445" s="137">
        <v>-2.38</v>
      </c>
      <c r="D445" s="137">
        <v>0.48</v>
      </c>
      <c r="E445" s="137">
        <v>2.1800000000000002</v>
      </c>
      <c r="F445" s="137">
        <v>0.23</v>
      </c>
    </row>
    <row r="446" spans="2:6" ht="13.5" customHeight="1">
      <c r="B446" s="137">
        <v>196303</v>
      </c>
      <c r="C446" s="137">
        <v>3.08</v>
      </c>
      <c r="D446" s="137">
        <v>-2.59</v>
      </c>
      <c r="E446" s="137">
        <v>2.06</v>
      </c>
      <c r="F446" s="137">
        <v>0.23</v>
      </c>
    </row>
    <row r="447" spans="2:6" ht="13.5" customHeight="1">
      <c r="B447" s="137">
        <v>196304</v>
      </c>
      <c r="C447" s="137">
        <v>4.51</v>
      </c>
      <c r="D447" s="137">
        <v>-1.34</v>
      </c>
      <c r="E447" s="137">
        <v>1</v>
      </c>
      <c r="F447" s="137">
        <v>0.25</v>
      </c>
    </row>
    <row r="448" spans="2:6" ht="13.5" customHeight="1">
      <c r="B448" s="137">
        <v>196305</v>
      </c>
      <c r="C448" s="137">
        <v>1.76</v>
      </c>
      <c r="D448" s="137">
        <v>1.1299999999999999</v>
      </c>
      <c r="E448" s="137">
        <v>2.54</v>
      </c>
      <c r="F448" s="137">
        <v>0.24</v>
      </c>
    </row>
    <row r="449" spans="2:6" ht="13.5" customHeight="1">
      <c r="B449" s="137">
        <v>196306</v>
      </c>
      <c r="C449" s="137">
        <v>-2</v>
      </c>
      <c r="D449" s="137">
        <v>-0.27</v>
      </c>
      <c r="E449" s="137">
        <v>0.75</v>
      </c>
      <c r="F449" s="137">
        <v>0.23</v>
      </c>
    </row>
    <row r="450" spans="2:6" ht="13.5" customHeight="1">
      <c r="B450" s="137">
        <v>196307</v>
      </c>
      <c r="C450" s="137">
        <v>-0.39</v>
      </c>
      <c r="D450" s="137">
        <v>-0.45</v>
      </c>
      <c r="E450" s="137">
        <v>-0.97</v>
      </c>
      <c r="F450" s="137">
        <v>0.27</v>
      </c>
    </row>
    <row r="451" spans="2:6" ht="13.5" customHeight="1">
      <c r="B451" s="137">
        <v>196308</v>
      </c>
      <c r="C451" s="137">
        <v>5.07</v>
      </c>
      <c r="D451" s="137">
        <v>-0.98</v>
      </c>
      <c r="E451" s="137">
        <v>1.8</v>
      </c>
      <c r="F451" s="137">
        <v>0.25</v>
      </c>
    </row>
    <row r="452" spans="2:6" ht="13.5" customHeight="1">
      <c r="B452" s="137">
        <v>196309</v>
      </c>
      <c r="C452" s="137">
        <v>-1.57</v>
      </c>
      <c r="D452" s="137">
        <v>-0.33</v>
      </c>
      <c r="E452" s="137">
        <v>0.13</v>
      </c>
      <c r="F452" s="137">
        <v>0.27</v>
      </c>
    </row>
    <row r="453" spans="2:6" ht="13.5" customHeight="1">
      <c r="B453" s="137">
        <v>196310</v>
      </c>
      <c r="C453" s="137">
        <v>2.5299999999999998</v>
      </c>
      <c r="D453" s="137">
        <v>-0.57999999999999996</v>
      </c>
      <c r="E453" s="137">
        <v>-0.1</v>
      </c>
      <c r="F453" s="137">
        <v>0.28999999999999998</v>
      </c>
    </row>
    <row r="454" spans="2:6" ht="13.5" customHeight="1">
      <c r="B454" s="137">
        <v>196311</v>
      </c>
      <c r="C454" s="137">
        <v>-0.85</v>
      </c>
      <c r="D454" s="137">
        <v>-1.17</v>
      </c>
      <c r="E454" s="137">
        <v>1.75</v>
      </c>
      <c r="F454" s="137">
        <v>0.27</v>
      </c>
    </row>
    <row r="455" spans="2:6" ht="13.5" customHeight="1">
      <c r="B455" s="137">
        <v>196312</v>
      </c>
      <c r="C455" s="137">
        <v>1.83</v>
      </c>
      <c r="D455" s="137">
        <v>-2.16</v>
      </c>
      <c r="E455" s="137">
        <v>-0.02</v>
      </c>
      <c r="F455" s="137">
        <v>0.28999999999999998</v>
      </c>
    </row>
    <row r="456" spans="2:6" ht="13.5" customHeight="1">
      <c r="B456" s="137">
        <v>196401</v>
      </c>
      <c r="C456" s="137">
        <v>2.2400000000000002</v>
      </c>
      <c r="D456" s="137">
        <v>-0.11</v>
      </c>
      <c r="E456" s="137">
        <v>1.48</v>
      </c>
      <c r="F456" s="137">
        <v>0.3</v>
      </c>
    </row>
    <row r="457" spans="2:6" ht="13.5" customHeight="1">
      <c r="B457" s="137">
        <v>196402</v>
      </c>
      <c r="C457" s="137">
        <v>1.54</v>
      </c>
      <c r="D457" s="137">
        <v>0.11</v>
      </c>
      <c r="E457" s="137">
        <v>2.81</v>
      </c>
      <c r="F457" s="137">
        <v>0.26</v>
      </c>
    </row>
    <row r="458" spans="2:6" ht="13.5" customHeight="1">
      <c r="B458" s="137">
        <v>196403</v>
      </c>
      <c r="C458" s="137">
        <v>1.41</v>
      </c>
      <c r="D458" s="137">
        <v>0.87</v>
      </c>
      <c r="E458" s="137">
        <v>3.4</v>
      </c>
      <c r="F458" s="137">
        <v>0.31</v>
      </c>
    </row>
    <row r="459" spans="2:6" ht="13.5" customHeight="1">
      <c r="B459" s="137">
        <v>196404</v>
      </c>
      <c r="C459" s="137">
        <v>0.1</v>
      </c>
      <c r="D459" s="137">
        <v>-1.35</v>
      </c>
      <c r="E459" s="137">
        <v>-0.67</v>
      </c>
      <c r="F459" s="137">
        <v>0.28999999999999998</v>
      </c>
    </row>
    <row r="460" spans="2:6" ht="13.5" customHeight="1">
      <c r="B460" s="137">
        <v>196405</v>
      </c>
      <c r="C460" s="137">
        <v>1.42</v>
      </c>
      <c r="D460" s="137">
        <v>-0.86</v>
      </c>
      <c r="E460" s="137">
        <v>1.86</v>
      </c>
      <c r="F460" s="137">
        <v>0.26</v>
      </c>
    </row>
    <row r="461" spans="2:6" ht="13.5" customHeight="1">
      <c r="B461" s="137">
        <v>196406</v>
      </c>
      <c r="C461" s="137">
        <v>1.27</v>
      </c>
      <c r="D461" s="137">
        <v>-0.12</v>
      </c>
      <c r="E461" s="137">
        <v>0.62</v>
      </c>
      <c r="F461" s="137">
        <v>0.3</v>
      </c>
    </row>
    <row r="462" spans="2:6" ht="13.5" customHeight="1">
      <c r="B462" s="137">
        <v>196407</v>
      </c>
      <c r="C462" s="137">
        <v>1.74</v>
      </c>
      <c r="D462" s="137">
        <v>0.24</v>
      </c>
      <c r="E462" s="137">
        <v>0.75</v>
      </c>
      <c r="F462" s="137">
        <v>0.3</v>
      </c>
    </row>
    <row r="463" spans="2:6" ht="13.5" customHeight="1">
      <c r="B463" s="137">
        <v>196408</v>
      </c>
      <c r="C463" s="137">
        <v>-1.44</v>
      </c>
      <c r="D463" s="137">
        <v>0.16</v>
      </c>
      <c r="E463" s="137">
        <v>0.08</v>
      </c>
      <c r="F463" s="137">
        <v>0.28000000000000003</v>
      </c>
    </row>
    <row r="464" spans="2:6" ht="13.5" customHeight="1">
      <c r="B464" s="137">
        <v>196409</v>
      </c>
      <c r="C464" s="137">
        <v>2.69</v>
      </c>
      <c r="D464" s="137">
        <v>-0.54</v>
      </c>
      <c r="E464" s="137">
        <v>1.7</v>
      </c>
      <c r="F464" s="137">
        <v>0.28000000000000003</v>
      </c>
    </row>
    <row r="465" spans="2:6" ht="13.5" customHeight="1">
      <c r="B465" s="137">
        <v>196410</v>
      </c>
      <c r="C465" s="137">
        <v>0.59</v>
      </c>
      <c r="D465" s="137">
        <v>0.42</v>
      </c>
      <c r="E465" s="137">
        <v>1.17</v>
      </c>
      <c r="F465" s="137">
        <v>0.28999999999999998</v>
      </c>
    </row>
    <row r="466" spans="2:6" ht="13.5" customHeight="1">
      <c r="B466" s="137">
        <v>196411</v>
      </c>
      <c r="C466" s="137">
        <v>0</v>
      </c>
      <c r="D466" s="137">
        <v>0.69</v>
      </c>
      <c r="E466" s="137">
        <v>-1.96</v>
      </c>
      <c r="F466" s="137">
        <v>0.28999999999999998</v>
      </c>
    </row>
    <row r="467" spans="2:6" ht="13.5" customHeight="1">
      <c r="B467" s="137">
        <v>196412</v>
      </c>
      <c r="C467" s="137">
        <v>0.03</v>
      </c>
      <c r="D467" s="137">
        <v>-0.35</v>
      </c>
      <c r="E467" s="137">
        <v>-2.48</v>
      </c>
      <c r="F467" s="137">
        <v>0.31</v>
      </c>
    </row>
    <row r="468" spans="2:6" ht="13.5" customHeight="1">
      <c r="B468" s="137">
        <v>196501</v>
      </c>
      <c r="C468" s="137">
        <v>3.54</v>
      </c>
      <c r="D468" s="137">
        <v>2.7</v>
      </c>
      <c r="E468" s="137">
        <v>0.12</v>
      </c>
      <c r="F468" s="137">
        <v>0.28000000000000003</v>
      </c>
    </row>
    <row r="469" spans="2:6" ht="13.5" customHeight="1">
      <c r="B469" s="137">
        <v>196502</v>
      </c>
      <c r="C469" s="137">
        <v>0.44</v>
      </c>
      <c r="D469" s="137">
        <v>3.55</v>
      </c>
      <c r="E469" s="137">
        <v>0.11</v>
      </c>
      <c r="F469" s="137">
        <v>0.3</v>
      </c>
    </row>
    <row r="470" spans="2:6" ht="13.5" customHeight="1">
      <c r="B470" s="137">
        <v>196503</v>
      </c>
      <c r="C470" s="137">
        <v>-1.34</v>
      </c>
      <c r="D470" s="137">
        <v>1.89</v>
      </c>
      <c r="E470" s="137">
        <v>1.03</v>
      </c>
      <c r="F470" s="137">
        <v>0.36</v>
      </c>
    </row>
    <row r="471" spans="2:6" ht="13.5" customHeight="1">
      <c r="B471" s="137">
        <v>196504</v>
      </c>
      <c r="C471" s="137">
        <v>3.11</v>
      </c>
      <c r="D471" s="137">
        <v>1.1000000000000001</v>
      </c>
      <c r="E471" s="137">
        <v>0.66</v>
      </c>
      <c r="F471" s="137">
        <v>0.31</v>
      </c>
    </row>
    <row r="472" spans="2:6" ht="13.5" customHeight="1">
      <c r="B472" s="137">
        <v>196505</v>
      </c>
      <c r="C472" s="137">
        <v>-0.77</v>
      </c>
      <c r="D472" s="137">
        <v>0.11</v>
      </c>
      <c r="E472" s="137">
        <v>-1.61</v>
      </c>
      <c r="F472" s="137">
        <v>0.31</v>
      </c>
    </row>
    <row r="473" spans="2:6" ht="13.5" customHeight="1">
      <c r="B473" s="137">
        <v>196506</v>
      </c>
      <c r="C473" s="137">
        <v>-5.51</v>
      </c>
      <c r="D473" s="137">
        <v>-4.34</v>
      </c>
      <c r="E473" s="137">
        <v>0.59</v>
      </c>
      <c r="F473" s="137">
        <v>0.35</v>
      </c>
    </row>
    <row r="474" spans="2:6" ht="13.5" customHeight="1">
      <c r="B474" s="137">
        <v>196507</v>
      </c>
      <c r="C474" s="137">
        <v>1.43</v>
      </c>
      <c r="D474" s="137">
        <v>0.89</v>
      </c>
      <c r="E474" s="137">
        <v>2.2000000000000002</v>
      </c>
      <c r="F474" s="137">
        <v>0.31</v>
      </c>
    </row>
    <row r="475" spans="2:6" ht="13.5" customHeight="1">
      <c r="B475" s="137">
        <v>196508</v>
      </c>
      <c r="C475" s="137">
        <v>2.73</v>
      </c>
      <c r="D475" s="137">
        <v>2.84</v>
      </c>
      <c r="E475" s="137">
        <v>-1</v>
      </c>
      <c r="F475" s="137">
        <v>0.33</v>
      </c>
    </row>
    <row r="476" spans="2:6" ht="13.5" customHeight="1">
      <c r="B476" s="137">
        <v>196509</v>
      </c>
      <c r="C476" s="137">
        <v>2.86</v>
      </c>
      <c r="D476" s="137">
        <v>0.64</v>
      </c>
      <c r="E476" s="137">
        <v>-0.13</v>
      </c>
      <c r="F476" s="137">
        <v>0.31</v>
      </c>
    </row>
    <row r="477" spans="2:6" ht="13.5" customHeight="1">
      <c r="B477" s="137">
        <v>196510</v>
      </c>
      <c r="C477" s="137">
        <v>2.6</v>
      </c>
      <c r="D477" s="137">
        <v>2.52</v>
      </c>
      <c r="E477" s="137">
        <v>1.56</v>
      </c>
      <c r="F477" s="137">
        <v>0.31</v>
      </c>
    </row>
    <row r="478" spans="2:6" ht="13.5" customHeight="1">
      <c r="B478" s="137">
        <v>196511</v>
      </c>
      <c r="C478" s="137">
        <v>-0.03</v>
      </c>
      <c r="D478" s="137">
        <v>4.68</v>
      </c>
      <c r="E478" s="137">
        <v>0.15</v>
      </c>
      <c r="F478" s="137">
        <v>0.35</v>
      </c>
    </row>
    <row r="479" spans="2:6" ht="13.5" customHeight="1">
      <c r="B479" s="137">
        <v>196512</v>
      </c>
      <c r="C479" s="137">
        <v>1.01</v>
      </c>
      <c r="D479" s="137">
        <v>2.06</v>
      </c>
      <c r="E479" s="137">
        <v>2.0299999999999998</v>
      </c>
      <c r="F479" s="137">
        <v>0.33</v>
      </c>
    </row>
    <row r="480" spans="2:6" ht="13.5" customHeight="1">
      <c r="B480" s="137">
        <v>196601</v>
      </c>
      <c r="C480" s="137">
        <v>0.72</v>
      </c>
      <c r="D480" s="137">
        <v>3.84</v>
      </c>
      <c r="E480" s="137">
        <v>3.56</v>
      </c>
      <c r="F480" s="137">
        <v>0.38</v>
      </c>
    </row>
    <row r="481" spans="2:6" ht="13.5" customHeight="1">
      <c r="B481" s="137">
        <v>196602</v>
      </c>
      <c r="C481" s="137">
        <v>-1.21</v>
      </c>
      <c r="D481" s="137">
        <v>4.4000000000000004</v>
      </c>
      <c r="E481" s="137">
        <v>0.33</v>
      </c>
      <c r="F481" s="137">
        <v>0.35</v>
      </c>
    </row>
    <row r="482" spans="2:6" ht="13.5" customHeight="1">
      <c r="B482" s="137">
        <v>196603</v>
      </c>
      <c r="C482" s="137">
        <v>-2.5099999999999998</v>
      </c>
      <c r="D482" s="137">
        <v>0.99</v>
      </c>
      <c r="E482" s="137">
        <v>-1.98</v>
      </c>
      <c r="F482" s="137">
        <v>0.38</v>
      </c>
    </row>
    <row r="483" spans="2:6" ht="13.5" customHeight="1">
      <c r="B483" s="137">
        <v>196604</v>
      </c>
      <c r="C483" s="137">
        <v>2.14</v>
      </c>
      <c r="D483" s="137">
        <v>3.43</v>
      </c>
      <c r="E483" s="137">
        <v>-0.46</v>
      </c>
      <c r="F483" s="137">
        <v>0.34</v>
      </c>
    </row>
    <row r="484" spans="2:6" ht="13.5" customHeight="1">
      <c r="B484" s="137">
        <v>196605</v>
      </c>
      <c r="C484" s="137">
        <v>-5.66</v>
      </c>
      <c r="D484" s="137">
        <v>-4.5999999999999996</v>
      </c>
      <c r="E484" s="137">
        <v>-1.63</v>
      </c>
      <c r="F484" s="137">
        <v>0.41</v>
      </c>
    </row>
    <row r="485" spans="2:6" ht="13.5" customHeight="1">
      <c r="B485" s="137">
        <v>196606</v>
      </c>
      <c r="C485" s="137">
        <v>-1.44</v>
      </c>
      <c r="D485" s="137">
        <v>1.03</v>
      </c>
      <c r="E485" s="137">
        <v>0.5</v>
      </c>
      <c r="F485" s="137">
        <v>0.38</v>
      </c>
    </row>
    <row r="486" spans="2:6" ht="13.5" customHeight="1">
      <c r="B486" s="137">
        <v>196607</v>
      </c>
      <c r="C486" s="137">
        <v>-1.63</v>
      </c>
      <c r="D486" s="137">
        <v>-0.36</v>
      </c>
      <c r="E486" s="137">
        <v>0.95</v>
      </c>
      <c r="F486" s="137">
        <v>0.35</v>
      </c>
    </row>
    <row r="487" spans="2:6" ht="13.5" customHeight="1">
      <c r="B487" s="137">
        <v>196608</v>
      </c>
      <c r="C487" s="137">
        <v>-7.91</v>
      </c>
      <c r="D487" s="137">
        <v>-3.27</v>
      </c>
      <c r="E487" s="137">
        <v>0.43</v>
      </c>
      <c r="F487" s="137">
        <v>0.41</v>
      </c>
    </row>
    <row r="488" spans="2:6" ht="13.5" customHeight="1">
      <c r="B488" s="137">
        <v>196609</v>
      </c>
      <c r="C488" s="137">
        <v>-1.06</v>
      </c>
      <c r="D488" s="137">
        <v>-1.04</v>
      </c>
      <c r="E488" s="137">
        <v>0.56000000000000005</v>
      </c>
      <c r="F488" s="137">
        <v>0.4</v>
      </c>
    </row>
    <row r="489" spans="2:6" ht="13.5" customHeight="1">
      <c r="B489" s="137">
        <v>196610</v>
      </c>
      <c r="C489" s="137">
        <v>3.86</v>
      </c>
      <c r="D489" s="137">
        <v>-6.52</v>
      </c>
      <c r="E489" s="137">
        <v>2.69</v>
      </c>
      <c r="F489" s="137">
        <v>0.45</v>
      </c>
    </row>
    <row r="490" spans="2:6" ht="13.5" customHeight="1">
      <c r="B490" s="137">
        <v>196611</v>
      </c>
      <c r="C490" s="137">
        <v>1.4</v>
      </c>
      <c r="D490" s="137">
        <v>4.24</v>
      </c>
      <c r="E490" s="137">
        <v>-4.6900000000000004</v>
      </c>
      <c r="F490" s="137">
        <v>0.4</v>
      </c>
    </row>
    <row r="491" spans="2:6" ht="13.5" customHeight="1">
      <c r="B491" s="137">
        <v>196612</v>
      </c>
      <c r="C491" s="137">
        <v>0.13</v>
      </c>
      <c r="D491" s="137">
        <v>1.97</v>
      </c>
      <c r="E491" s="137">
        <v>-1.19</v>
      </c>
      <c r="F491" s="137">
        <v>0.4</v>
      </c>
    </row>
    <row r="492" spans="2:6" ht="13.5" customHeight="1">
      <c r="B492" s="137">
        <v>196701</v>
      </c>
      <c r="C492" s="137">
        <v>8.15</v>
      </c>
      <c r="D492" s="137">
        <v>8.32</v>
      </c>
      <c r="E492" s="137">
        <v>2.27</v>
      </c>
      <c r="F492" s="137">
        <v>0.43</v>
      </c>
    </row>
    <row r="493" spans="2:6" ht="13.5" customHeight="1">
      <c r="B493" s="137">
        <v>196702</v>
      </c>
      <c r="C493" s="137">
        <v>0.78</v>
      </c>
      <c r="D493" s="137">
        <v>3.35</v>
      </c>
      <c r="E493" s="137">
        <v>-2.2200000000000002</v>
      </c>
      <c r="F493" s="137">
        <v>0.36</v>
      </c>
    </row>
    <row r="494" spans="2:6" ht="13.5" customHeight="1">
      <c r="B494" s="137">
        <v>196703</v>
      </c>
      <c r="C494" s="137">
        <v>3.99</v>
      </c>
      <c r="D494" s="137">
        <v>1.55</v>
      </c>
      <c r="E494" s="137">
        <v>0.37</v>
      </c>
      <c r="F494" s="137">
        <v>0.39</v>
      </c>
    </row>
    <row r="495" spans="2:6" ht="13.5" customHeight="1">
      <c r="B495" s="137">
        <v>196704</v>
      </c>
      <c r="C495" s="137">
        <v>3.89</v>
      </c>
      <c r="D495" s="137">
        <v>0.63</v>
      </c>
      <c r="E495" s="137">
        <v>-2.48</v>
      </c>
      <c r="F495" s="137">
        <v>0.32</v>
      </c>
    </row>
    <row r="496" spans="2:6" ht="13.5" customHeight="1">
      <c r="B496" s="137">
        <v>196705</v>
      </c>
      <c r="C496" s="137">
        <v>-4.33</v>
      </c>
      <c r="D496" s="137">
        <v>1.9</v>
      </c>
      <c r="E496" s="137">
        <v>1.0900000000000001</v>
      </c>
      <c r="F496" s="137">
        <v>0.33</v>
      </c>
    </row>
    <row r="497" spans="2:6" ht="13.5" customHeight="1">
      <c r="B497" s="137">
        <v>196706</v>
      </c>
      <c r="C497" s="137">
        <v>2.41</v>
      </c>
      <c r="D497" s="137">
        <v>5.93</v>
      </c>
      <c r="E497" s="137">
        <v>0.85</v>
      </c>
      <c r="F497" s="137">
        <v>0.27</v>
      </c>
    </row>
    <row r="498" spans="2:6" ht="13.5" customHeight="1">
      <c r="B498" s="137">
        <v>196707</v>
      </c>
      <c r="C498" s="137">
        <v>4.58</v>
      </c>
      <c r="D498" s="137">
        <v>3.12</v>
      </c>
      <c r="E498" s="137">
        <v>2.73</v>
      </c>
      <c r="F498" s="137">
        <v>0.31</v>
      </c>
    </row>
    <row r="499" spans="2:6" ht="13.5" customHeight="1">
      <c r="B499" s="137">
        <v>196708</v>
      </c>
      <c r="C499" s="137">
        <v>-0.89</v>
      </c>
      <c r="D499" s="137">
        <v>0.42</v>
      </c>
      <c r="E499" s="137">
        <v>1.44</v>
      </c>
      <c r="F499" s="137">
        <v>0.31</v>
      </c>
    </row>
    <row r="500" spans="2:6" ht="13.5" customHeight="1">
      <c r="B500" s="137">
        <v>196709</v>
      </c>
      <c r="C500" s="137">
        <v>3.11</v>
      </c>
      <c r="D500" s="137">
        <v>3.06</v>
      </c>
      <c r="E500" s="137">
        <v>-2.5</v>
      </c>
      <c r="F500" s="137">
        <v>0.32</v>
      </c>
    </row>
    <row r="501" spans="2:6" ht="13.5" customHeight="1">
      <c r="B501" s="137">
        <v>196710</v>
      </c>
      <c r="C501" s="137">
        <v>-3.09</v>
      </c>
      <c r="D501" s="137">
        <v>1.46</v>
      </c>
      <c r="E501" s="137">
        <v>-3.3</v>
      </c>
      <c r="F501" s="137">
        <v>0.39</v>
      </c>
    </row>
    <row r="502" spans="2:6" ht="13.5" customHeight="1">
      <c r="B502" s="137">
        <v>196711</v>
      </c>
      <c r="C502" s="137">
        <v>0.37</v>
      </c>
      <c r="D502" s="137">
        <v>0.21</v>
      </c>
      <c r="E502" s="137">
        <v>-1.7</v>
      </c>
      <c r="F502" s="137">
        <v>0.36</v>
      </c>
    </row>
    <row r="503" spans="2:6" ht="13.5" customHeight="1">
      <c r="B503" s="137">
        <v>196712</v>
      </c>
      <c r="C503" s="137">
        <v>3.05</v>
      </c>
      <c r="D503" s="137">
        <v>5.73</v>
      </c>
      <c r="E503" s="137">
        <v>-0.53</v>
      </c>
      <c r="F503" s="137">
        <v>0.33</v>
      </c>
    </row>
    <row r="504" spans="2:6" ht="13.5" customHeight="1">
      <c r="B504" s="137">
        <v>196801</v>
      </c>
      <c r="C504" s="137">
        <v>-4.0599999999999996</v>
      </c>
      <c r="D504" s="137">
        <v>3.92</v>
      </c>
      <c r="E504" s="137">
        <v>4.8</v>
      </c>
      <c r="F504" s="137">
        <v>0.4</v>
      </c>
    </row>
    <row r="505" spans="2:6" ht="13.5" customHeight="1">
      <c r="B505" s="137">
        <v>196802</v>
      </c>
      <c r="C505" s="137">
        <v>-3.75</v>
      </c>
      <c r="D505" s="137">
        <v>-2.94</v>
      </c>
      <c r="E505" s="137">
        <v>1.28</v>
      </c>
      <c r="F505" s="137">
        <v>0.39</v>
      </c>
    </row>
    <row r="506" spans="2:6" ht="13.5" customHeight="1">
      <c r="B506" s="137">
        <v>196803</v>
      </c>
      <c r="C506" s="137">
        <v>0.2</v>
      </c>
      <c r="D506" s="137">
        <v>-1.34</v>
      </c>
      <c r="E506" s="137">
        <v>-0.59</v>
      </c>
      <c r="F506" s="137">
        <v>0.38</v>
      </c>
    </row>
    <row r="507" spans="2:6" ht="13.5" customHeight="1">
      <c r="B507" s="137">
        <v>196804</v>
      </c>
      <c r="C507" s="137">
        <v>9.0500000000000007</v>
      </c>
      <c r="D507" s="137">
        <v>5.68</v>
      </c>
      <c r="E507" s="137">
        <v>-1.1299999999999999</v>
      </c>
      <c r="F507" s="137">
        <v>0.43</v>
      </c>
    </row>
    <row r="508" spans="2:6" ht="13.5" customHeight="1">
      <c r="B508" s="137">
        <v>196805</v>
      </c>
      <c r="C508" s="137">
        <v>2.2799999999999998</v>
      </c>
      <c r="D508" s="137">
        <v>6.4</v>
      </c>
      <c r="E508" s="137">
        <v>0.85</v>
      </c>
      <c r="F508" s="137">
        <v>0.45</v>
      </c>
    </row>
    <row r="509" spans="2:6" ht="13.5" customHeight="1">
      <c r="B509" s="137">
        <v>196806</v>
      </c>
      <c r="C509" s="137">
        <v>0.69</v>
      </c>
      <c r="D509" s="137">
        <v>-0.19</v>
      </c>
      <c r="E509" s="137">
        <v>0.73</v>
      </c>
      <c r="F509" s="137">
        <v>0.43</v>
      </c>
    </row>
    <row r="510" spans="2:6" ht="13.5" customHeight="1">
      <c r="B510" s="137">
        <v>196807</v>
      </c>
      <c r="C510" s="137">
        <v>-2.72</v>
      </c>
      <c r="D510" s="137">
        <v>-1.36</v>
      </c>
      <c r="E510" s="137">
        <v>5.39</v>
      </c>
      <c r="F510" s="137">
        <v>0.48</v>
      </c>
    </row>
    <row r="511" spans="2:6" ht="13.5" customHeight="1">
      <c r="B511" s="137">
        <v>196808</v>
      </c>
      <c r="C511" s="137">
        <v>1.34</v>
      </c>
      <c r="D511" s="137">
        <v>2.34</v>
      </c>
      <c r="E511" s="137">
        <v>1.01</v>
      </c>
      <c r="F511" s="137">
        <v>0.42</v>
      </c>
    </row>
    <row r="512" spans="2:6" ht="13.5" customHeight="1">
      <c r="B512" s="137">
        <v>196809</v>
      </c>
      <c r="C512" s="137">
        <v>4.03</v>
      </c>
      <c r="D512" s="137">
        <v>2.8</v>
      </c>
      <c r="E512" s="137">
        <v>0.3</v>
      </c>
      <c r="F512" s="137">
        <v>0.43</v>
      </c>
    </row>
    <row r="513" spans="2:6" ht="13.5" customHeight="1">
      <c r="B513" s="137">
        <v>196810</v>
      </c>
      <c r="C513" s="137">
        <v>0.42</v>
      </c>
      <c r="D513" s="137">
        <v>-0.48</v>
      </c>
      <c r="E513" s="137">
        <v>2.86</v>
      </c>
      <c r="F513" s="137">
        <v>0.44</v>
      </c>
    </row>
    <row r="514" spans="2:6" ht="13.5" customHeight="1">
      <c r="B514" s="137">
        <v>196811</v>
      </c>
      <c r="C514" s="137">
        <v>5.43</v>
      </c>
      <c r="D514" s="137">
        <v>2.34</v>
      </c>
      <c r="E514" s="137">
        <v>-0.92</v>
      </c>
      <c r="F514" s="137">
        <v>0.42</v>
      </c>
    </row>
    <row r="515" spans="2:6" ht="13.5" customHeight="1">
      <c r="B515" s="137">
        <v>196812</v>
      </c>
      <c r="C515" s="137">
        <v>-3.94</v>
      </c>
      <c r="D515" s="137">
        <v>3.37</v>
      </c>
      <c r="E515" s="137">
        <v>-0.01</v>
      </c>
      <c r="F515" s="137">
        <v>0.43</v>
      </c>
    </row>
    <row r="516" spans="2:6" ht="13.5" customHeight="1">
      <c r="B516" s="137">
        <v>196901</v>
      </c>
      <c r="C516" s="137">
        <v>-1.25</v>
      </c>
      <c r="D516" s="137">
        <v>-0.74</v>
      </c>
      <c r="E516" s="137">
        <v>1.67</v>
      </c>
      <c r="F516" s="137">
        <v>0.53</v>
      </c>
    </row>
    <row r="517" spans="2:6" ht="13.5" customHeight="1">
      <c r="B517" s="137">
        <v>196902</v>
      </c>
      <c r="C517" s="137">
        <v>-5.84</v>
      </c>
      <c r="D517" s="137">
        <v>-3.92</v>
      </c>
      <c r="E517" s="137">
        <v>0.91</v>
      </c>
      <c r="F517" s="137">
        <v>0.46</v>
      </c>
    </row>
    <row r="518" spans="2:6" ht="13.5" customHeight="1">
      <c r="B518" s="137">
        <v>196903</v>
      </c>
      <c r="C518" s="137">
        <v>2.64</v>
      </c>
      <c r="D518" s="137">
        <v>-0.3</v>
      </c>
      <c r="E518" s="137">
        <v>-0.51</v>
      </c>
      <c r="F518" s="137">
        <v>0.46</v>
      </c>
    </row>
    <row r="519" spans="2:6" ht="13.5" customHeight="1">
      <c r="B519" s="137">
        <v>196904</v>
      </c>
      <c r="C519" s="137">
        <v>1.46</v>
      </c>
      <c r="D519" s="137">
        <v>-0.86</v>
      </c>
      <c r="E519" s="137">
        <v>-0.03</v>
      </c>
      <c r="F519" s="137">
        <v>0.53</v>
      </c>
    </row>
    <row r="520" spans="2:6" ht="13.5" customHeight="1">
      <c r="B520" s="137">
        <v>196905</v>
      </c>
      <c r="C520" s="137">
        <v>-0.1</v>
      </c>
      <c r="D520" s="137">
        <v>-0.21</v>
      </c>
      <c r="E520" s="137">
        <v>0.7</v>
      </c>
      <c r="F520" s="137">
        <v>0.48</v>
      </c>
    </row>
    <row r="521" spans="2:6" ht="13.5" customHeight="1">
      <c r="B521" s="137">
        <v>196906</v>
      </c>
      <c r="C521" s="137">
        <v>-7.18</v>
      </c>
      <c r="D521" s="137">
        <v>-5.37</v>
      </c>
      <c r="E521" s="137">
        <v>-1.08</v>
      </c>
      <c r="F521" s="137">
        <v>0.51</v>
      </c>
    </row>
    <row r="522" spans="2:6" ht="13.5" customHeight="1">
      <c r="B522" s="137">
        <v>196907</v>
      </c>
      <c r="C522" s="137">
        <v>-7</v>
      </c>
      <c r="D522" s="137">
        <v>-3.24</v>
      </c>
      <c r="E522" s="137">
        <v>1.2</v>
      </c>
      <c r="F522" s="137">
        <v>0.53</v>
      </c>
    </row>
    <row r="523" spans="2:6" ht="13.5" customHeight="1">
      <c r="B523" s="137">
        <v>196908</v>
      </c>
      <c r="C523" s="137">
        <v>4.68</v>
      </c>
      <c r="D523" s="137">
        <v>0.93</v>
      </c>
      <c r="E523" s="137">
        <v>-3.79</v>
      </c>
      <c r="F523" s="137">
        <v>0.5</v>
      </c>
    </row>
    <row r="524" spans="2:6" ht="13.5" customHeight="1">
      <c r="B524" s="137">
        <v>196909</v>
      </c>
      <c r="C524" s="137">
        <v>-2.98</v>
      </c>
      <c r="D524" s="137">
        <v>1.18</v>
      </c>
      <c r="E524" s="137">
        <v>-3.27</v>
      </c>
      <c r="F524" s="137">
        <v>0.62</v>
      </c>
    </row>
    <row r="525" spans="2:6" ht="13.5" customHeight="1">
      <c r="B525" s="137">
        <v>196910</v>
      </c>
      <c r="C525" s="137">
        <v>5.0599999999999996</v>
      </c>
      <c r="D525" s="137">
        <v>3.91</v>
      </c>
      <c r="E525" s="137">
        <v>-3.16</v>
      </c>
      <c r="F525" s="137">
        <v>0.6</v>
      </c>
    </row>
    <row r="526" spans="2:6" ht="13.5" customHeight="1">
      <c r="B526" s="137">
        <v>196911</v>
      </c>
      <c r="C526" s="137">
        <v>-3.79</v>
      </c>
      <c r="D526" s="137">
        <v>-2.58</v>
      </c>
      <c r="E526" s="137">
        <v>-1.19</v>
      </c>
      <c r="F526" s="137">
        <v>0.52</v>
      </c>
    </row>
    <row r="527" spans="2:6" ht="13.5" customHeight="1">
      <c r="B527" s="137">
        <v>196912</v>
      </c>
      <c r="C527" s="137">
        <v>-2.63</v>
      </c>
      <c r="D527" s="137">
        <v>-3.71</v>
      </c>
      <c r="E527" s="137">
        <v>-2.86</v>
      </c>
      <c r="F527" s="137">
        <v>0.64</v>
      </c>
    </row>
    <row r="528" spans="2:6" ht="13.5" customHeight="1">
      <c r="B528" s="137">
        <v>197001</v>
      </c>
      <c r="C528" s="137">
        <v>-8.1</v>
      </c>
      <c r="D528" s="137">
        <v>2.93</v>
      </c>
      <c r="E528" s="137">
        <v>3.13</v>
      </c>
      <c r="F528" s="137">
        <v>0.6</v>
      </c>
    </row>
    <row r="529" spans="2:6" ht="13.5" customHeight="1">
      <c r="B529" s="137">
        <v>197002</v>
      </c>
      <c r="C529" s="137">
        <v>5.13</v>
      </c>
      <c r="D529" s="137">
        <v>-2.58</v>
      </c>
      <c r="E529" s="137">
        <v>3.93</v>
      </c>
      <c r="F529" s="137">
        <v>0.62</v>
      </c>
    </row>
    <row r="530" spans="2:6" ht="13.5" customHeight="1">
      <c r="B530" s="137">
        <v>197003</v>
      </c>
      <c r="C530" s="137">
        <v>-1.06</v>
      </c>
      <c r="D530" s="137">
        <v>-2.3199999999999998</v>
      </c>
      <c r="E530" s="137">
        <v>3.99</v>
      </c>
      <c r="F530" s="137">
        <v>0.56999999999999995</v>
      </c>
    </row>
    <row r="531" spans="2:6" ht="13.5" customHeight="1">
      <c r="B531" s="137">
        <v>197004</v>
      </c>
      <c r="C531" s="137">
        <v>-11</v>
      </c>
      <c r="D531" s="137">
        <v>-6.15</v>
      </c>
      <c r="E531" s="137">
        <v>6.18</v>
      </c>
      <c r="F531" s="137">
        <v>0.5</v>
      </c>
    </row>
    <row r="532" spans="2:6" ht="13.5" customHeight="1">
      <c r="B532" s="137">
        <v>197005</v>
      </c>
      <c r="C532" s="137">
        <v>-6.92</v>
      </c>
      <c r="D532" s="137">
        <v>-4.59</v>
      </c>
      <c r="E532" s="137">
        <v>3.33</v>
      </c>
      <c r="F532" s="137">
        <v>0.53</v>
      </c>
    </row>
    <row r="533" spans="2:6" ht="13.5" customHeight="1">
      <c r="B533" s="137">
        <v>197006</v>
      </c>
      <c r="C533" s="137">
        <v>-5.79</v>
      </c>
      <c r="D533" s="137">
        <v>-2.13</v>
      </c>
      <c r="E533" s="137">
        <v>0.6</v>
      </c>
      <c r="F533" s="137">
        <v>0.57999999999999996</v>
      </c>
    </row>
    <row r="534" spans="2:6" ht="13.5" customHeight="1">
      <c r="B534" s="137">
        <v>197007</v>
      </c>
      <c r="C534" s="137">
        <v>6.93</v>
      </c>
      <c r="D534" s="137">
        <v>-0.5</v>
      </c>
      <c r="E534" s="137">
        <v>0.9</v>
      </c>
      <c r="F534" s="137">
        <v>0.52</v>
      </c>
    </row>
    <row r="535" spans="2:6" ht="13.5" customHeight="1">
      <c r="B535" s="137">
        <v>197008</v>
      </c>
      <c r="C535" s="137">
        <v>4.49</v>
      </c>
      <c r="D535" s="137">
        <v>1.52</v>
      </c>
      <c r="E535" s="137">
        <v>1.1499999999999999</v>
      </c>
      <c r="F535" s="137">
        <v>0.53</v>
      </c>
    </row>
    <row r="536" spans="2:6" ht="13.5" customHeight="1">
      <c r="B536" s="137">
        <v>197009</v>
      </c>
      <c r="C536" s="137">
        <v>4.18</v>
      </c>
      <c r="D536" s="137">
        <v>8.59</v>
      </c>
      <c r="E536" s="137">
        <v>-5.47</v>
      </c>
      <c r="F536" s="137">
        <v>0.54</v>
      </c>
    </row>
    <row r="537" spans="2:6" ht="13.5" customHeight="1">
      <c r="B537" s="137">
        <v>197010</v>
      </c>
      <c r="C537" s="137">
        <v>-2.2799999999999998</v>
      </c>
      <c r="D537" s="137">
        <v>-4.21</v>
      </c>
      <c r="E537" s="137">
        <v>0.22</v>
      </c>
      <c r="F537" s="137">
        <v>0.46</v>
      </c>
    </row>
    <row r="538" spans="2:6" ht="13.5" customHeight="1">
      <c r="B538" s="137">
        <v>197011</v>
      </c>
      <c r="C538" s="137">
        <v>4.5999999999999996</v>
      </c>
      <c r="D538" s="137">
        <v>-3.94</v>
      </c>
      <c r="E538" s="137">
        <v>1.69</v>
      </c>
      <c r="F538" s="137">
        <v>0.46</v>
      </c>
    </row>
    <row r="539" spans="2:6" ht="13.5" customHeight="1">
      <c r="B539" s="137">
        <v>197012</v>
      </c>
      <c r="C539" s="137">
        <v>5.72</v>
      </c>
      <c r="D539" s="137">
        <v>2.92</v>
      </c>
      <c r="E539" s="137">
        <v>1</v>
      </c>
      <c r="F539" s="137">
        <v>0.42</v>
      </c>
    </row>
    <row r="540" spans="2:6" ht="13.5" customHeight="1">
      <c r="B540" s="137">
        <v>197101</v>
      </c>
      <c r="C540" s="137">
        <v>4.84</v>
      </c>
      <c r="D540" s="137">
        <v>7.36</v>
      </c>
      <c r="E540" s="137">
        <v>1.33</v>
      </c>
      <c r="F540" s="137">
        <v>0.38</v>
      </c>
    </row>
    <row r="541" spans="2:6" ht="13.5" customHeight="1">
      <c r="B541" s="137">
        <v>197102</v>
      </c>
      <c r="C541" s="137">
        <v>1.41</v>
      </c>
      <c r="D541" s="137">
        <v>1.86</v>
      </c>
      <c r="E541" s="137">
        <v>-1.23</v>
      </c>
      <c r="F541" s="137">
        <v>0.33</v>
      </c>
    </row>
    <row r="542" spans="2:6" ht="13.5" customHeight="1">
      <c r="B542" s="137">
        <v>197103</v>
      </c>
      <c r="C542" s="137">
        <v>4.13</v>
      </c>
      <c r="D542" s="137">
        <v>2.62</v>
      </c>
      <c r="E542" s="137">
        <v>-3.95</v>
      </c>
      <c r="F542" s="137">
        <v>0.3</v>
      </c>
    </row>
    <row r="543" spans="2:6" ht="13.5" customHeight="1">
      <c r="B543" s="137">
        <v>197104</v>
      </c>
      <c r="C543" s="137">
        <v>3.15</v>
      </c>
      <c r="D543" s="137">
        <v>-0.49</v>
      </c>
      <c r="E543" s="137">
        <v>0.69</v>
      </c>
      <c r="F543" s="137">
        <v>0.28000000000000003</v>
      </c>
    </row>
    <row r="544" spans="2:6" ht="13.5" customHeight="1">
      <c r="B544" s="137">
        <v>197105</v>
      </c>
      <c r="C544" s="137">
        <v>-3.98</v>
      </c>
      <c r="D544" s="137">
        <v>-1.04</v>
      </c>
      <c r="E544" s="137">
        <v>-1.44</v>
      </c>
      <c r="F544" s="137">
        <v>0.28999999999999998</v>
      </c>
    </row>
    <row r="545" spans="2:6" ht="13.5" customHeight="1">
      <c r="B545" s="137">
        <v>197106</v>
      </c>
      <c r="C545" s="137">
        <v>-0.1</v>
      </c>
      <c r="D545" s="137">
        <v>-1.47</v>
      </c>
      <c r="E545" s="137">
        <v>-1.87</v>
      </c>
      <c r="F545" s="137">
        <v>0.37</v>
      </c>
    </row>
    <row r="546" spans="2:6" ht="13.5" customHeight="1">
      <c r="B546" s="137">
        <v>197107</v>
      </c>
      <c r="C546" s="137">
        <v>-4.5</v>
      </c>
      <c r="D546" s="137">
        <v>-1.48</v>
      </c>
      <c r="E546" s="137">
        <v>0.02</v>
      </c>
      <c r="F546" s="137">
        <v>0.4</v>
      </c>
    </row>
    <row r="547" spans="2:6" ht="13.5" customHeight="1">
      <c r="B547" s="137">
        <v>197108</v>
      </c>
      <c r="C547" s="137">
        <v>3.79</v>
      </c>
      <c r="D547" s="137">
        <v>-0.17</v>
      </c>
      <c r="E547" s="137">
        <v>2.63</v>
      </c>
      <c r="F547" s="137">
        <v>0.47</v>
      </c>
    </row>
    <row r="548" spans="2:6" ht="13.5" customHeight="1">
      <c r="B548" s="137">
        <v>197109</v>
      </c>
      <c r="C548" s="137">
        <v>-0.85</v>
      </c>
      <c r="D548" s="137">
        <v>0.51</v>
      </c>
      <c r="E548" s="137">
        <v>-2.91</v>
      </c>
      <c r="F548" s="137">
        <v>0.37</v>
      </c>
    </row>
    <row r="549" spans="2:6" ht="13.5" customHeight="1">
      <c r="B549" s="137">
        <v>197110</v>
      </c>
      <c r="C549" s="137">
        <v>-4.42</v>
      </c>
      <c r="D549" s="137">
        <v>-1.76</v>
      </c>
      <c r="E549" s="137">
        <v>-0.48</v>
      </c>
      <c r="F549" s="137">
        <v>0.37</v>
      </c>
    </row>
    <row r="550" spans="2:6" ht="13.5" customHeight="1">
      <c r="B550" s="137">
        <v>197111</v>
      </c>
      <c r="C550" s="137">
        <v>-0.46</v>
      </c>
      <c r="D550" s="137">
        <v>-2.77</v>
      </c>
      <c r="E550" s="137">
        <v>-1.68</v>
      </c>
      <c r="F550" s="137">
        <v>0.37</v>
      </c>
    </row>
    <row r="551" spans="2:6" ht="13.5" customHeight="1">
      <c r="B551" s="137">
        <v>197112</v>
      </c>
      <c r="C551" s="137">
        <v>8.7100000000000009</v>
      </c>
      <c r="D551" s="137">
        <v>3.29</v>
      </c>
      <c r="E551" s="137">
        <v>-0.4</v>
      </c>
      <c r="F551" s="137">
        <v>0.37</v>
      </c>
    </row>
    <row r="552" spans="2:6" ht="13.5" customHeight="1">
      <c r="B552" s="137">
        <v>197201</v>
      </c>
      <c r="C552" s="137">
        <v>2.4900000000000002</v>
      </c>
      <c r="D552" s="137">
        <v>5.85</v>
      </c>
      <c r="E552" s="137">
        <v>2.2400000000000002</v>
      </c>
      <c r="F552" s="137">
        <v>0.28999999999999998</v>
      </c>
    </row>
    <row r="553" spans="2:6" ht="13.5" customHeight="1">
      <c r="B553" s="137">
        <v>197202</v>
      </c>
      <c r="C553" s="137">
        <v>2.87</v>
      </c>
      <c r="D553" s="137">
        <v>1.3</v>
      </c>
      <c r="E553" s="137">
        <v>-2.79</v>
      </c>
      <c r="F553" s="137">
        <v>0.25</v>
      </c>
    </row>
    <row r="554" spans="2:6" ht="13.5" customHeight="1">
      <c r="B554" s="137">
        <v>197203</v>
      </c>
      <c r="C554" s="137">
        <v>0.63</v>
      </c>
      <c r="D554" s="137">
        <v>-0.24</v>
      </c>
      <c r="E554" s="137">
        <v>-1.61</v>
      </c>
      <c r="F554" s="137">
        <v>0.27</v>
      </c>
    </row>
    <row r="555" spans="2:6" ht="13.5" customHeight="1">
      <c r="B555" s="137">
        <v>197204</v>
      </c>
      <c r="C555" s="137">
        <v>0.28999999999999998</v>
      </c>
      <c r="D555" s="137">
        <v>0.11</v>
      </c>
      <c r="E555" s="137">
        <v>0.12</v>
      </c>
      <c r="F555" s="137">
        <v>0.28999999999999998</v>
      </c>
    </row>
    <row r="556" spans="2:6" ht="13.5" customHeight="1">
      <c r="B556" s="137">
        <v>197205</v>
      </c>
      <c r="C556" s="137">
        <v>1.25</v>
      </c>
      <c r="D556" s="137">
        <v>-2.69</v>
      </c>
      <c r="E556" s="137">
        <v>-2.7</v>
      </c>
      <c r="F556" s="137">
        <v>0.3</v>
      </c>
    </row>
    <row r="557" spans="2:6" ht="13.5" customHeight="1">
      <c r="B557" s="137">
        <v>197206</v>
      </c>
      <c r="C557" s="137">
        <v>-2.4300000000000002</v>
      </c>
      <c r="D557" s="137">
        <v>0.27</v>
      </c>
      <c r="E557" s="137">
        <v>-2.48</v>
      </c>
      <c r="F557" s="137">
        <v>0.28999999999999998</v>
      </c>
    </row>
    <row r="558" spans="2:6" ht="13.5" customHeight="1">
      <c r="B558" s="137">
        <v>197207</v>
      </c>
      <c r="C558" s="137">
        <v>-0.8</v>
      </c>
      <c r="D558" s="137">
        <v>-2.87</v>
      </c>
      <c r="E558" s="137">
        <v>0.66</v>
      </c>
      <c r="F558" s="137">
        <v>0.31</v>
      </c>
    </row>
    <row r="559" spans="2:6" ht="13.5" customHeight="1">
      <c r="B559" s="137">
        <v>197208</v>
      </c>
      <c r="C559" s="137">
        <v>3.26</v>
      </c>
      <c r="D559" s="137">
        <v>-4.03</v>
      </c>
      <c r="E559" s="137">
        <v>4.54</v>
      </c>
      <c r="F559" s="137">
        <v>0.28999999999999998</v>
      </c>
    </row>
    <row r="560" spans="2:6" ht="13.5" customHeight="1">
      <c r="B560" s="137">
        <v>197209</v>
      </c>
      <c r="C560" s="137">
        <v>-1.1399999999999999</v>
      </c>
      <c r="D560" s="137">
        <v>-2.65</v>
      </c>
      <c r="E560" s="137">
        <v>0.46</v>
      </c>
      <c r="F560" s="137">
        <v>0.34</v>
      </c>
    </row>
    <row r="561" spans="2:6" ht="13.5" customHeight="1">
      <c r="B561" s="137">
        <v>197210</v>
      </c>
      <c r="C561" s="137">
        <v>0.52</v>
      </c>
      <c r="D561" s="137">
        <v>-2.73</v>
      </c>
      <c r="E561" s="137">
        <v>1.34</v>
      </c>
      <c r="F561" s="137">
        <v>0.4</v>
      </c>
    </row>
    <row r="562" spans="2:6" ht="13.5" customHeight="1">
      <c r="B562" s="137">
        <v>197211</v>
      </c>
      <c r="C562" s="137">
        <v>4.5999999999999996</v>
      </c>
      <c r="D562" s="137">
        <v>-1.2</v>
      </c>
      <c r="E562" s="137">
        <v>4.8499999999999996</v>
      </c>
      <c r="F562" s="137">
        <v>0.37</v>
      </c>
    </row>
    <row r="563" spans="2:6" ht="13.5" customHeight="1">
      <c r="B563" s="137">
        <v>197212</v>
      </c>
      <c r="C563" s="137">
        <v>0.62</v>
      </c>
      <c r="D563" s="137">
        <v>-1.95</v>
      </c>
      <c r="E563" s="137">
        <v>-2.19</v>
      </c>
      <c r="F563" s="137">
        <v>0.37</v>
      </c>
    </row>
    <row r="564" spans="2:6" ht="13.5" customHeight="1">
      <c r="B564" s="137">
        <v>197301</v>
      </c>
      <c r="C564" s="137">
        <v>-3.29</v>
      </c>
      <c r="D564" s="137">
        <v>-3.49</v>
      </c>
      <c r="E564" s="137">
        <v>2.68</v>
      </c>
      <c r="F564" s="137">
        <v>0.44</v>
      </c>
    </row>
    <row r="565" spans="2:6" ht="13.5" customHeight="1">
      <c r="B565" s="137">
        <v>197302</v>
      </c>
      <c r="C565" s="137">
        <v>-4.8499999999999996</v>
      </c>
      <c r="D565" s="137">
        <v>-3.87</v>
      </c>
      <c r="E565" s="137">
        <v>1.6</v>
      </c>
      <c r="F565" s="137">
        <v>0.41</v>
      </c>
    </row>
    <row r="566" spans="2:6" ht="13.5" customHeight="1">
      <c r="B566" s="137">
        <v>197303</v>
      </c>
      <c r="C566" s="137">
        <v>-1.3</v>
      </c>
      <c r="D566" s="137">
        <v>-2.82</v>
      </c>
      <c r="E566" s="137">
        <v>2.62</v>
      </c>
      <c r="F566" s="137">
        <v>0.46</v>
      </c>
    </row>
    <row r="567" spans="2:6" ht="13.5" customHeight="1">
      <c r="B567" s="137">
        <v>197304</v>
      </c>
      <c r="C567" s="137">
        <v>-5.68</v>
      </c>
      <c r="D567" s="137">
        <v>-3.85</v>
      </c>
      <c r="E567" s="137">
        <v>5.41</v>
      </c>
      <c r="F567" s="137">
        <v>0.52</v>
      </c>
    </row>
    <row r="568" spans="2:6" ht="13.5" customHeight="1">
      <c r="B568" s="137">
        <v>197305</v>
      </c>
      <c r="C568" s="137">
        <v>-2.94</v>
      </c>
      <c r="D568" s="137">
        <v>-6.3</v>
      </c>
      <c r="E568" s="137">
        <v>0.41</v>
      </c>
      <c r="F568" s="137">
        <v>0.51</v>
      </c>
    </row>
    <row r="569" spans="2:6" ht="13.5" customHeight="1">
      <c r="B569" s="137">
        <v>197306</v>
      </c>
      <c r="C569" s="137">
        <v>-1.57</v>
      </c>
      <c r="D569" s="137">
        <v>-2.86</v>
      </c>
      <c r="E569" s="137">
        <v>1.2</v>
      </c>
      <c r="F569" s="137">
        <v>0.51</v>
      </c>
    </row>
    <row r="570" spans="2:6" ht="13.5" customHeight="1">
      <c r="B570" s="137">
        <v>197307</v>
      </c>
      <c r="C570" s="137">
        <v>5.05</v>
      </c>
      <c r="D570" s="137">
        <v>7.97</v>
      </c>
      <c r="E570" s="137">
        <v>-5.31</v>
      </c>
      <c r="F570" s="137">
        <v>0.64</v>
      </c>
    </row>
    <row r="571" spans="2:6" ht="13.5" customHeight="1">
      <c r="B571" s="137">
        <v>197308</v>
      </c>
      <c r="C571" s="137">
        <v>-3.82</v>
      </c>
      <c r="D571" s="137">
        <v>-2.13</v>
      </c>
      <c r="E571" s="137">
        <v>1.24</v>
      </c>
      <c r="F571" s="137">
        <v>0.7</v>
      </c>
    </row>
    <row r="572" spans="2:6" ht="13.5" customHeight="1">
      <c r="B572" s="137">
        <v>197309</v>
      </c>
      <c r="C572" s="137">
        <v>4.75</v>
      </c>
      <c r="D572" s="137">
        <v>3.04</v>
      </c>
      <c r="E572" s="137">
        <v>2.0099999999999998</v>
      </c>
      <c r="F572" s="137">
        <v>0.68</v>
      </c>
    </row>
    <row r="573" spans="2:6" ht="13.5" customHeight="1">
      <c r="B573" s="137">
        <v>197310</v>
      </c>
      <c r="C573" s="137">
        <v>-0.83</v>
      </c>
      <c r="D573" s="137">
        <v>-0.45</v>
      </c>
      <c r="E573" s="137">
        <v>1.94</v>
      </c>
      <c r="F573" s="137">
        <v>0.65</v>
      </c>
    </row>
    <row r="574" spans="2:6" ht="13.5" customHeight="1">
      <c r="B574" s="137">
        <v>197311</v>
      </c>
      <c r="C574" s="137">
        <v>-12.75</v>
      </c>
      <c r="D574" s="137">
        <v>-7.67</v>
      </c>
      <c r="E574" s="137">
        <v>3.87</v>
      </c>
      <c r="F574" s="137">
        <v>0.56000000000000005</v>
      </c>
    </row>
    <row r="575" spans="2:6" ht="13.5" customHeight="1">
      <c r="B575" s="137">
        <v>197312</v>
      </c>
      <c r="C575" s="137">
        <v>0.61</v>
      </c>
      <c r="D575" s="137">
        <v>-5.35</v>
      </c>
      <c r="E575" s="137">
        <v>3.85</v>
      </c>
      <c r="F575" s="137">
        <v>0.64</v>
      </c>
    </row>
    <row r="576" spans="2:6" ht="13.5" customHeight="1">
      <c r="B576" s="137">
        <v>197401</v>
      </c>
      <c r="C576" s="137">
        <v>-0.17</v>
      </c>
      <c r="D576" s="137">
        <v>9.68</v>
      </c>
      <c r="E576" s="137">
        <v>6.02</v>
      </c>
      <c r="F576" s="137">
        <v>0.63</v>
      </c>
    </row>
    <row r="577" spans="2:6" ht="13.5" customHeight="1">
      <c r="B577" s="137">
        <v>197402</v>
      </c>
      <c r="C577" s="137">
        <v>-0.47</v>
      </c>
      <c r="D577" s="137">
        <v>-0.18</v>
      </c>
      <c r="E577" s="137">
        <v>2.81</v>
      </c>
      <c r="F577" s="137">
        <v>0.57999999999999996</v>
      </c>
    </row>
    <row r="578" spans="2:6" ht="13.5" customHeight="1">
      <c r="B578" s="137">
        <v>197403</v>
      </c>
      <c r="C578" s="137">
        <v>-2.81</v>
      </c>
      <c r="D578" s="137">
        <v>2.6</v>
      </c>
      <c r="E578" s="137">
        <v>-0.32</v>
      </c>
      <c r="F578" s="137">
        <v>0.56000000000000005</v>
      </c>
    </row>
    <row r="579" spans="2:6" ht="13.5" customHeight="1">
      <c r="B579" s="137">
        <v>197404</v>
      </c>
      <c r="C579" s="137">
        <v>-5.29</v>
      </c>
      <c r="D579" s="137">
        <v>-0.74</v>
      </c>
      <c r="E579" s="137">
        <v>0.85</v>
      </c>
      <c r="F579" s="137">
        <v>0.75</v>
      </c>
    </row>
    <row r="580" spans="2:6" ht="13.5" customHeight="1">
      <c r="B580" s="137">
        <v>197405</v>
      </c>
      <c r="C580" s="137">
        <v>-4.68</v>
      </c>
      <c r="D580" s="137">
        <v>-2.96</v>
      </c>
      <c r="E580" s="137">
        <v>-2.02</v>
      </c>
      <c r="F580" s="137">
        <v>0.75</v>
      </c>
    </row>
    <row r="581" spans="2:6" ht="13.5" customHeight="1">
      <c r="B581" s="137">
        <v>197406</v>
      </c>
      <c r="C581" s="137">
        <v>-2.83</v>
      </c>
      <c r="D581" s="137">
        <v>-0.17</v>
      </c>
      <c r="E581" s="137">
        <v>0.77</v>
      </c>
      <c r="F581" s="137">
        <v>0.6</v>
      </c>
    </row>
    <row r="582" spans="2:6" ht="13.5" customHeight="1">
      <c r="B582" s="137">
        <v>197407</v>
      </c>
      <c r="C582" s="137">
        <v>-8.0500000000000007</v>
      </c>
      <c r="D582" s="137">
        <v>0.84</v>
      </c>
      <c r="E582" s="137">
        <v>5.16</v>
      </c>
      <c r="F582" s="137">
        <v>0.7</v>
      </c>
    </row>
    <row r="583" spans="2:6" ht="13.5" customHeight="1">
      <c r="B583" s="137">
        <v>197408</v>
      </c>
      <c r="C583" s="137">
        <v>-9.35</v>
      </c>
      <c r="D583" s="137">
        <v>-0.73</v>
      </c>
      <c r="E583" s="137">
        <v>2.64</v>
      </c>
      <c r="F583" s="137">
        <v>0.6</v>
      </c>
    </row>
    <row r="584" spans="2:6" ht="13.5" customHeight="1">
      <c r="B584" s="137">
        <v>197409</v>
      </c>
      <c r="C584" s="137">
        <v>-11.77</v>
      </c>
      <c r="D584" s="137">
        <v>0.27</v>
      </c>
      <c r="E584" s="137">
        <v>5.58</v>
      </c>
      <c r="F584" s="137">
        <v>0.81</v>
      </c>
    </row>
    <row r="585" spans="2:6" ht="13.5" customHeight="1">
      <c r="B585" s="137">
        <v>197410</v>
      </c>
      <c r="C585" s="137">
        <v>16.100000000000001</v>
      </c>
      <c r="D585" s="137">
        <v>-3.46</v>
      </c>
      <c r="E585" s="137">
        <v>-9.8699999999999992</v>
      </c>
      <c r="F585" s="137">
        <v>0.51</v>
      </c>
    </row>
    <row r="586" spans="2:6" ht="13.5" customHeight="1">
      <c r="B586" s="137">
        <v>197411</v>
      </c>
      <c r="C586" s="137">
        <v>-4.51</v>
      </c>
      <c r="D586" s="137">
        <v>-1.21</v>
      </c>
      <c r="E586" s="137">
        <v>-0.2</v>
      </c>
      <c r="F586" s="137">
        <v>0.54</v>
      </c>
    </row>
    <row r="587" spans="2:6" ht="13.5" customHeight="1">
      <c r="B587" s="137">
        <v>197412</v>
      </c>
      <c r="C587" s="137">
        <v>-3.45</v>
      </c>
      <c r="D587" s="137">
        <v>-4.83</v>
      </c>
      <c r="E587" s="137">
        <v>0.11</v>
      </c>
      <c r="F587" s="137">
        <v>0.7</v>
      </c>
    </row>
    <row r="588" spans="2:6" ht="13.5" customHeight="1">
      <c r="B588" s="137">
        <v>197501</v>
      </c>
      <c r="C588" s="137">
        <v>13.66</v>
      </c>
      <c r="D588" s="137">
        <v>11.14</v>
      </c>
      <c r="E588" s="137">
        <v>8.2799999999999994</v>
      </c>
      <c r="F588" s="137">
        <v>0.57999999999999996</v>
      </c>
    </row>
    <row r="589" spans="2:6" ht="13.5" customHeight="1">
      <c r="B589" s="137">
        <v>197502</v>
      </c>
      <c r="C589" s="137">
        <v>5.56</v>
      </c>
      <c r="D589" s="137">
        <v>0.16</v>
      </c>
      <c r="E589" s="137">
        <v>-4.4400000000000004</v>
      </c>
      <c r="F589" s="137">
        <v>0.43</v>
      </c>
    </row>
    <row r="590" spans="2:6" ht="13.5" customHeight="1">
      <c r="B590" s="137">
        <v>197503</v>
      </c>
      <c r="C590" s="137">
        <v>2.66</v>
      </c>
      <c r="D590" s="137">
        <v>3.78</v>
      </c>
      <c r="E590" s="137">
        <v>2.38</v>
      </c>
      <c r="F590" s="137">
        <v>0.41</v>
      </c>
    </row>
    <row r="591" spans="2:6" ht="13.5" customHeight="1">
      <c r="B591" s="137">
        <v>197504</v>
      </c>
      <c r="C591" s="137">
        <v>4.2300000000000004</v>
      </c>
      <c r="D591" s="137">
        <v>-0.65</v>
      </c>
      <c r="E591" s="137">
        <v>-1.1399999999999999</v>
      </c>
      <c r="F591" s="137">
        <v>0.44</v>
      </c>
    </row>
    <row r="592" spans="2:6" ht="13.5" customHeight="1">
      <c r="B592" s="137">
        <v>197505</v>
      </c>
      <c r="C592" s="137">
        <v>5.19</v>
      </c>
      <c r="D592" s="137">
        <v>3.83</v>
      </c>
      <c r="E592" s="137">
        <v>-4.0999999999999996</v>
      </c>
      <c r="F592" s="137">
        <v>0.44</v>
      </c>
    </row>
    <row r="593" spans="2:6" ht="13.5" customHeight="1">
      <c r="B593" s="137">
        <v>197506</v>
      </c>
      <c r="C593" s="137">
        <v>4.83</v>
      </c>
      <c r="D593" s="137">
        <v>0.87</v>
      </c>
      <c r="E593" s="137">
        <v>1.38</v>
      </c>
      <c r="F593" s="137">
        <v>0.41</v>
      </c>
    </row>
    <row r="594" spans="2:6" ht="13.5" customHeight="1">
      <c r="B594" s="137">
        <v>197507</v>
      </c>
      <c r="C594" s="137">
        <v>-6.59</v>
      </c>
      <c r="D594" s="137">
        <v>2.7</v>
      </c>
      <c r="E594" s="137">
        <v>1.69</v>
      </c>
      <c r="F594" s="137">
        <v>0.48</v>
      </c>
    </row>
    <row r="595" spans="2:6" ht="13.5" customHeight="1">
      <c r="B595" s="137">
        <v>197508</v>
      </c>
      <c r="C595" s="137">
        <v>-2.85</v>
      </c>
      <c r="D595" s="137">
        <v>-3.25</v>
      </c>
      <c r="E595" s="137">
        <v>-0.95</v>
      </c>
      <c r="F595" s="137">
        <v>0.48</v>
      </c>
    </row>
    <row r="596" spans="2:6" ht="13.5" customHeight="1">
      <c r="B596" s="137">
        <v>197509</v>
      </c>
      <c r="C596" s="137">
        <v>-4.26</v>
      </c>
      <c r="D596" s="137">
        <v>-0.1</v>
      </c>
      <c r="E596" s="137">
        <v>0.39</v>
      </c>
      <c r="F596" s="137">
        <v>0.53</v>
      </c>
    </row>
    <row r="597" spans="2:6" ht="13.5" customHeight="1">
      <c r="B597" s="137">
        <v>197510</v>
      </c>
      <c r="C597" s="137">
        <v>5.31</v>
      </c>
      <c r="D597" s="137">
        <v>-4.03</v>
      </c>
      <c r="E597" s="137">
        <v>0.28000000000000003</v>
      </c>
      <c r="F597" s="137">
        <v>0.56000000000000005</v>
      </c>
    </row>
    <row r="598" spans="2:6" ht="13.5" customHeight="1">
      <c r="B598" s="137">
        <v>197511</v>
      </c>
      <c r="C598" s="137">
        <v>2.64</v>
      </c>
      <c r="D598" s="137">
        <v>-1.2</v>
      </c>
      <c r="E598" s="137">
        <v>2.0299999999999998</v>
      </c>
      <c r="F598" s="137">
        <v>0.41</v>
      </c>
    </row>
    <row r="599" spans="2:6" ht="13.5" customHeight="1">
      <c r="B599" s="137">
        <v>197512</v>
      </c>
      <c r="C599" s="137">
        <v>-1.6</v>
      </c>
      <c r="D599" s="137">
        <v>-0.78</v>
      </c>
      <c r="E599" s="137">
        <v>1.69</v>
      </c>
      <c r="F599" s="137">
        <v>0.48</v>
      </c>
    </row>
    <row r="600" spans="2:6" ht="13.5" customHeight="1">
      <c r="B600" s="137">
        <v>197601</v>
      </c>
      <c r="C600" s="137">
        <v>12.16</v>
      </c>
      <c r="D600" s="137">
        <v>4.8099999999999996</v>
      </c>
      <c r="E600" s="137">
        <v>8.6300000000000008</v>
      </c>
      <c r="F600" s="137">
        <v>0.47</v>
      </c>
    </row>
    <row r="601" spans="2:6" ht="13.5" customHeight="1">
      <c r="B601" s="137">
        <v>197602</v>
      </c>
      <c r="C601" s="137">
        <v>0.32</v>
      </c>
      <c r="D601" s="137">
        <v>7.06</v>
      </c>
      <c r="E601" s="137">
        <v>5.87</v>
      </c>
      <c r="F601" s="137">
        <v>0.34</v>
      </c>
    </row>
    <row r="602" spans="2:6" ht="13.5" customHeight="1">
      <c r="B602" s="137">
        <v>197603</v>
      </c>
      <c r="C602" s="137">
        <v>2.3199999999999998</v>
      </c>
      <c r="D602" s="137">
        <v>-1.1599999999999999</v>
      </c>
      <c r="E602" s="137">
        <v>-0.12</v>
      </c>
      <c r="F602" s="137">
        <v>0.4</v>
      </c>
    </row>
    <row r="603" spans="2:6" ht="13.5" customHeight="1">
      <c r="B603" s="137">
        <v>197604</v>
      </c>
      <c r="C603" s="137">
        <v>-1.49</v>
      </c>
      <c r="D603" s="137">
        <v>-0.11</v>
      </c>
      <c r="E603" s="137">
        <v>-0.16</v>
      </c>
      <c r="F603" s="137">
        <v>0.42</v>
      </c>
    </row>
    <row r="604" spans="2:6" ht="13.5" customHeight="1">
      <c r="B604" s="137">
        <v>197605</v>
      </c>
      <c r="C604" s="137">
        <v>-1.34</v>
      </c>
      <c r="D604" s="137">
        <v>-1.23</v>
      </c>
      <c r="E604" s="137">
        <v>-1.36</v>
      </c>
      <c r="F604" s="137">
        <v>0.37</v>
      </c>
    </row>
    <row r="605" spans="2:6" ht="13.5" customHeight="1">
      <c r="B605" s="137">
        <v>197606</v>
      </c>
      <c r="C605" s="137">
        <v>4.05</v>
      </c>
      <c r="D605" s="137">
        <v>-1.32</v>
      </c>
      <c r="E605" s="137">
        <v>0.71</v>
      </c>
      <c r="F605" s="137">
        <v>0.43</v>
      </c>
    </row>
    <row r="606" spans="2:6" ht="13.5" customHeight="1">
      <c r="B606" s="137">
        <v>197607</v>
      </c>
      <c r="C606" s="137">
        <v>-1.07</v>
      </c>
      <c r="D606" s="137">
        <v>0.28999999999999998</v>
      </c>
      <c r="E606" s="137">
        <v>1.73</v>
      </c>
      <c r="F606" s="137">
        <v>0.47</v>
      </c>
    </row>
    <row r="607" spans="2:6" ht="13.5" customHeight="1">
      <c r="B607" s="137">
        <v>197608</v>
      </c>
      <c r="C607" s="137">
        <v>-0.56000000000000005</v>
      </c>
      <c r="D607" s="137">
        <v>-2</v>
      </c>
      <c r="E607" s="137">
        <v>0.81</v>
      </c>
      <c r="F607" s="137">
        <v>0.42</v>
      </c>
    </row>
    <row r="608" spans="2:6" ht="13.5" customHeight="1">
      <c r="B608" s="137">
        <v>197609</v>
      </c>
      <c r="C608" s="137">
        <v>2.0699999999999998</v>
      </c>
      <c r="D608" s="137">
        <v>-0.02</v>
      </c>
      <c r="E608" s="137">
        <v>-0.28999999999999998</v>
      </c>
      <c r="F608" s="137">
        <v>0.44</v>
      </c>
    </row>
    <row r="609" spans="2:6" ht="13.5" customHeight="1">
      <c r="B609" s="137">
        <v>197610</v>
      </c>
      <c r="C609" s="137">
        <v>-2.42</v>
      </c>
      <c r="D609" s="137">
        <v>0.22</v>
      </c>
      <c r="E609" s="137">
        <v>-0.18</v>
      </c>
      <c r="F609" s="137">
        <v>0.41</v>
      </c>
    </row>
    <row r="610" spans="2:6" ht="13.5" customHeight="1">
      <c r="B610" s="137">
        <v>197611</v>
      </c>
      <c r="C610" s="137">
        <v>0.36</v>
      </c>
      <c r="D610" s="137">
        <v>2.3199999999999998</v>
      </c>
      <c r="E610" s="137">
        <v>1.51</v>
      </c>
      <c r="F610" s="137">
        <v>0.4</v>
      </c>
    </row>
    <row r="611" spans="2:6" ht="13.5" customHeight="1">
      <c r="B611" s="137">
        <v>197612</v>
      </c>
      <c r="C611" s="137">
        <v>5.65</v>
      </c>
      <c r="D611" s="137">
        <v>3.03</v>
      </c>
      <c r="E611" s="137">
        <v>2.27</v>
      </c>
      <c r="F611" s="137">
        <v>0.4</v>
      </c>
    </row>
    <row r="612" spans="2:6" ht="13.5" customHeight="1">
      <c r="B612" s="137">
        <v>197701</v>
      </c>
      <c r="C612" s="137">
        <v>-4.05</v>
      </c>
      <c r="D612" s="137">
        <v>4.76</v>
      </c>
      <c r="E612" s="137">
        <v>4.2699999999999996</v>
      </c>
      <c r="F612" s="137">
        <v>0.36</v>
      </c>
    </row>
    <row r="613" spans="2:6" ht="13.5" customHeight="1">
      <c r="B613" s="137">
        <v>197702</v>
      </c>
      <c r="C613" s="137">
        <v>-1.94</v>
      </c>
      <c r="D613" s="137">
        <v>1.04</v>
      </c>
      <c r="E613" s="137">
        <v>0.47</v>
      </c>
      <c r="F613" s="137">
        <v>0.35</v>
      </c>
    </row>
    <row r="614" spans="2:6" ht="13.5" customHeight="1">
      <c r="B614" s="137">
        <v>197703</v>
      </c>
      <c r="C614" s="137">
        <v>-1.37</v>
      </c>
      <c r="D614" s="137">
        <v>1</v>
      </c>
      <c r="E614" s="137">
        <v>1.0900000000000001</v>
      </c>
      <c r="F614" s="137">
        <v>0.38</v>
      </c>
    </row>
    <row r="615" spans="2:6" ht="13.5" customHeight="1">
      <c r="B615" s="137">
        <v>197704</v>
      </c>
      <c r="C615" s="137">
        <v>0.15</v>
      </c>
      <c r="D615" s="137">
        <v>-0.12</v>
      </c>
      <c r="E615" s="137">
        <v>3.38</v>
      </c>
      <c r="F615" s="137">
        <v>0.38</v>
      </c>
    </row>
    <row r="616" spans="2:6" ht="13.5" customHeight="1">
      <c r="B616" s="137">
        <v>197705</v>
      </c>
      <c r="C616" s="137">
        <v>-1.45</v>
      </c>
      <c r="D616" s="137">
        <v>1.18</v>
      </c>
      <c r="E616" s="137">
        <v>0.85</v>
      </c>
      <c r="F616" s="137">
        <v>0.37</v>
      </c>
    </row>
    <row r="617" spans="2:6" ht="13.5" customHeight="1">
      <c r="B617" s="137">
        <v>197706</v>
      </c>
      <c r="C617" s="137">
        <v>4.71</v>
      </c>
      <c r="D617" s="137">
        <v>2.09</v>
      </c>
      <c r="E617" s="137">
        <v>-0.74</v>
      </c>
      <c r="F617" s="137">
        <v>0.4</v>
      </c>
    </row>
    <row r="618" spans="2:6" ht="13.5" customHeight="1">
      <c r="B618" s="137">
        <v>197707</v>
      </c>
      <c r="C618" s="137">
        <v>-1.69</v>
      </c>
      <c r="D618" s="137">
        <v>2.16</v>
      </c>
      <c r="E618" s="137">
        <v>-0.56000000000000005</v>
      </c>
      <c r="F618" s="137">
        <v>0.42</v>
      </c>
    </row>
    <row r="619" spans="2:6" ht="13.5" customHeight="1">
      <c r="B619" s="137">
        <v>197708</v>
      </c>
      <c r="C619" s="137">
        <v>-1.75</v>
      </c>
      <c r="D619" s="137">
        <v>1.48</v>
      </c>
      <c r="E619" s="137">
        <v>-2.7</v>
      </c>
      <c r="F619" s="137">
        <v>0.44</v>
      </c>
    </row>
    <row r="620" spans="2:6" ht="13.5" customHeight="1">
      <c r="B620" s="137">
        <v>197709</v>
      </c>
      <c r="C620" s="137">
        <v>-0.27</v>
      </c>
      <c r="D620" s="137">
        <v>1.34</v>
      </c>
      <c r="E620" s="137">
        <v>-0.52</v>
      </c>
      <c r="F620" s="137">
        <v>0.43</v>
      </c>
    </row>
    <row r="621" spans="2:6" ht="13.5" customHeight="1">
      <c r="B621" s="137">
        <v>197710</v>
      </c>
      <c r="C621" s="137">
        <v>-4.38</v>
      </c>
      <c r="D621" s="137">
        <v>1.25</v>
      </c>
      <c r="E621" s="137">
        <v>1.75</v>
      </c>
      <c r="F621" s="137">
        <v>0.49</v>
      </c>
    </row>
    <row r="622" spans="2:6" ht="13.5" customHeight="1">
      <c r="B622" s="137">
        <v>197711</v>
      </c>
      <c r="C622" s="137">
        <v>4</v>
      </c>
      <c r="D622" s="137">
        <v>3.73</v>
      </c>
      <c r="E622" s="137">
        <v>0.26</v>
      </c>
      <c r="F622" s="137">
        <v>0.5</v>
      </c>
    </row>
    <row r="623" spans="2:6" ht="13.5" customHeight="1">
      <c r="B623" s="137">
        <v>197712</v>
      </c>
      <c r="C623" s="137">
        <v>0.27</v>
      </c>
      <c r="D623" s="137">
        <v>1.32</v>
      </c>
      <c r="E623" s="137">
        <v>-0.28999999999999998</v>
      </c>
      <c r="F623" s="137">
        <v>0.49</v>
      </c>
    </row>
    <row r="624" spans="2:6" ht="13.5" customHeight="1">
      <c r="B624" s="137">
        <v>197801</v>
      </c>
      <c r="C624" s="137">
        <v>-6.01</v>
      </c>
      <c r="D624" s="137">
        <v>2.2400000000000002</v>
      </c>
      <c r="E624" s="137">
        <v>3.36</v>
      </c>
      <c r="F624" s="137">
        <v>0.49</v>
      </c>
    </row>
    <row r="625" spans="2:6" ht="13.5" customHeight="1">
      <c r="B625" s="137">
        <v>197802</v>
      </c>
      <c r="C625" s="137">
        <v>-1.38</v>
      </c>
      <c r="D625" s="137">
        <v>3.59</v>
      </c>
      <c r="E625" s="137">
        <v>0.83</v>
      </c>
      <c r="F625" s="137">
        <v>0.46</v>
      </c>
    </row>
    <row r="626" spans="2:6" ht="13.5" customHeight="1">
      <c r="B626" s="137">
        <v>197803</v>
      </c>
      <c r="C626" s="137">
        <v>2.85</v>
      </c>
      <c r="D626" s="137">
        <v>3.49</v>
      </c>
      <c r="E626" s="137">
        <v>1.18</v>
      </c>
      <c r="F626" s="137">
        <v>0.53</v>
      </c>
    </row>
    <row r="627" spans="2:6" ht="13.5" customHeight="1">
      <c r="B627" s="137">
        <v>197804</v>
      </c>
      <c r="C627" s="137">
        <v>7.88</v>
      </c>
      <c r="D627" s="137">
        <v>0.45</v>
      </c>
      <c r="E627" s="137">
        <v>-3.54</v>
      </c>
      <c r="F627" s="137">
        <v>0.54</v>
      </c>
    </row>
    <row r="628" spans="2:6" ht="13.5" customHeight="1">
      <c r="B628" s="137">
        <v>197805</v>
      </c>
      <c r="C628" s="137">
        <v>1.76</v>
      </c>
      <c r="D628" s="137">
        <v>4.5599999999999996</v>
      </c>
      <c r="E628" s="137">
        <v>-0.52</v>
      </c>
      <c r="F628" s="137">
        <v>0.51</v>
      </c>
    </row>
    <row r="629" spans="2:6" ht="13.5" customHeight="1">
      <c r="B629" s="137">
        <v>197806</v>
      </c>
      <c r="C629" s="137">
        <v>-1.69</v>
      </c>
      <c r="D629" s="137">
        <v>1.66</v>
      </c>
      <c r="E629" s="137">
        <v>0.56999999999999995</v>
      </c>
      <c r="F629" s="137">
        <v>0.54</v>
      </c>
    </row>
    <row r="630" spans="2:6" ht="13.5" customHeight="1">
      <c r="B630" s="137">
        <v>197807</v>
      </c>
      <c r="C630" s="137">
        <v>5.1100000000000003</v>
      </c>
      <c r="D630" s="137">
        <v>0.23</v>
      </c>
      <c r="E630" s="137">
        <v>-1.1499999999999999</v>
      </c>
      <c r="F630" s="137">
        <v>0.56000000000000005</v>
      </c>
    </row>
    <row r="631" spans="2:6" ht="13.5" customHeight="1">
      <c r="B631" s="137">
        <v>197808</v>
      </c>
      <c r="C631" s="137">
        <v>3.75</v>
      </c>
      <c r="D631" s="137">
        <v>5.0599999999999996</v>
      </c>
      <c r="E631" s="137">
        <v>-0.51</v>
      </c>
      <c r="F631" s="137">
        <v>0.56000000000000005</v>
      </c>
    </row>
    <row r="632" spans="2:6" ht="13.5" customHeight="1">
      <c r="B632" s="137">
        <v>197809</v>
      </c>
      <c r="C632" s="137">
        <v>-1.43</v>
      </c>
      <c r="D632" s="137">
        <v>-0.43</v>
      </c>
      <c r="E632" s="137">
        <v>1.89</v>
      </c>
      <c r="F632" s="137">
        <v>0.62</v>
      </c>
    </row>
    <row r="633" spans="2:6" ht="13.5" customHeight="1">
      <c r="B633" s="137">
        <v>197810</v>
      </c>
      <c r="C633" s="137">
        <v>-11.91</v>
      </c>
      <c r="D633" s="137">
        <v>-9.86</v>
      </c>
      <c r="E633" s="137">
        <v>1.38</v>
      </c>
      <c r="F633" s="137">
        <v>0.68</v>
      </c>
    </row>
    <row r="634" spans="2:6" ht="13.5" customHeight="1">
      <c r="B634" s="137">
        <v>197811</v>
      </c>
      <c r="C634" s="137">
        <v>2.71</v>
      </c>
      <c r="D634" s="137">
        <v>2.97</v>
      </c>
      <c r="E634" s="137">
        <v>-2.15</v>
      </c>
      <c r="F634" s="137">
        <v>0.7</v>
      </c>
    </row>
    <row r="635" spans="2:6" ht="13.5" customHeight="1">
      <c r="B635" s="137">
        <v>197812</v>
      </c>
      <c r="C635" s="137">
        <v>0.88</v>
      </c>
      <c r="D635" s="137">
        <v>1.29</v>
      </c>
      <c r="E635" s="137">
        <v>-2.13</v>
      </c>
      <c r="F635" s="137">
        <v>0.78</v>
      </c>
    </row>
    <row r="636" spans="2:6" ht="13.5" customHeight="1">
      <c r="B636" s="137">
        <v>197901</v>
      </c>
      <c r="C636" s="137">
        <v>4.2300000000000004</v>
      </c>
      <c r="D636" s="137">
        <v>3.62</v>
      </c>
      <c r="E636" s="137">
        <v>2.19</v>
      </c>
      <c r="F636" s="137">
        <v>0.77</v>
      </c>
    </row>
    <row r="637" spans="2:6" ht="13.5" customHeight="1">
      <c r="B637" s="137">
        <v>197902</v>
      </c>
      <c r="C637" s="137">
        <v>-3.56</v>
      </c>
      <c r="D637" s="137">
        <v>0.45</v>
      </c>
      <c r="E637" s="137">
        <v>1.17</v>
      </c>
      <c r="F637" s="137">
        <v>0.73</v>
      </c>
    </row>
    <row r="638" spans="2:6" ht="13.5" customHeight="1">
      <c r="B638" s="137">
        <v>197903</v>
      </c>
      <c r="C638" s="137">
        <v>5.68</v>
      </c>
      <c r="D638" s="137">
        <v>3.26</v>
      </c>
      <c r="E638" s="137">
        <v>-0.71</v>
      </c>
      <c r="F638" s="137">
        <v>0.81</v>
      </c>
    </row>
    <row r="639" spans="2:6" ht="13.5" customHeight="1">
      <c r="B639" s="137">
        <v>197904</v>
      </c>
      <c r="C639" s="137">
        <v>-0.06</v>
      </c>
      <c r="D639" s="137">
        <v>2.15</v>
      </c>
      <c r="E639" s="137">
        <v>1.1200000000000001</v>
      </c>
      <c r="F639" s="137">
        <v>0.8</v>
      </c>
    </row>
    <row r="640" spans="2:6" ht="13.5" customHeight="1">
      <c r="B640" s="137">
        <v>197905</v>
      </c>
      <c r="C640" s="137">
        <v>-2.21</v>
      </c>
      <c r="D640" s="137">
        <v>0.21</v>
      </c>
      <c r="E640" s="137">
        <v>1.31</v>
      </c>
      <c r="F640" s="137">
        <v>0.82</v>
      </c>
    </row>
    <row r="641" spans="2:6" ht="13.5" customHeight="1">
      <c r="B641" s="137">
        <v>197906</v>
      </c>
      <c r="C641" s="137">
        <v>3.85</v>
      </c>
      <c r="D641" s="137">
        <v>1.17</v>
      </c>
      <c r="E641" s="137">
        <v>1.44</v>
      </c>
      <c r="F641" s="137">
        <v>0.81</v>
      </c>
    </row>
    <row r="642" spans="2:6" ht="13.5" customHeight="1">
      <c r="B642" s="137">
        <v>197907</v>
      </c>
      <c r="C642" s="137">
        <v>0.82</v>
      </c>
      <c r="D642" s="137">
        <v>1.28</v>
      </c>
      <c r="E642" s="137">
        <v>1.86</v>
      </c>
      <c r="F642" s="137">
        <v>0.77</v>
      </c>
    </row>
    <row r="643" spans="2:6" ht="13.5" customHeight="1">
      <c r="B643" s="137">
        <v>197908</v>
      </c>
      <c r="C643" s="137">
        <v>5.53</v>
      </c>
      <c r="D643" s="137">
        <v>2.0499999999999998</v>
      </c>
      <c r="E643" s="137">
        <v>-1.58</v>
      </c>
      <c r="F643" s="137">
        <v>0.77</v>
      </c>
    </row>
    <row r="644" spans="2:6" ht="13.5" customHeight="1">
      <c r="B644" s="137">
        <v>197909</v>
      </c>
      <c r="C644" s="137">
        <v>-0.82</v>
      </c>
      <c r="D644" s="137">
        <v>-0.27</v>
      </c>
      <c r="E644" s="137">
        <v>-0.9</v>
      </c>
      <c r="F644" s="137">
        <v>0.83</v>
      </c>
    </row>
    <row r="645" spans="2:6" ht="13.5" customHeight="1">
      <c r="B645" s="137">
        <v>197910</v>
      </c>
      <c r="C645" s="137">
        <v>-8.1</v>
      </c>
      <c r="D645" s="137">
        <v>-3.37</v>
      </c>
      <c r="E645" s="137">
        <v>-1.84</v>
      </c>
      <c r="F645" s="137">
        <v>0.87</v>
      </c>
    </row>
    <row r="646" spans="2:6" ht="13.5" customHeight="1">
      <c r="B646" s="137">
        <v>197911</v>
      </c>
      <c r="C646" s="137">
        <v>5.21</v>
      </c>
      <c r="D646" s="137">
        <v>2.87</v>
      </c>
      <c r="E646" s="137">
        <v>-3.29</v>
      </c>
      <c r="F646" s="137">
        <v>0.99</v>
      </c>
    </row>
    <row r="647" spans="2:6" ht="13.5" customHeight="1">
      <c r="B647" s="137">
        <v>197912</v>
      </c>
      <c r="C647" s="137">
        <v>1.79</v>
      </c>
      <c r="D647" s="137">
        <v>4.17</v>
      </c>
      <c r="E647" s="137">
        <v>-2.1</v>
      </c>
      <c r="F647" s="137">
        <v>0.95</v>
      </c>
    </row>
    <row r="648" spans="2:6" ht="13.5" customHeight="1">
      <c r="B648" s="137">
        <v>198001</v>
      </c>
      <c r="C648" s="137">
        <v>5.51</v>
      </c>
      <c r="D648" s="137">
        <v>1.62</v>
      </c>
      <c r="E648" s="137">
        <v>1.75</v>
      </c>
      <c r="F648" s="137">
        <v>0.8</v>
      </c>
    </row>
    <row r="649" spans="2:6" ht="13.5" customHeight="1">
      <c r="B649" s="137">
        <v>198002</v>
      </c>
      <c r="C649" s="137">
        <v>-1.22</v>
      </c>
      <c r="D649" s="137">
        <v>-1.85</v>
      </c>
      <c r="E649" s="137">
        <v>0.61</v>
      </c>
      <c r="F649" s="137">
        <v>0.89</v>
      </c>
    </row>
    <row r="650" spans="2:6" ht="13.5" customHeight="1">
      <c r="B650" s="137">
        <v>198003</v>
      </c>
      <c r="C650" s="137">
        <v>-12.9</v>
      </c>
      <c r="D650" s="137">
        <v>-6.64</v>
      </c>
      <c r="E650" s="137">
        <v>-1.01</v>
      </c>
      <c r="F650" s="137">
        <v>1.21</v>
      </c>
    </row>
    <row r="651" spans="2:6" ht="13.5" customHeight="1">
      <c r="B651" s="137">
        <v>198004</v>
      </c>
      <c r="C651" s="137">
        <v>3.97</v>
      </c>
      <c r="D651" s="137">
        <v>1.05</v>
      </c>
      <c r="E651" s="137">
        <v>1.06</v>
      </c>
      <c r="F651" s="137">
        <v>1.26</v>
      </c>
    </row>
    <row r="652" spans="2:6" ht="13.5" customHeight="1">
      <c r="B652" s="137">
        <v>198005</v>
      </c>
      <c r="C652" s="137">
        <v>5.26</v>
      </c>
      <c r="D652" s="137">
        <v>2.13</v>
      </c>
      <c r="E652" s="137">
        <v>0.38</v>
      </c>
      <c r="F652" s="137">
        <v>0.81</v>
      </c>
    </row>
    <row r="653" spans="2:6" ht="13.5" customHeight="1">
      <c r="B653" s="137">
        <v>198006</v>
      </c>
      <c r="C653" s="137">
        <v>3.06</v>
      </c>
      <c r="D653" s="137">
        <v>1.66</v>
      </c>
      <c r="E653" s="137">
        <v>-0.76</v>
      </c>
      <c r="F653" s="137">
        <v>0.61</v>
      </c>
    </row>
    <row r="654" spans="2:6" ht="13.5" customHeight="1">
      <c r="B654" s="137">
        <v>198007</v>
      </c>
      <c r="C654" s="137">
        <v>6.49</v>
      </c>
      <c r="D654" s="137">
        <v>4.1399999999999997</v>
      </c>
      <c r="E654" s="137">
        <v>-6.41</v>
      </c>
      <c r="F654" s="137">
        <v>0.53</v>
      </c>
    </row>
    <row r="655" spans="2:6" ht="13.5" customHeight="1">
      <c r="B655" s="137">
        <v>198008</v>
      </c>
      <c r="C655" s="137">
        <v>1.8</v>
      </c>
      <c r="D655" s="137">
        <v>3.92</v>
      </c>
      <c r="E655" s="137">
        <v>-2.6</v>
      </c>
      <c r="F655" s="137">
        <v>0.64</v>
      </c>
    </row>
    <row r="656" spans="2:6" ht="13.5" customHeight="1">
      <c r="B656" s="137">
        <v>198009</v>
      </c>
      <c r="C656" s="137">
        <v>2.19</v>
      </c>
      <c r="D656" s="137">
        <v>0.98</v>
      </c>
      <c r="E656" s="137">
        <v>-4.59</v>
      </c>
      <c r="F656" s="137">
        <v>0.75</v>
      </c>
    </row>
    <row r="657" spans="2:6" ht="13.5" customHeight="1">
      <c r="B657" s="137">
        <v>198010</v>
      </c>
      <c r="C657" s="137">
        <v>1.06</v>
      </c>
      <c r="D657" s="137">
        <v>2.4700000000000002</v>
      </c>
      <c r="E657" s="137">
        <v>-2.76</v>
      </c>
      <c r="F657" s="137">
        <v>0.95</v>
      </c>
    </row>
    <row r="658" spans="2:6" ht="13.5" customHeight="1">
      <c r="B658" s="137">
        <v>198011</v>
      </c>
      <c r="C658" s="137">
        <v>9.59</v>
      </c>
      <c r="D658" s="137">
        <v>-3.36</v>
      </c>
      <c r="E658" s="137">
        <v>-8.33</v>
      </c>
      <c r="F658" s="137">
        <v>0.96</v>
      </c>
    </row>
    <row r="659" spans="2:6" ht="13.5" customHeight="1">
      <c r="B659" s="137">
        <v>198012</v>
      </c>
      <c r="C659" s="137">
        <v>-4.5199999999999996</v>
      </c>
      <c r="D659" s="137">
        <v>-0.26</v>
      </c>
      <c r="E659" s="137">
        <v>2.79</v>
      </c>
      <c r="F659" s="137">
        <v>1.31</v>
      </c>
    </row>
    <row r="660" spans="2:6" ht="13.5" customHeight="1">
      <c r="B660" s="137">
        <v>198101</v>
      </c>
      <c r="C660" s="137">
        <v>-5.04</v>
      </c>
      <c r="D660" s="137">
        <v>2.92</v>
      </c>
      <c r="E660" s="137">
        <v>6.72</v>
      </c>
      <c r="F660" s="137">
        <v>1.04</v>
      </c>
    </row>
    <row r="661" spans="2:6" ht="13.5" customHeight="1">
      <c r="B661" s="137">
        <v>198102</v>
      </c>
      <c r="C661" s="137">
        <v>0.56999999999999995</v>
      </c>
      <c r="D661" s="137">
        <v>-0.34</v>
      </c>
      <c r="E661" s="137">
        <v>1.02</v>
      </c>
      <c r="F661" s="137">
        <v>1.07</v>
      </c>
    </row>
    <row r="662" spans="2:6" ht="13.5" customHeight="1">
      <c r="B662" s="137">
        <v>198103</v>
      </c>
      <c r="C662" s="137">
        <v>3.56</v>
      </c>
      <c r="D662" s="137">
        <v>3.54</v>
      </c>
      <c r="E662" s="137">
        <v>0.64</v>
      </c>
      <c r="F662" s="137">
        <v>1.21</v>
      </c>
    </row>
    <row r="663" spans="2:6" ht="13.5" customHeight="1">
      <c r="B663" s="137">
        <v>198104</v>
      </c>
      <c r="C663" s="137">
        <v>-2.11</v>
      </c>
      <c r="D663" s="137">
        <v>4.4000000000000004</v>
      </c>
      <c r="E663" s="137">
        <v>2.2799999999999998</v>
      </c>
      <c r="F663" s="137">
        <v>1.08</v>
      </c>
    </row>
    <row r="664" spans="2:6" ht="13.5" customHeight="1">
      <c r="B664" s="137">
        <v>198105</v>
      </c>
      <c r="C664" s="137">
        <v>0.11</v>
      </c>
      <c r="D664" s="137">
        <v>2</v>
      </c>
      <c r="E664" s="137">
        <v>-0.42</v>
      </c>
      <c r="F664" s="137">
        <v>1.1499999999999999</v>
      </c>
    </row>
    <row r="665" spans="2:6" ht="13.5" customHeight="1">
      <c r="B665" s="137">
        <v>198106</v>
      </c>
      <c r="C665" s="137">
        <v>-2.36</v>
      </c>
      <c r="D665" s="137">
        <v>-0.83</v>
      </c>
      <c r="E665" s="137">
        <v>5.13</v>
      </c>
      <c r="F665" s="137">
        <v>1.35</v>
      </c>
    </row>
    <row r="666" spans="2:6" ht="13.5" customHeight="1">
      <c r="B666" s="137">
        <v>198107</v>
      </c>
      <c r="C666" s="137">
        <v>-1.54</v>
      </c>
      <c r="D666" s="137">
        <v>-2.19</v>
      </c>
      <c r="E666" s="137">
        <v>-0.5</v>
      </c>
      <c r="F666" s="137">
        <v>1.24</v>
      </c>
    </row>
    <row r="667" spans="2:6" ht="13.5" customHeight="1">
      <c r="B667" s="137">
        <v>198108</v>
      </c>
      <c r="C667" s="137">
        <v>-7.04</v>
      </c>
      <c r="D667" s="137">
        <v>-1.95</v>
      </c>
      <c r="E667" s="137">
        <v>4.76</v>
      </c>
      <c r="F667" s="137">
        <v>1.28</v>
      </c>
    </row>
    <row r="668" spans="2:6" ht="13.5" customHeight="1">
      <c r="B668" s="137">
        <v>198109</v>
      </c>
      <c r="C668" s="137">
        <v>-7.17</v>
      </c>
      <c r="D668" s="137">
        <v>-2.65</v>
      </c>
      <c r="E668" s="137">
        <v>5.17</v>
      </c>
      <c r="F668" s="137">
        <v>1.24</v>
      </c>
    </row>
    <row r="669" spans="2:6" ht="13.5" customHeight="1">
      <c r="B669" s="137">
        <v>198110</v>
      </c>
      <c r="C669" s="137">
        <v>4.92</v>
      </c>
      <c r="D669" s="137">
        <v>2.23</v>
      </c>
      <c r="E669" s="137">
        <v>-4.21</v>
      </c>
      <c r="F669" s="137">
        <v>1.21</v>
      </c>
    </row>
    <row r="670" spans="2:6" ht="13.5" customHeight="1">
      <c r="B670" s="137">
        <v>198111</v>
      </c>
      <c r="C670" s="137">
        <v>3.36</v>
      </c>
      <c r="D670" s="137">
        <v>-1.03</v>
      </c>
      <c r="E670" s="137">
        <v>1.83</v>
      </c>
      <c r="F670" s="137">
        <v>1.07</v>
      </c>
    </row>
    <row r="671" spans="2:6" ht="13.5" customHeight="1">
      <c r="B671" s="137">
        <v>198112</v>
      </c>
      <c r="C671" s="137">
        <v>-3.65</v>
      </c>
      <c r="D671" s="137">
        <v>1.2</v>
      </c>
      <c r="E671" s="137">
        <v>0.81</v>
      </c>
      <c r="F671" s="137">
        <v>0.87</v>
      </c>
    </row>
    <row r="672" spans="2:6" ht="13.5" customHeight="1">
      <c r="B672" s="137">
        <v>198201</v>
      </c>
      <c r="C672" s="137">
        <v>-3.24</v>
      </c>
      <c r="D672" s="137">
        <v>-1.28</v>
      </c>
      <c r="E672" s="137">
        <v>3.19</v>
      </c>
      <c r="F672" s="137">
        <v>0.8</v>
      </c>
    </row>
    <row r="673" spans="2:6" ht="13.5" customHeight="1">
      <c r="B673" s="137">
        <v>198202</v>
      </c>
      <c r="C673" s="137">
        <v>-5.86</v>
      </c>
      <c r="D673" s="137">
        <v>0.44</v>
      </c>
      <c r="E673" s="137">
        <v>6.05</v>
      </c>
      <c r="F673" s="137">
        <v>0.92</v>
      </c>
    </row>
    <row r="674" spans="2:6" ht="13.5" customHeight="1">
      <c r="B674" s="137">
        <v>198203</v>
      </c>
      <c r="C674" s="137">
        <v>-1.87</v>
      </c>
      <c r="D674" s="137">
        <v>-0.21</v>
      </c>
      <c r="E674" s="137">
        <v>3.81</v>
      </c>
      <c r="F674" s="137">
        <v>0.98</v>
      </c>
    </row>
    <row r="675" spans="2:6" ht="13.5" customHeight="1">
      <c r="B675" s="137">
        <v>198204</v>
      </c>
      <c r="C675" s="137">
        <v>3.27</v>
      </c>
      <c r="D675" s="137">
        <v>1.47</v>
      </c>
      <c r="E675" s="137">
        <v>-2.7</v>
      </c>
      <c r="F675" s="137">
        <v>1.1299999999999999</v>
      </c>
    </row>
    <row r="676" spans="2:6" ht="13.5" customHeight="1">
      <c r="B676" s="137">
        <v>198205</v>
      </c>
      <c r="C676" s="137">
        <v>-3.99</v>
      </c>
      <c r="D676" s="137">
        <v>0.52</v>
      </c>
      <c r="E676" s="137">
        <v>1.75</v>
      </c>
      <c r="F676" s="137">
        <v>1.06</v>
      </c>
    </row>
    <row r="677" spans="2:6" ht="13.5" customHeight="1">
      <c r="B677" s="137">
        <v>198206</v>
      </c>
      <c r="C677" s="137">
        <v>-3.09</v>
      </c>
      <c r="D677" s="137">
        <v>-0.4</v>
      </c>
      <c r="E677" s="137">
        <v>1.53</v>
      </c>
      <c r="F677" s="137">
        <v>0.96</v>
      </c>
    </row>
    <row r="678" spans="2:6" ht="13.5" customHeight="1">
      <c r="B678" s="137">
        <v>198207</v>
      </c>
      <c r="C678" s="137">
        <v>-3.19</v>
      </c>
      <c r="D678" s="137">
        <v>0.83</v>
      </c>
      <c r="E678" s="137">
        <v>0.09</v>
      </c>
      <c r="F678" s="137">
        <v>1.05</v>
      </c>
    </row>
    <row r="679" spans="2:6" ht="13.5" customHeight="1">
      <c r="B679" s="137">
        <v>198208</v>
      </c>
      <c r="C679" s="137">
        <v>11.14</v>
      </c>
      <c r="D679" s="137">
        <v>-4.1399999999999997</v>
      </c>
      <c r="E679" s="137">
        <v>0.95</v>
      </c>
      <c r="F679" s="137">
        <v>0.76</v>
      </c>
    </row>
    <row r="680" spans="2:6" ht="13.5" customHeight="1">
      <c r="B680" s="137">
        <v>198209</v>
      </c>
      <c r="C680" s="137">
        <v>1.29</v>
      </c>
      <c r="D680" s="137">
        <v>2.95</v>
      </c>
      <c r="E680" s="137">
        <v>0.28000000000000003</v>
      </c>
      <c r="F680" s="137">
        <v>0.51</v>
      </c>
    </row>
    <row r="681" spans="2:6" ht="13.5" customHeight="1">
      <c r="B681" s="137">
        <v>198210</v>
      </c>
      <c r="C681" s="137">
        <v>11.3</v>
      </c>
      <c r="D681" s="137">
        <v>2.34</v>
      </c>
      <c r="E681" s="137">
        <v>-3.66</v>
      </c>
      <c r="F681" s="137">
        <v>0.59</v>
      </c>
    </row>
    <row r="682" spans="2:6" ht="13.5" customHeight="1">
      <c r="B682" s="137">
        <v>198211</v>
      </c>
      <c r="C682" s="137">
        <v>4.67</v>
      </c>
      <c r="D682" s="137">
        <v>4.67</v>
      </c>
      <c r="E682" s="137">
        <v>-1.87</v>
      </c>
      <c r="F682" s="137">
        <v>0.63</v>
      </c>
    </row>
    <row r="683" spans="2:6" ht="13.5" customHeight="1">
      <c r="B683" s="137">
        <v>198212</v>
      </c>
      <c r="C683" s="137">
        <v>0.55000000000000004</v>
      </c>
      <c r="D683" s="137">
        <v>-0.22</v>
      </c>
      <c r="E683" s="137">
        <v>-0.02</v>
      </c>
      <c r="F683" s="137">
        <v>0.67</v>
      </c>
    </row>
    <row r="684" spans="2:6" ht="13.5" customHeight="1">
      <c r="B684" s="137">
        <v>198301</v>
      </c>
      <c r="C684" s="137">
        <v>3.6</v>
      </c>
      <c r="D684" s="137">
        <v>2.73</v>
      </c>
      <c r="E684" s="137">
        <v>-0.75</v>
      </c>
      <c r="F684" s="137">
        <v>0.69</v>
      </c>
    </row>
    <row r="685" spans="2:6" ht="13.5" customHeight="1">
      <c r="B685" s="137">
        <v>198302</v>
      </c>
      <c r="C685" s="137">
        <v>2.59</v>
      </c>
      <c r="D685" s="137">
        <v>3.27</v>
      </c>
      <c r="E685" s="137">
        <v>0.7</v>
      </c>
      <c r="F685" s="137">
        <v>0.62</v>
      </c>
    </row>
    <row r="686" spans="2:6" ht="13.5" customHeight="1">
      <c r="B686" s="137">
        <v>198303</v>
      </c>
      <c r="C686" s="137">
        <v>2.82</v>
      </c>
      <c r="D686" s="137">
        <v>1.73</v>
      </c>
      <c r="E686" s="137">
        <v>2.02</v>
      </c>
      <c r="F686" s="137">
        <v>0.63</v>
      </c>
    </row>
    <row r="687" spans="2:6" ht="13.5" customHeight="1">
      <c r="B687" s="137">
        <v>198304</v>
      </c>
      <c r="C687" s="137">
        <v>6.67</v>
      </c>
      <c r="D687" s="137">
        <v>0.5</v>
      </c>
      <c r="E687" s="137">
        <v>0.49</v>
      </c>
      <c r="F687" s="137">
        <v>0.71</v>
      </c>
    </row>
    <row r="688" spans="2:6" ht="13.5" customHeight="1">
      <c r="B688" s="137">
        <v>198305</v>
      </c>
      <c r="C688" s="137">
        <v>0.52</v>
      </c>
      <c r="D688" s="137">
        <v>6.24</v>
      </c>
      <c r="E688" s="137">
        <v>-1.4</v>
      </c>
      <c r="F688" s="137">
        <v>0.69</v>
      </c>
    </row>
    <row r="689" spans="2:6" ht="13.5" customHeight="1">
      <c r="B689" s="137">
        <v>198306</v>
      </c>
      <c r="C689" s="137">
        <v>3.07</v>
      </c>
      <c r="D689" s="137">
        <v>0.95</v>
      </c>
      <c r="E689" s="137">
        <v>-3.9</v>
      </c>
      <c r="F689" s="137">
        <v>0.67</v>
      </c>
    </row>
    <row r="690" spans="2:6" ht="13.5" customHeight="1">
      <c r="B690" s="137">
        <v>198307</v>
      </c>
      <c r="C690" s="137">
        <v>-4.07</v>
      </c>
      <c r="D690" s="137">
        <v>1.5</v>
      </c>
      <c r="E690" s="137">
        <v>5.62</v>
      </c>
      <c r="F690" s="137">
        <v>0.74</v>
      </c>
    </row>
    <row r="691" spans="2:6" ht="13.5" customHeight="1">
      <c r="B691" s="137">
        <v>198308</v>
      </c>
      <c r="C691" s="137">
        <v>-0.5</v>
      </c>
      <c r="D691" s="137">
        <v>-4.28</v>
      </c>
      <c r="E691" s="137">
        <v>5.54</v>
      </c>
      <c r="F691" s="137">
        <v>0.76</v>
      </c>
    </row>
    <row r="692" spans="2:6" ht="13.5" customHeight="1">
      <c r="B692" s="137">
        <v>198309</v>
      </c>
      <c r="C692" s="137">
        <v>0.91</v>
      </c>
      <c r="D692" s="137">
        <v>0.61</v>
      </c>
      <c r="E692" s="137">
        <v>1.01</v>
      </c>
      <c r="F692" s="137">
        <v>0.76</v>
      </c>
    </row>
    <row r="693" spans="2:6" ht="13.5" customHeight="1">
      <c r="B693" s="137">
        <v>198310</v>
      </c>
      <c r="C693" s="137">
        <v>-3.44</v>
      </c>
      <c r="D693" s="137">
        <v>-3.57</v>
      </c>
      <c r="E693" s="137">
        <v>4.97</v>
      </c>
      <c r="F693" s="137">
        <v>0.76</v>
      </c>
    </row>
    <row r="694" spans="2:6" ht="13.5" customHeight="1">
      <c r="B694" s="137">
        <v>198311</v>
      </c>
      <c r="C694" s="137">
        <v>2.16</v>
      </c>
      <c r="D694" s="137">
        <v>2.0099999999999998</v>
      </c>
      <c r="E694" s="137">
        <v>-0.72</v>
      </c>
      <c r="F694" s="137">
        <v>0.7</v>
      </c>
    </row>
    <row r="695" spans="2:6" ht="13.5" customHeight="1">
      <c r="B695" s="137">
        <v>198312</v>
      </c>
      <c r="C695" s="137">
        <v>-1.78</v>
      </c>
      <c r="D695" s="137">
        <v>-0.27</v>
      </c>
      <c r="E695" s="137">
        <v>1.73</v>
      </c>
      <c r="F695" s="137">
        <v>0.73</v>
      </c>
    </row>
    <row r="696" spans="2:6" ht="13.5" customHeight="1">
      <c r="B696" s="137">
        <v>198401</v>
      </c>
      <c r="C696" s="137">
        <v>-1.92</v>
      </c>
      <c r="D696" s="137">
        <v>-0.38</v>
      </c>
      <c r="E696" s="137">
        <v>7.58</v>
      </c>
      <c r="F696" s="137">
        <v>0.76</v>
      </c>
    </row>
    <row r="697" spans="2:6" ht="13.5" customHeight="1">
      <c r="B697" s="137">
        <v>198402</v>
      </c>
      <c r="C697" s="137">
        <v>-4.82</v>
      </c>
      <c r="D697" s="137">
        <v>-1.69</v>
      </c>
      <c r="E697" s="137">
        <v>3.33</v>
      </c>
      <c r="F697" s="137">
        <v>0.71</v>
      </c>
    </row>
    <row r="698" spans="2:6" ht="13.5" customHeight="1">
      <c r="B698" s="137">
        <v>198403</v>
      </c>
      <c r="C698" s="137">
        <v>0.63</v>
      </c>
      <c r="D698" s="137">
        <v>7.0000000000000007E-2</v>
      </c>
      <c r="E698" s="137">
        <v>0.46</v>
      </c>
      <c r="F698" s="137">
        <v>0.73</v>
      </c>
    </row>
    <row r="699" spans="2:6" ht="13.5" customHeight="1">
      <c r="B699" s="137">
        <v>198404</v>
      </c>
      <c r="C699" s="137">
        <v>-0.51</v>
      </c>
      <c r="D699" s="137">
        <v>-1.1599999999999999</v>
      </c>
      <c r="E699" s="137">
        <v>1.2</v>
      </c>
      <c r="F699" s="137">
        <v>0.81</v>
      </c>
    </row>
    <row r="700" spans="2:6" ht="13.5" customHeight="1">
      <c r="B700" s="137">
        <v>198405</v>
      </c>
      <c r="C700" s="137">
        <v>-5.97</v>
      </c>
      <c r="D700" s="137">
        <v>0.06</v>
      </c>
      <c r="E700" s="137">
        <v>0.31</v>
      </c>
      <c r="F700" s="137">
        <v>0.78</v>
      </c>
    </row>
    <row r="701" spans="2:6" ht="13.5" customHeight="1">
      <c r="B701" s="137">
        <v>198406</v>
      </c>
      <c r="C701" s="137">
        <v>1.82</v>
      </c>
      <c r="D701" s="137">
        <v>-0.3</v>
      </c>
      <c r="E701" s="137">
        <v>-2.66</v>
      </c>
      <c r="F701" s="137">
        <v>0.75</v>
      </c>
    </row>
    <row r="702" spans="2:6" ht="13.5" customHeight="1">
      <c r="B702" s="137">
        <v>198407</v>
      </c>
      <c r="C702" s="137">
        <v>-2.74</v>
      </c>
      <c r="D702" s="137">
        <v>-2.21</v>
      </c>
      <c r="E702" s="137">
        <v>0.36</v>
      </c>
      <c r="F702" s="137">
        <v>0.82</v>
      </c>
    </row>
    <row r="703" spans="2:6" ht="13.5" customHeight="1">
      <c r="B703" s="137">
        <v>198408</v>
      </c>
      <c r="C703" s="137">
        <v>10.28</v>
      </c>
      <c r="D703" s="137">
        <v>-0.24</v>
      </c>
      <c r="E703" s="137">
        <v>-1.82</v>
      </c>
      <c r="F703" s="137">
        <v>0.83</v>
      </c>
    </row>
    <row r="704" spans="2:6" ht="13.5" customHeight="1">
      <c r="B704" s="137">
        <v>198409</v>
      </c>
      <c r="C704" s="137">
        <v>-0.8</v>
      </c>
      <c r="D704" s="137">
        <v>0.17</v>
      </c>
      <c r="E704" s="137">
        <v>5.28</v>
      </c>
      <c r="F704" s="137">
        <v>0.86</v>
      </c>
    </row>
    <row r="705" spans="2:6" ht="13.5" customHeight="1">
      <c r="B705" s="137">
        <v>198410</v>
      </c>
      <c r="C705" s="137">
        <v>-0.84</v>
      </c>
      <c r="D705" s="137">
        <v>-1.23</v>
      </c>
      <c r="E705" s="137">
        <v>0.45</v>
      </c>
      <c r="F705" s="137">
        <v>1</v>
      </c>
    </row>
    <row r="706" spans="2:6" ht="13.5" customHeight="1">
      <c r="B706" s="137">
        <v>198411</v>
      </c>
      <c r="C706" s="137">
        <v>-1.76</v>
      </c>
      <c r="D706" s="137">
        <v>-0.65</v>
      </c>
      <c r="E706" s="137">
        <v>4.0599999999999996</v>
      </c>
      <c r="F706" s="137">
        <v>0.73</v>
      </c>
    </row>
    <row r="707" spans="2:6" ht="13.5" customHeight="1">
      <c r="B707" s="137">
        <v>198412</v>
      </c>
      <c r="C707" s="137">
        <v>1.84</v>
      </c>
      <c r="D707" s="137">
        <v>-0.56000000000000005</v>
      </c>
      <c r="E707" s="137">
        <v>-0.26</v>
      </c>
      <c r="F707" s="137">
        <v>0.64</v>
      </c>
    </row>
    <row r="708" spans="2:6" ht="13.5" customHeight="1">
      <c r="B708" s="137">
        <v>198501</v>
      </c>
      <c r="C708" s="137">
        <v>7.99</v>
      </c>
      <c r="D708" s="137">
        <v>3.31</v>
      </c>
      <c r="E708" s="137">
        <v>-5.35</v>
      </c>
      <c r="F708" s="137">
        <v>0.65</v>
      </c>
    </row>
    <row r="709" spans="2:6" ht="13.5" customHeight="1">
      <c r="B709" s="137">
        <v>198502</v>
      </c>
      <c r="C709" s="137">
        <v>1.22</v>
      </c>
      <c r="D709" s="137">
        <v>0.79</v>
      </c>
      <c r="E709" s="137">
        <v>-0.1</v>
      </c>
      <c r="F709" s="137">
        <v>0.57999999999999996</v>
      </c>
    </row>
    <row r="710" spans="2:6" ht="13.5" customHeight="1">
      <c r="B710" s="137">
        <v>198503</v>
      </c>
      <c r="C710" s="137">
        <v>-0.84</v>
      </c>
      <c r="D710" s="137">
        <v>-1.08</v>
      </c>
      <c r="E710" s="137">
        <v>4.07</v>
      </c>
      <c r="F710" s="137">
        <v>0.62</v>
      </c>
    </row>
    <row r="711" spans="2:6" ht="13.5" customHeight="1">
      <c r="B711" s="137">
        <v>198504</v>
      </c>
      <c r="C711" s="137">
        <v>-0.96</v>
      </c>
      <c r="D711" s="137">
        <v>0.14000000000000001</v>
      </c>
      <c r="E711" s="137">
        <v>3.72</v>
      </c>
      <c r="F711" s="137">
        <v>0.72</v>
      </c>
    </row>
    <row r="712" spans="2:6" ht="13.5" customHeight="1">
      <c r="B712" s="137">
        <v>198505</v>
      </c>
      <c r="C712" s="137">
        <v>5.09</v>
      </c>
      <c r="D712" s="137">
        <v>-2.2200000000000002</v>
      </c>
      <c r="E712" s="137">
        <v>-0.96</v>
      </c>
      <c r="F712" s="137">
        <v>0.66</v>
      </c>
    </row>
    <row r="713" spans="2:6" ht="13.5" customHeight="1">
      <c r="B713" s="137">
        <v>198506</v>
      </c>
      <c r="C713" s="137">
        <v>1.27</v>
      </c>
      <c r="D713" s="137">
        <v>0.52</v>
      </c>
      <c r="E713" s="137">
        <v>0.38</v>
      </c>
      <c r="F713" s="137">
        <v>0.55000000000000004</v>
      </c>
    </row>
    <row r="714" spans="2:6" ht="13.5" customHeight="1">
      <c r="B714" s="137">
        <v>198507</v>
      </c>
      <c r="C714" s="137">
        <v>-0.74</v>
      </c>
      <c r="D714" s="137">
        <v>2.84</v>
      </c>
      <c r="E714" s="137">
        <v>-1.62</v>
      </c>
      <c r="F714" s="137">
        <v>0.62</v>
      </c>
    </row>
    <row r="715" spans="2:6" ht="13.5" customHeight="1">
      <c r="B715" s="137">
        <v>198508</v>
      </c>
      <c r="C715" s="137">
        <v>-1.02</v>
      </c>
      <c r="D715" s="137">
        <v>-0.3</v>
      </c>
      <c r="E715" s="137">
        <v>2.3199999999999998</v>
      </c>
      <c r="F715" s="137">
        <v>0.55000000000000004</v>
      </c>
    </row>
    <row r="716" spans="2:6" ht="13.5" customHeight="1">
      <c r="B716" s="137">
        <v>198509</v>
      </c>
      <c r="C716" s="137">
        <v>-4.54</v>
      </c>
      <c r="D716" s="137">
        <v>-1.59</v>
      </c>
      <c r="E716" s="137">
        <v>1.29</v>
      </c>
      <c r="F716" s="137">
        <v>0.6</v>
      </c>
    </row>
    <row r="717" spans="2:6" ht="13.5" customHeight="1">
      <c r="B717" s="137">
        <v>198510</v>
      </c>
      <c r="C717" s="137">
        <v>4.0199999999999996</v>
      </c>
      <c r="D717" s="137">
        <v>-1.51</v>
      </c>
      <c r="E717" s="137">
        <v>0.75</v>
      </c>
      <c r="F717" s="137">
        <v>0.65</v>
      </c>
    </row>
    <row r="718" spans="2:6" ht="13.5" customHeight="1">
      <c r="B718" s="137">
        <v>198511</v>
      </c>
      <c r="C718" s="137">
        <v>6.48</v>
      </c>
      <c r="D718" s="137">
        <v>0.25</v>
      </c>
      <c r="E718" s="137">
        <v>-2.85</v>
      </c>
      <c r="F718" s="137">
        <v>0.61</v>
      </c>
    </row>
    <row r="719" spans="2:6" ht="13.5" customHeight="1">
      <c r="B719" s="137">
        <v>198512</v>
      </c>
      <c r="C719" s="137">
        <v>3.88</v>
      </c>
      <c r="D719" s="137">
        <v>-0.51</v>
      </c>
      <c r="E719" s="137">
        <v>-1.54</v>
      </c>
      <c r="F719" s="137">
        <v>0.65</v>
      </c>
    </row>
    <row r="720" spans="2:6" ht="13.5" customHeight="1">
      <c r="B720" s="137">
        <v>198601</v>
      </c>
      <c r="C720" s="137">
        <v>0.65</v>
      </c>
      <c r="D720" s="137">
        <v>1.21</v>
      </c>
      <c r="E720" s="137">
        <v>0.44</v>
      </c>
      <c r="F720" s="137">
        <v>0.56000000000000005</v>
      </c>
    </row>
    <row r="721" spans="2:6" ht="13.5" customHeight="1">
      <c r="B721" s="137">
        <v>198602</v>
      </c>
      <c r="C721" s="137">
        <v>7.13</v>
      </c>
      <c r="D721" s="137">
        <v>-0.54</v>
      </c>
      <c r="E721" s="137">
        <v>-0.72</v>
      </c>
      <c r="F721" s="137">
        <v>0.53</v>
      </c>
    </row>
    <row r="722" spans="2:6" ht="13.5" customHeight="1">
      <c r="B722" s="137">
        <v>198603</v>
      </c>
      <c r="C722" s="137">
        <v>4.88</v>
      </c>
      <c r="D722" s="137">
        <v>-0.59</v>
      </c>
      <c r="E722" s="137">
        <v>-0.39</v>
      </c>
      <c r="F722" s="137">
        <v>0.6</v>
      </c>
    </row>
    <row r="723" spans="2:6" ht="13.5" customHeight="1">
      <c r="B723" s="137">
        <v>198604</v>
      </c>
      <c r="C723" s="137">
        <v>-1.31</v>
      </c>
      <c r="D723" s="137">
        <v>2.78</v>
      </c>
      <c r="E723" s="137">
        <v>-2.87</v>
      </c>
      <c r="F723" s="137">
        <v>0.52</v>
      </c>
    </row>
    <row r="724" spans="2:6" ht="13.5" customHeight="1">
      <c r="B724" s="137">
        <v>198605</v>
      </c>
      <c r="C724" s="137">
        <v>4.62</v>
      </c>
      <c r="D724" s="137">
        <v>-1.35</v>
      </c>
      <c r="E724" s="137">
        <v>-0.21</v>
      </c>
      <c r="F724" s="137">
        <v>0.49</v>
      </c>
    </row>
    <row r="725" spans="2:6" ht="13.5" customHeight="1">
      <c r="B725" s="137">
        <v>198606</v>
      </c>
      <c r="C725" s="137">
        <v>1.03</v>
      </c>
      <c r="D725" s="137">
        <v>-0.96</v>
      </c>
      <c r="E725" s="137">
        <v>1.28</v>
      </c>
      <c r="F725" s="137">
        <v>0.52</v>
      </c>
    </row>
    <row r="726" spans="2:6" ht="13.5" customHeight="1">
      <c r="B726" s="137">
        <v>198607</v>
      </c>
      <c r="C726" s="137">
        <v>-6.45</v>
      </c>
      <c r="D726" s="137">
        <v>-3.36</v>
      </c>
      <c r="E726" s="137">
        <v>4.7</v>
      </c>
      <c r="F726" s="137">
        <v>0.52</v>
      </c>
    </row>
    <row r="727" spans="2:6" ht="13.5" customHeight="1">
      <c r="B727" s="137">
        <v>198608</v>
      </c>
      <c r="C727" s="137">
        <v>6.07</v>
      </c>
      <c r="D727" s="137">
        <v>-4.17</v>
      </c>
      <c r="E727" s="137">
        <v>3.51</v>
      </c>
      <c r="F727" s="137">
        <v>0.46</v>
      </c>
    </row>
    <row r="728" spans="2:6" ht="13.5" customHeight="1">
      <c r="B728" s="137">
        <v>198609</v>
      </c>
      <c r="C728" s="137">
        <v>-8.6</v>
      </c>
      <c r="D728" s="137">
        <v>2.36</v>
      </c>
      <c r="E728" s="137">
        <v>3.22</v>
      </c>
      <c r="F728" s="137">
        <v>0.45</v>
      </c>
    </row>
    <row r="729" spans="2:6" ht="13.5" customHeight="1">
      <c r="B729" s="137">
        <v>198610</v>
      </c>
      <c r="C729" s="137">
        <v>4.66</v>
      </c>
      <c r="D729" s="137">
        <v>-2.5</v>
      </c>
      <c r="E729" s="137">
        <v>-1.42</v>
      </c>
      <c r="F729" s="137">
        <v>0.46</v>
      </c>
    </row>
    <row r="730" spans="2:6" ht="13.5" customHeight="1">
      <c r="B730" s="137">
        <v>198611</v>
      </c>
      <c r="C730" s="137">
        <v>1.17</v>
      </c>
      <c r="D730" s="137">
        <v>-1.91</v>
      </c>
      <c r="E730" s="137">
        <v>-7.0000000000000007E-2</v>
      </c>
      <c r="F730" s="137">
        <v>0.39</v>
      </c>
    </row>
    <row r="731" spans="2:6" ht="13.5" customHeight="1">
      <c r="B731" s="137">
        <v>198612</v>
      </c>
      <c r="C731" s="137">
        <v>-3.27</v>
      </c>
      <c r="D731" s="137">
        <v>0.13</v>
      </c>
      <c r="E731" s="137">
        <v>0.36</v>
      </c>
      <c r="F731" s="137">
        <v>0.49</v>
      </c>
    </row>
    <row r="732" spans="2:6" ht="13.5" customHeight="1">
      <c r="B732" s="137">
        <v>198701</v>
      </c>
      <c r="C732" s="137">
        <v>12.47</v>
      </c>
      <c r="D732" s="137">
        <v>-1.81</v>
      </c>
      <c r="E732" s="137">
        <v>-3.16</v>
      </c>
      <c r="F732" s="137">
        <v>0.42</v>
      </c>
    </row>
    <row r="733" spans="2:6" ht="13.5" customHeight="1">
      <c r="B733" s="137">
        <v>198702</v>
      </c>
      <c r="C733" s="137">
        <v>4.3899999999999997</v>
      </c>
      <c r="D733" s="137">
        <v>3.49</v>
      </c>
      <c r="E733" s="137">
        <v>-5.91</v>
      </c>
      <c r="F733" s="137">
        <v>0.43</v>
      </c>
    </row>
    <row r="734" spans="2:6" ht="13.5" customHeight="1">
      <c r="B734" s="137">
        <v>198703</v>
      </c>
      <c r="C734" s="137">
        <v>1.64</v>
      </c>
      <c r="D734" s="137">
        <v>0.45</v>
      </c>
      <c r="E734" s="137">
        <v>1.61</v>
      </c>
      <c r="F734" s="137">
        <v>0.47</v>
      </c>
    </row>
    <row r="735" spans="2:6" ht="13.5" customHeight="1">
      <c r="B735" s="137">
        <v>198704</v>
      </c>
      <c r="C735" s="137">
        <v>-2.11</v>
      </c>
      <c r="D735" s="137">
        <v>-1.69</v>
      </c>
      <c r="E735" s="137">
        <v>-0.39</v>
      </c>
      <c r="F735" s="137">
        <v>0.44</v>
      </c>
    </row>
    <row r="736" spans="2:6" ht="13.5" customHeight="1">
      <c r="B736" s="137">
        <v>198705</v>
      </c>
      <c r="C736" s="137">
        <v>0.11</v>
      </c>
      <c r="D736" s="137">
        <v>-0.5</v>
      </c>
      <c r="E736" s="137">
        <v>0.23</v>
      </c>
      <c r="F736" s="137">
        <v>0.38</v>
      </c>
    </row>
    <row r="737" spans="2:6" ht="13.5" customHeight="1">
      <c r="B737" s="137">
        <v>198706</v>
      </c>
      <c r="C737" s="137">
        <v>3.94</v>
      </c>
      <c r="D737" s="137">
        <v>-2.12</v>
      </c>
      <c r="E737" s="137">
        <v>1.04</v>
      </c>
      <c r="F737" s="137">
        <v>0.48</v>
      </c>
    </row>
    <row r="738" spans="2:6" ht="13.5" customHeight="1">
      <c r="B738" s="137">
        <v>198707</v>
      </c>
      <c r="C738" s="137">
        <v>3.85</v>
      </c>
      <c r="D738" s="137">
        <v>-0.69</v>
      </c>
      <c r="E738" s="137">
        <v>0.68</v>
      </c>
      <c r="F738" s="137">
        <v>0.46</v>
      </c>
    </row>
    <row r="739" spans="2:6" ht="13.5" customHeight="1">
      <c r="B739" s="137">
        <v>198708</v>
      </c>
      <c r="C739" s="137">
        <v>3.52</v>
      </c>
      <c r="D739" s="137">
        <v>-0.77</v>
      </c>
      <c r="E739" s="137">
        <v>-0.93</v>
      </c>
      <c r="F739" s="137">
        <v>0.47</v>
      </c>
    </row>
    <row r="740" spans="2:6" ht="13.5" customHeight="1">
      <c r="B740" s="137">
        <v>198709</v>
      </c>
      <c r="C740" s="137">
        <v>-2.59</v>
      </c>
      <c r="D740" s="137">
        <v>0.54</v>
      </c>
      <c r="E740" s="137">
        <v>0.27</v>
      </c>
      <c r="F740" s="137">
        <v>0.45</v>
      </c>
    </row>
    <row r="741" spans="2:6" ht="13.5" customHeight="1">
      <c r="B741" s="137">
        <v>198710</v>
      </c>
      <c r="C741" s="137">
        <v>-23.24</v>
      </c>
      <c r="D741" s="137">
        <v>-8.43</v>
      </c>
      <c r="E741" s="137">
        <v>4.24</v>
      </c>
      <c r="F741" s="137">
        <v>0.6</v>
      </c>
    </row>
    <row r="742" spans="2:6" ht="13.5" customHeight="1">
      <c r="B742" s="137">
        <v>198711</v>
      </c>
      <c r="C742" s="137">
        <v>-7.77</v>
      </c>
      <c r="D742" s="137">
        <v>2.72</v>
      </c>
      <c r="E742" s="137">
        <v>2.95</v>
      </c>
      <c r="F742" s="137">
        <v>0.35</v>
      </c>
    </row>
    <row r="743" spans="2:6" ht="13.5" customHeight="1">
      <c r="B743" s="137">
        <v>198712</v>
      </c>
      <c r="C743" s="137">
        <v>6.81</v>
      </c>
      <c r="D743" s="137">
        <v>0.13</v>
      </c>
      <c r="E743" s="137">
        <v>-4.43</v>
      </c>
      <c r="F743" s="137">
        <v>0.39</v>
      </c>
    </row>
    <row r="744" spans="2:6" ht="13.5" customHeight="1">
      <c r="B744" s="137">
        <v>198801</v>
      </c>
      <c r="C744" s="137">
        <v>4.21</v>
      </c>
      <c r="D744" s="137">
        <v>-0.72</v>
      </c>
      <c r="E744" s="137">
        <v>5.01</v>
      </c>
      <c r="F744" s="137">
        <v>0.28999999999999998</v>
      </c>
    </row>
    <row r="745" spans="2:6" ht="13.5" customHeight="1">
      <c r="B745" s="137">
        <v>198802</v>
      </c>
      <c r="C745" s="137">
        <v>4.75</v>
      </c>
      <c r="D745" s="137">
        <v>3.34</v>
      </c>
      <c r="E745" s="137">
        <v>-1.71</v>
      </c>
      <c r="F745" s="137">
        <v>0.46</v>
      </c>
    </row>
    <row r="746" spans="2:6" ht="13.5" customHeight="1">
      <c r="B746" s="137">
        <v>198803</v>
      </c>
      <c r="C746" s="137">
        <v>-2.27</v>
      </c>
      <c r="D746" s="137">
        <v>6.15</v>
      </c>
      <c r="E746" s="137">
        <v>0.73</v>
      </c>
      <c r="F746" s="137">
        <v>0.44</v>
      </c>
    </row>
    <row r="747" spans="2:6" ht="13.5" customHeight="1">
      <c r="B747" s="137">
        <v>198804</v>
      </c>
      <c r="C747" s="137">
        <v>0.56000000000000005</v>
      </c>
      <c r="D747" s="137">
        <v>1</v>
      </c>
      <c r="E747" s="137">
        <v>1.67</v>
      </c>
      <c r="F747" s="137">
        <v>0.46</v>
      </c>
    </row>
    <row r="748" spans="2:6" ht="13.5" customHeight="1">
      <c r="B748" s="137">
        <v>198805</v>
      </c>
      <c r="C748" s="137">
        <v>-0.28999999999999998</v>
      </c>
      <c r="D748" s="137">
        <v>-2.6</v>
      </c>
      <c r="E748" s="137">
        <v>2.42</v>
      </c>
      <c r="F748" s="137">
        <v>0.51</v>
      </c>
    </row>
    <row r="749" spans="2:6" ht="13.5" customHeight="1">
      <c r="B749" s="137">
        <v>198806</v>
      </c>
      <c r="C749" s="137">
        <v>4.79</v>
      </c>
      <c r="D749" s="137">
        <v>2.11</v>
      </c>
      <c r="E749" s="137">
        <v>-1.24</v>
      </c>
      <c r="F749" s="137">
        <v>0.49</v>
      </c>
    </row>
    <row r="750" spans="2:6" ht="13.5" customHeight="1">
      <c r="B750" s="137">
        <v>198807</v>
      </c>
      <c r="C750" s="137">
        <v>-1.25</v>
      </c>
      <c r="D750" s="137">
        <v>-0.25</v>
      </c>
      <c r="E750" s="137">
        <v>2.2200000000000002</v>
      </c>
      <c r="F750" s="137">
        <v>0.51</v>
      </c>
    </row>
    <row r="751" spans="2:6" ht="13.5" customHeight="1">
      <c r="B751" s="137">
        <v>198808</v>
      </c>
      <c r="C751" s="137">
        <v>-3.31</v>
      </c>
      <c r="D751" s="137">
        <v>0.04</v>
      </c>
      <c r="E751" s="137">
        <v>2.15</v>
      </c>
      <c r="F751" s="137">
        <v>0.59</v>
      </c>
    </row>
    <row r="752" spans="2:6" ht="13.5" customHeight="1">
      <c r="B752" s="137">
        <v>198809</v>
      </c>
      <c r="C752" s="137">
        <v>3.3</v>
      </c>
      <c r="D752" s="137">
        <v>-1.31</v>
      </c>
      <c r="E752" s="137">
        <v>-0.75</v>
      </c>
      <c r="F752" s="137">
        <v>0.62</v>
      </c>
    </row>
    <row r="753" spans="2:6" ht="13.5" customHeight="1">
      <c r="B753" s="137">
        <v>198810</v>
      </c>
      <c r="C753" s="137">
        <v>1.1499999999999999</v>
      </c>
      <c r="D753" s="137">
        <v>-2.93</v>
      </c>
      <c r="E753" s="137">
        <v>2.0499999999999998</v>
      </c>
      <c r="F753" s="137">
        <v>0.61</v>
      </c>
    </row>
    <row r="754" spans="2:6" ht="13.5" customHeight="1">
      <c r="B754" s="137">
        <v>198811</v>
      </c>
      <c r="C754" s="137">
        <v>-2.29</v>
      </c>
      <c r="D754" s="137">
        <v>-1.72</v>
      </c>
      <c r="E754" s="137">
        <v>1.41</v>
      </c>
      <c r="F754" s="137">
        <v>0.56999999999999995</v>
      </c>
    </row>
    <row r="755" spans="2:6" ht="13.5" customHeight="1">
      <c r="B755" s="137">
        <v>198812</v>
      </c>
      <c r="C755" s="137">
        <v>1.49</v>
      </c>
      <c r="D755" s="137">
        <v>1.95</v>
      </c>
      <c r="E755" s="137">
        <v>-1.69</v>
      </c>
      <c r="F755" s="137">
        <v>0.63</v>
      </c>
    </row>
    <row r="756" spans="2:6" ht="13.5" customHeight="1">
      <c r="B756" s="137">
        <v>198901</v>
      </c>
      <c r="C756" s="137">
        <v>6.1</v>
      </c>
      <c r="D756" s="137">
        <v>-2.23</v>
      </c>
      <c r="E756" s="137">
        <v>0.6</v>
      </c>
      <c r="F756" s="137">
        <v>0.55000000000000004</v>
      </c>
    </row>
    <row r="757" spans="2:6" ht="13.5" customHeight="1">
      <c r="B757" s="137">
        <v>198902</v>
      </c>
      <c r="C757" s="137">
        <v>-2.25</v>
      </c>
      <c r="D757" s="137">
        <v>2.82</v>
      </c>
      <c r="E757" s="137">
        <v>1.01</v>
      </c>
      <c r="F757" s="137">
        <v>0.61</v>
      </c>
    </row>
    <row r="758" spans="2:6" ht="13.5" customHeight="1">
      <c r="B758" s="137">
        <v>198903</v>
      </c>
      <c r="C758" s="137">
        <v>1.57</v>
      </c>
      <c r="D758" s="137">
        <v>0.67</v>
      </c>
      <c r="E758" s="137">
        <v>0.57999999999999996</v>
      </c>
      <c r="F758" s="137">
        <v>0.67</v>
      </c>
    </row>
    <row r="759" spans="2:6" ht="13.5" customHeight="1">
      <c r="B759" s="137">
        <v>198904</v>
      </c>
      <c r="C759" s="137">
        <v>4.33</v>
      </c>
      <c r="D759" s="137">
        <v>-0.68</v>
      </c>
      <c r="E759" s="137">
        <v>-1.42</v>
      </c>
      <c r="F759" s="137">
        <v>0.67</v>
      </c>
    </row>
    <row r="760" spans="2:6" ht="13.5" customHeight="1">
      <c r="B760" s="137">
        <v>198905</v>
      </c>
      <c r="C760" s="137">
        <v>3.35</v>
      </c>
      <c r="D760" s="137">
        <v>-0.05</v>
      </c>
      <c r="E760" s="137">
        <v>-0.88</v>
      </c>
      <c r="F760" s="137">
        <v>0.79</v>
      </c>
    </row>
    <row r="761" spans="2:6" ht="13.5" customHeight="1">
      <c r="B761" s="137">
        <v>198906</v>
      </c>
      <c r="C761" s="137">
        <v>-1.35</v>
      </c>
      <c r="D761" s="137">
        <v>-1.02</v>
      </c>
      <c r="E761" s="137">
        <v>2.25</v>
      </c>
      <c r="F761" s="137">
        <v>0.71</v>
      </c>
    </row>
    <row r="762" spans="2:6" ht="13.5" customHeight="1">
      <c r="B762" s="137">
        <v>198907</v>
      </c>
      <c r="C762" s="137">
        <v>7.2</v>
      </c>
      <c r="D762" s="137">
        <v>-4.1399999999999997</v>
      </c>
      <c r="E762" s="137">
        <v>-2.79</v>
      </c>
      <c r="F762" s="137">
        <v>0.7</v>
      </c>
    </row>
    <row r="763" spans="2:6" ht="13.5" customHeight="1">
      <c r="B763" s="137">
        <v>198908</v>
      </c>
      <c r="C763" s="137">
        <v>1.44</v>
      </c>
      <c r="D763" s="137">
        <v>0.56000000000000005</v>
      </c>
      <c r="E763" s="137">
        <v>0.6</v>
      </c>
      <c r="F763" s="137">
        <v>0.74</v>
      </c>
    </row>
    <row r="764" spans="2:6" ht="13.5" customHeight="1">
      <c r="B764" s="137">
        <v>198909</v>
      </c>
      <c r="C764" s="137">
        <v>-0.76</v>
      </c>
      <c r="D764" s="137">
        <v>0.32</v>
      </c>
      <c r="E764" s="137">
        <v>-1.27</v>
      </c>
      <c r="F764" s="137">
        <v>0.65</v>
      </c>
    </row>
    <row r="765" spans="2:6" ht="13.5" customHeight="1">
      <c r="B765" s="137">
        <v>198910</v>
      </c>
      <c r="C765" s="137">
        <v>-3.67</v>
      </c>
      <c r="D765" s="137">
        <v>-3.23</v>
      </c>
      <c r="E765" s="137">
        <v>-1.1100000000000001</v>
      </c>
      <c r="F765" s="137">
        <v>0.68</v>
      </c>
    </row>
    <row r="766" spans="2:6" ht="13.5" customHeight="1">
      <c r="B766" s="137">
        <v>198911</v>
      </c>
      <c r="C766" s="137">
        <v>1.03</v>
      </c>
      <c r="D766" s="137">
        <v>-1.24</v>
      </c>
      <c r="E766" s="137">
        <v>-1.0900000000000001</v>
      </c>
      <c r="F766" s="137">
        <v>0.69</v>
      </c>
    </row>
    <row r="767" spans="2:6" ht="13.5" customHeight="1">
      <c r="B767" s="137">
        <v>198912</v>
      </c>
      <c r="C767" s="137">
        <v>1.1599999999999999</v>
      </c>
      <c r="D767" s="137">
        <v>-2.36</v>
      </c>
      <c r="E767" s="137">
        <v>0.16</v>
      </c>
      <c r="F767" s="137">
        <v>0.61</v>
      </c>
    </row>
    <row r="768" spans="2:6" ht="13.5" customHeight="1">
      <c r="B768" s="137">
        <v>199001</v>
      </c>
      <c r="C768" s="137">
        <v>-7.85</v>
      </c>
      <c r="D768" s="137">
        <v>-1.24</v>
      </c>
      <c r="E768" s="137">
        <v>0.85</v>
      </c>
      <c r="F768" s="137">
        <v>0.56999999999999995</v>
      </c>
    </row>
    <row r="769" spans="2:6" ht="13.5" customHeight="1">
      <c r="B769" s="137">
        <v>199002</v>
      </c>
      <c r="C769" s="137">
        <v>1.1100000000000001</v>
      </c>
      <c r="D769" s="137">
        <v>0.99</v>
      </c>
      <c r="E769" s="137">
        <v>0.64</v>
      </c>
      <c r="F769" s="137">
        <v>0.56999999999999995</v>
      </c>
    </row>
    <row r="770" spans="2:6" ht="13.5" customHeight="1">
      <c r="B770" s="137">
        <v>199003</v>
      </c>
      <c r="C770" s="137">
        <v>1.83</v>
      </c>
      <c r="D770" s="137">
        <v>1.5</v>
      </c>
      <c r="E770" s="137">
        <v>-2.92</v>
      </c>
      <c r="F770" s="137">
        <v>0.64</v>
      </c>
    </row>
    <row r="771" spans="2:6" ht="13.5" customHeight="1">
      <c r="B771" s="137">
        <v>199004</v>
      </c>
      <c r="C771" s="137">
        <v>-3.36</v>
      </c>
      <c r="D771" s="137">
        <v>-0.46</v>
      </c>
      <c r="E771" s="137">
        <v>-2.59</v>
      </c>
      <c r="F771" s="137">
        <v>0.69</v>
      </c>
    </row>
    <row r="772" spans="2:6" ht="13.5" customHeight="1">
      <c r="B772" s="137">
        <v>199005</v>
      </c>
      <c r="C772" s="137">
        <v>8.42</v>
      </c>
      <c r="D772" s="137">
        <v>-2.5299999999999998</v>
      </c>
      <c r="E772" s="137">
        <v>-3.83</v>
      </c>
      <c r="F772" s="137">
        <v>0.68</v>
      </c>
    </row>
    <row r="773" spans="2:6" ht="13.5" customHeight="1">
      <c r="B773" s="137">
        <v>199006</v>
      </c>
      <c r="C773" s="137">
        <v>-1.0900000000000001</v>
      </c>
      <c r="D773" s="137">
        <v>1.4</v>
      </c>
      <c r="E773" s="137">
        <v>-1.93</v>
      </c>
      <c r="F773" s="137">
        <v>0.63</v>
      </c>
    </row>
    <row r="774" spans="2:6" ht="13.5" customHeight="1">
      <c r="B774" s="137">
        <v>199007</v>
      </c>
      <c r="C774" s="137">
        <v>-1.9</v>
      </c>
      <c r="D774" s="137">
        <v>-3.12</v>
      </c>
      <c r="E774" s="137">
        <v>-0.03</v>
      </c>
      <c r="F774" s="137">
        <v>0.68</v>
      </c>
    </row>
    <row r="775" spans="2:6" ht="13.5" customHeight="1">
      <c r="B775" s="137">
        <v>199008</v>
      </c>
      <c r="C775" s="137">
        <v>-10.15</v>
      </c>
      <c r="D775" s="137">
        <v>-3.57</v>
      </c>
      <c r="E775" s="137">
        <v>1.64</v>
      </c>
      <c r="F775" s="137">
        <v>0.66</v>
      </c>
    </row>
    <row r="776" spans="2:6" ht="13.5" customHeight="1">
      <c r="B776" s="137">
        <v>199009</v>
      </c>
      <c r="C776" s="137">
        <v>-6.12</v>
      </c>
      <c r="D776" s="137">
        <v>-3.65</v>
      </c>
      <c r="E776" s="137">
        <v>0.64</v>
      </c>
      <c r="F776" s="137">
        <v>0.6</v>
      </c>
    </row>
    <row r="777" spans="2:6" ht="13.5" customHeight="1">
      <c r="B777" s="137">
        <v>199010</v>
      </c>
      <c r="C777" s="137">
        <v>-1.92</v>
      </c>
      <c r="D777" s="137">
        <v>-5.57</v>
      </c>
      <c r="E777" s="137">
        <v>0.1</v>
      </c>
      <c r="F777" s="137">
        <v>0.68</v>
      </c>
    </row>
    <row r="778" spans="2:6" ht="13.5" customHeight="1">
      <c r="B778" s="137">
        <v>199011</v>
      </c>
      <c r="C778" s="137">
        <v>6.35</v>
      </c>
      <c r="D778" s="137">
        <v>0.43</v>
      </c>
      <c r="E778" s="137">
        <v>-3.1</v>
      </c>
      <c r="F778" s="137">
        <v>0.56999999999999995</v>
      </c>
    </row>
    <row r="779" spans="2:6" ht="13.5" customHeight="1">
      <c r="B779" s="137">
        <v>199012</v>
      </c>
      <c r="C779" s="137">
        <v>2.46</v>
      </c>
      <c r="D779" s="137">
        <v>0.81</v>
      </c>
      <c r="E779" s="137">
        <v>-1.7</v>
      </c>
      <c r="F779" s="137">
        <v>0.6</v>
      </c>
    </row>
    <row r="780" spans="2:6" ht="13.5" customHeight="1">
      <c r="B780" s="137">
        <v>199101</v>
      </c>
      <c r="C780" s="137">
        <v>4.6900000000000004</v>
      </c>
      <c r="D780" s="137">
        <v>3.81</v>
      </c>
      <c r="E780" s="137">
        <v>-1.6</v>
      </c>
      <c r="F780" s="137">
        <v>0.52</v>
      </c>
    </row>
    <row r="781" spans="2:6" ht="13.5" customHeight="1">
      <c r="B781" s="137">
        <v>199102</v>
      </c>
      <c r="C781" s="137">
        <v>7.19</v>
      </c>
      <c r="D781" s="137">
        <v>3.95</v>
      </c>
      <c r="E781" s="137">
        <v>-0.57999999999999996</v>
      </c>
      <c r="F781" s="137">
        <v>0.48</v>
      </c>
    </row>
    <row r="782" spans="2:6" ht="13.5" customHeight="1">
      <c r="B782" s="137">
        <v>199103</v>
      </c>
      <c r="C782" s="137">
        <v>2.65</v>
      </c>
      <c r="D782" s="137">
        <v>3.93</v>
      </c>
      <c r="E782" s="137">
        <v>-1.39</v>
      </c>
      <c r="F782" s="137">
        <v>0.44</v>
      </c>
    </row>
    <row r="783" spans="2:6" ht="13.5" customHeight="1">
      <c r="B783" s="137">
        <v>199104</v>
      </c>
      <c r="C783" s="137">
        <v>-0.28000000000000003</v>
      </c>
      <c r="D783" s="137">
        <v>0.48</v>
      </c>
      <c r="E783" s="137">
        <v>1.5</v>
      </c>
      <c r="F783" s="137">
        <v>0.53</v>
      </c>
    </row>
    <row r="784" spans="2:6" ht="13.5" customHeight="1">
      <c r="B784" s="137">
        <v>199105</v>
      </c>
      <c r="C784" s="137">
        <v>3.65</v>
      </c>
      <c r="D784" s="137">
        <v>-0.4</v>
      </c>
      <c r="E784" s="137">
        <v>-0.52</v>
      </c>
      <c r="F784" s="137">
        <v>0.47</v>
      </c>
    </row>
    <row r="785" spans="2:6" ht="13.5" customHeight="1">
      <c r="B785" s="137">
        <v>199106</v>
      </c>
      <c r="C785" s="137">
        <v>-4.9400000000000004</v>
      </c>
      <c r="D785" s="137">
        <v>0.13</v>
      </c>
      <c r="E785" s="137">
        <v>1.1499999999999999</v>
      </c>
      <c r="F785" s="137">
        <v>0.42</v>
      </c>
    </row>
    <row r="786" spans="2:6" ht="13.5" customHeight="1">
      <c r="B786" s="137">
        <v>199107</v>
      </c>
      <c r="C786" s="137">
        <v>4.24</v>
      </c>
      <c r="D786" s="137">
        <v>-0.92</v>
      </c>
      <c r="E786" s="137">
        <v>-1.32</v>
      </c>
      <c r="F786" s="137">
        <v>0.49</v>
      </c>
    </row>
    <row r="787" spans="2:6" ht="13.5" customHeight="1">
      <c r="B787" s="137">
        <v>199108</v>
      </c>
      <c r="C787" s="137">
        <v>2.3199999999999998</v>
      </c>
      <c r="D787" s="137">
        <v>1.58</v>
      </c>
      <c r="E787" s="137">
        <v>-0.78</v>
      </c>
      <c r="F787" s="137">
        <v>0.46</v>
      </c>
    </row>
    <row r="788" spans="2:6" ht="13.5" customHeight="1">
      <c r="B788" s="137">
        <v>199109</v>
      </c>
      <c r="C788" s="137">
        <v>-1.59</v>
      </c>
      <c r="D788" s="137">
        <v>1.64</v>
      </c>
      <c r="E788" s="137">
        <v>-1.08</v>
      </c>
      <c r="F788" s="137">
        <v>0.46</v>
      </c>
    </row>
    <row r="789" spans="2:6" ht="13.5" customHeight="1">
      <c r="B789" s="137">
        <v>199110</v>
      </c>
      <c r="C789" s="137">
        <v>1.29</v>
      </c>
      <c r="D789" s="137">
        <v>0.81</v>
      </c>
      <c r="E789" s="137">
        <v>-0.47</v>
      </c>
      <c r="F789" s="137">
        <v>0.42</v>
      </c>
    </row>
    <row r="790" spans="2:6" ht="13.5" customHeight="1">
      <c r="B790" s="137">
        <v>199111</v>
      </c>
      <c r="C790" s="137">
        <v>-4.1900000000000004</v>
      </c>
      <c r="D790" s="137">
        <v>-0.5</v>
      </c>
      <c r="E790" s="137">
        <v>-1.89</v>
      </c>
      <c r="F790" s="137">
        <v>0.39</v>
      </c>
    </row>
    <row r="791" spans="2:6" ht="13.5" customHeight="1">
      <c r="B791" s="137">
        <v>199112</v>
      </c>
      <c r="C791" s="137">
        <v>10.84</v>
      </c>
      <c r="D791" s="137">
        <v>-2.2400000000000002</v>
      </c>
      <c r="E791" s="137">
        <v>-4.17</v>
      </c>
      <c r="F791" s="137">
        <v>0.38</v>
      </c>
    </row>
    <row r="792" spans="2:6" ht="13.5" customHeight="1">
      <c r="B792" s="137">
        <v>199201</v>
      </c>
      <c r="C792" s="137">
        <v>-0.59</v>
      </c>
      <c r="D792" s="137">
        <v>8.4600000000000009</v>
      </c>
      <c r="E792" s="137">
        <v>4.71</v>
      </c>
      <c r="F792" s="137">
        <v>0.34</v>
      </c>
    </row>
    <row r="793" spans="2:6" ht="13.5" customHeight="1">
      <c r="B793" s="137">
        <v>199202</v>
      </c>
      <c r="C793" s="137">
        <v>1.0900000000000001</v>
      </c>
      <c r="D793" s="137">
        <v>0.87</v>
      </c>
      <c r="E793" s="137">
        <v>6.47</v>
      </c>
      <c r="F793" s="137">
        <v>0.28000000000000003</v>
      </c>
    </row>
    <row r="794" spans="2:6" ht="13.5" customHeight="1">
      <c r="B794" s="137">
        <v>199203</v>
      </c>
      <c r="C794" s="137">
        <v>-2.66</v>
      </c>
      <c r="D794" s="137">
        <v>-1.04</v>
      </c>
      <c r="E794" s="137">
        <v>3.56</v>
      </c>
      <c r="F794" s="137">
        <v>0.34</v>
      </c>
    </row>
    <row r="795" spans="2:6" ht="13.5" customHeight="1">
      <c r="B795" s="137">
        <v>199204</v>
      </c>
      <c r="C795" s="137">
        <v>1.07</v>
      </c>
      <c r="D795" s="137">
        <v>-6.06</v>
      </c>
      <c r="E795" s="137">
        <v>4.34</v>
      </c>
      <c r="F795" s="137">
        <v>0.32</v>
      </c>
    </row>
    <row r="796" spans="2:6" ht="13.5" customHeight="1">
      <c r="B796" s="137">
        <v>199205</v>
      </c>
      <c r="C796" s="137">
        <v>0.3</v>
      </c>
      <c r="D796" s="137">
        <v>0.41</v>
      </c>
      <c r="E796" s="137">
        <v>1.19</v>
      </c>
      <c r="F796" s="137">
        <v>0.28000000000000003</v>
      </c>
    </row>
    <row r="797" spans="2:6" ht="13.5" customHeight="1">
      <c r="B797" s="137">
        <v>199206</v>
      </c>
      <c r="C797" s="137">
        <v>-2.34</v>
      </c>
      <c r="D797" s="137">
        <v>-3.07</v>
      </c>
      <c r="E797" s="137">
        <v>3.24</v>
      </c>
      <c r="F797" s="137">
        <v>0.32</v>
      </c>
    </row>
    <row r="798" spans="2:6" ht="13.5" customHeight="1">
      <c r="B798" s="137">
        <v>199207</v>
      </c>
      <c r="C798" s="137">
        <v>3.77</v>
      </c>
      <c r="D798" s="137">
        <v>-0.47</v>
      </c>
      <c r="E798" s="137">
        <v>-0.56000000000000005</v>
      </c>
      <c r="F798" s="137">
        <v>0.31</v>
      </c>
    </row>
    <row r="799" spans="2:6" ht="13.5" customHeight="1">
      <c r="B799" s="137">
        <v>199208</v>
      </c>
      <c r="C799" s="137">
        <v>-2.38</v>
      </c>
      <c r="D799" s="137">
        <v>-0.13</v>
      </c>
      <c r="E799" s="137">
        <v>-1.1000000000000001</v>
      </c>
      <c r="F799" s="137">
        <v>0.26</v>
      </c>
    </row>
    <row r="800" spans="2:6" ht="13.5" customHeight="1">
      <c r="B800" s="137">
        <v>199209</v>
      </c>
      <c r="C800" s="137">
        <v>1.19</v>
      </c>
      <c r="D800" s="137">
        <v>0.54</v>
      </c>
      <c r="E800" s="137">
        <v>-0.26</v>
      </c>
      <c r="F800" s="137">
        <v>0.26</v>
      </c>
    </row>
    <row r="801" spans="2:6" ht="13.5" customHeight="1">
      <c r="B801" s="137">
        <v>199210</v>
      </c>
      <c r="C801" s="137">
        <v>1.02</v>
      </c>
      <c r="D801" s="137">
        <v>2.09</v>
      </c>
      <c r="E801" s="137">
        <v>-1.98</v>
      </c>
      <c r="F801" s="137">
        <v>0.23</v>
      </c>
    </row>
    <row r="802" spans="2:6" ht="13.5" customHeight="1">
      <c r="B802" s="137">
        <v>199211</v>
      </c>
      <c r="C802" s="137">
        <v>4.13</v>
      </c>
      <c r="D802" s="137">
        <v>3.76</v>
      </c>
      <c r="E802" s="137">
        <v>-1.35</v>
      </c>
      <c r="F802" s="137">
        <v>0.23</v>
      </c>
    </row>
    <row r="803" spans="2:6" ht="13.5" customHeight="1">
      <c r="B803" s="137">
        <v>199212</v>
      </c>
      <c r="C803" s="137">
        <v>1.53</v>
      </c>
      <c r="D803" s="137">
        <v>1.69</v>
      </c>
      <c r="E803" s="137">
        <v>2.62</v>
      </c>
      <c r="F803" s="137">
        <v>0.28000000000000003</v>
      </c>
    </row>
    <row r="804" spans="2:6" ht="13.5" customHeight="1">
      <c r="B804" s="137">
        <v>199301</v>
      </c>
      <c r="C804" s="137">
        <v>0.93</v>
      </c>
      <c r="D804" s="137">
        <v>1.89</v>
      </c>
      <c r="E804" s="137">
        <v>5.94</v>
      </c>
      <c r="F804" s="137">
        <v>0.23</v>
      </c>
    </row>
    <row r="805" spans="2:6" ht="13.5" customHeight="1">
      <c r="B805" s="137">
        <v>199302</v>
      </c>
      <c r="C805" s="137">
        <v>0.12</v>
      </c>
      <c r="D805" s="137">
        <v>-3.48</v>
      </c>
      <c r="E805" s="137">
        <v>6.42</v>
      </c>
      <c r="F805" s="137">
        <v>0.22</v>
      </c>
    </row>
    <row r="806" spans="2:6" ht="13.5" customHeight="1">
      <c r="B806" s="137">
        <v>199303</v>
      </c>
      <c r="C806" s="137">
        <v>2.2999999999999998</v>
      </c>
      <c r="D806" s="137">
        <v>0.24</v>
      </c>
      <c r="E806" s="137">
        <v>1.18</v>
      </c>
      <c r="F806" s="137">
        <v>0.25</v>
      </c>
    </row>
    <row r="807" spans="2:6" ht="13.5" customHeight="1">
      <c r="B807" s="137">
        <v>199304</v>
      </c>
      <c r="C807" s="137">
        <v>-3.05</v>
      </c>
      <c r="D807" s="137">
        <v>-0.67</v>
      </c>
      <c r="E807" s="137">
        <v>2.4900000000000002</v>
      </c>
      <c r="F807" s="137">
        <v>0.24</v>
      </c>
    </row>
    <row r="808" spans="2:6" ht="13.5" customHeight="1">
      <c r="B808" s="137">
        <v>199305</v>
      </c>
      <c r="C808" s="137">
        <v>2.89</v>
      </c>
      <c r="D808" s="137">
        <v>2.04</v>
      </c>
      <c r="E808" s="137">
        <v>-3.42</v>
      </c>
      <c r="F808" s="137">
        <v>0.22</v>
      </c>
    </row>
    <row r="809" spans="2:6" ht="13.5" customHeight="1">
      <c r="B809" s="137">
        <v>199306</v>
      </c>
      <c r="C809" s="137">
        <v>0.31</v>
      </c>
      <c r="D809" s="137">
        <v>-0.28999999999999998</v>
      </c>
      <c r="E809" s="137">
        <v>2.75</v>
      </c>
      <c r="F809" s="137">
        <v>0.25</v>
      </c>
    </row>
    <row r="810" spans="2:6" ht="13.5" customHeight="1">
      <c r="B810" s="137">
        <v>199307</v>
      </c>
      <c r="C810" s="137">
        <v>-0.34</v>
      </c>
      <c r="D810" s="137">
        <v>0.96</v>
      </c>
      <c r="E810" s="137">
        <v>2.85</v>
      </c>
      <c r="F810" s="137">
        <v>0.24</v>
      </c>
    </row>
    <row r="811" spans="2:6" ht="13.5" customHeight="1">
      <c r="B811" s="137">
        <v>199308</v>
      </c>
      <c r="C811" s="137">
        <v>3.71</v>
      </c>
      <c r="D811" s="137">
        <v>0.13</v>
      </c>
      <c r="E811" s="137">
        <v>0.13</v>
      </c>
      <c r="F811" s="137">
        <v>0.25</v>
      </c>
    </row>
    <row r="812" spans="2:6" ht="13.5" customHeight="1">
      <c r="B812" s="137">
        <v>199309</v>
      </c>
      <c r="C812" s="137">
        <v>-0.12</v>
      </c>
      <c r="D812" s="137">
        <v>3.04</v>
      </c>
      <c r="E812" s="137">
        <v>-0.31</v>
      </c>
      <c r="F812" s="137">
        <v>0.26</v>
      </c>
    </row>
    <row r="813" spans="2:6" ht="13.5" customHeight="1">
      <c r="B813" s="137">
        <v>199310</v>
      </c>
      <c r="C813" s="137">
        <v>1.41</v>
      </c>
      <c r="D813" s="137">
        <v>2.0299999999999998</v>
      </c>
      <c r="E813" s="137">
        <v>-2.76</v>
      </c>
      <c r="F813" s="137">
        <v>0.22</v>
      </c>
    </row>
    <row r="814" spans="2:6" ht="13.5" customHeight="1">
      <c r="B814" s="137">
        <v>199311</v>
      </c>
      <c r="C814" s="137">
        <v>-1.89</v>
      </c>
      <c r="D814" s="137">
        <v>-1.25</v>
      </c>
      <c r="E814" s="137">
        <v>-0.74</v>
      </c>
      <c r="F814" s="137">
        <v>0.25</v>
      </c>
    </row>
    <row r="815" spans="2:6" ht="13.5" customHeight="1">
      <c r="B815" s="137">
        <v>199312</v>
      </c>
      <c r="C815" s="137">
        <v>1.65</v>
      </c>
      <c r="D815" s="137">
        <v>1.23</v>
      </c>
      <c r="E815" s="137">
        <v>0.32</v>
      </c>
      <c r="F815" s="137">
        <v>0.23</v>
      </c>
    </row>
    <row r="816" spans="2:6" ht="13.5" customHeight="1">
      <c r="B816" s="137">
        <v>199401</v>
      </c>
      <c r="C816" s="137">
        <v>2.87</v>
      </c>
      <c r="D816" s="137">
        <v>0.34</v>
      </c>
      <c r="E816" s="137">
        <v>1.1499999999999999</v>
      </c>
      <c r="F816" s="137">
        <v>0.25</v>
      </c>
    </row>
    <row r="817" spans="2:6" ht="13.5" customHeight="1">
      <c r="B817" s="137">
        <v>199402</v>
      </c>
      <c r="C817" s="137">
        <v>-2.5499999999999998</v>
      </c>
      <c r="D817" s="137">
        <v>2.8</v>
      </c>
      <c r="E817" s="137">
        <v>-1.54</v>
      </c>
      <c r="F817" s="137">
        <v>0.21</v>
      </c>
    </row>
    <row r="818" spans="2:6" ht="13.5" customHeight="1">
      <c r="B818" s="137">
        <v>199403</v>
      </c>
      <c r="C818" s="137">
        <v>-4.78</v>
      </c>
      <c r="D818" s="137">
        <v>-1.08</v>
      </c>
      <c r="E818" s="137">
        <v>1.6</v>
      </c>
      <c r="F818" s="137">
        <v>0.27</v>
      </c>
    </row>
    <row r="819" spans="2:6" ht="13.5" customHeight="1">
      <c r="B819" s="137">
        <v>199404</v>
      </c>
      <c r="C819" s="137">
        <v>0.68</v>
      </c>
      <c r="D819" s="137">
        <v>-0.93</v>
      </c>
      <c r="E819" s="137">
        <v>1.66</v>
      </c>
      <c r="F819" s="137">
        <v>0.27</v>
      </c>
    </row>
    <row r="820" spans="2:6" ht="13.5" customHeight="1">
      <c r="B820" s="137">
        <v>199405</v>
      </c>
      <c r="C820" s="137">
        <v>0.57999999999999996</v>
      </c>
      <c r="D820" s="137">
        <v>-2.15</v>
      </c>
      <c r="E820" s="137">
        <v>0.67</v>
      </c>
      <c r="F820" s="137">
        <v>0.31</v>
      </c>
    </row>
    <row r="821" spans="2:6" ht="13.5" customHeight="1">
      <c r="B821" s="137">
        <v>199406</v>
      </c>
      <c r="C821" s="137">
        <v>-3.03</v>
      </c>
      <c r="D821" s="137">
        <v>-0.41</v>
      </c>
      <c r="E821" s="137">
        <v>1.67</v>
      </c>
      <c r="F821" s="137">
        <v>0.31</v>
      </c>
    </row>
    <row r="822" spans="2:6" ht="13.5" customHeight="1">
      <c r="B822" s="137">
        <v>199407</v>
      </c>
      <c r="C822" s="137">
        <v>2.82</v>
      </c>
      <c r="D822" s="137">
        <v>-1.81</v>
      </c>
      <c r="E822" s="137">
        <v>0.57999999999999996</v>
      </c>
      <c r="F822" s="137">
        <v>0.28000000000000003</v>
      </c>
    </row>
    <row r="823" spans="2:6" ht="13.5" customHeight="1">
      <c r="B823" s="137">
        <v>199408</v>
      </c>
      <c r="C823" s="137">
        <v>4.01</v>
      </c>
      <c r="D823" s="137">
        <v>1.45</v>
      </c>
      <c r="E823" s="137">
        <v>-2.5099999999999998</v>
      </c>
      <c r="F823" s="137">
        <v>0.37</v>
      </c>
    </row>
    <row r="824" spans="2:6" ht="13.5" customHeight="1">
      <c r="B824" s="137">
        <v>199409</v>
      </c>
      <c r="C824" s="137">
        <v>-2.31</v>
      </c>
      <c r="D824" s="137">
        <v>3.14</v>
      </c>
      <c r="E824" s="137">
        <v>-1.89</v>
      </c>
      <c r="F824" s="137">
        <v>0.37</v>
      </c>
    </row>
    <row r="825" spans="2:6" ht="13.5" customHeight="1">
      <c r="B825" s="137">
        <v>199410</v>
      </c>
      <c r="C825" s="137">
        <v>1.34</v>
      </c>
      <c r="D825" s="137">
        <v>-2.2400000000000002</v>
      </c>
      <c r="E825" s="137">
        <v>-1.62</v>
      </c>
      <c r="F825" s="137">
        <v>0.38</v>
      </c>
    </row>
    <row r="826" spans="2:6" ht="13.5" customHeight="1">
      <c r="B826" s="137">
        <v>199411</v>
      </c>
      <c r="C826" s="137">
        <v>-4.04</v>
      </c>
      <c r="D826" s="137">
        <v>0.25</v>
      </c>
      <c r="E826" s="137">
        <v>-0.7</v>
      </c>
      <c r="F826" s="137">
        <v>0.37</v>
      </c>
    </row>
    <row r="827" spans="2:6" ht="13.5" customHeight="1">
      <c r="B827" s="137">
        <v>199412</v>
      </c>
      <c r="C827" s="137">
        <v>0.86</v>
      </c>
      <c r="D827" s="137">
        <v>0.22</v>
      </c>
      <c r="E827" s="137">
        <v>-0.13</v>
      </c>
      <c r="F827" s="137">
        <v>0.44</v>
      </c>
    </row>
    <row r="828" spans="2:6" ht="13.5" customHeight="1">
      <c r="B828" s="137">
        <v>199501</v>
      </c>
      <c r="C828" s="137">
        <v>1.8</v>
      </c>
      <c r="D828" s="137">
        <v>-3.5</v>
      </c>
      <c r="E828" s="137">
        <v>2.57</v>
      </c>
      <c r="F828" s="137">
        <v>0.42</v>
      </c>
    </row>
    <row r="829" spans="2:6" ht="13.5" customHeight="1">
      <c r="B829" s="137">
        <v>199502</v>
      </c>
      <c r="C829" s="137">
        <v>3.63</v>
      </c>
      <c r="D829" s="137">
        <v>-0.66</v>
      </c>
      <c r="E829" s="137">
        <v>1.08</v>
      </c>
      <c r="F829" s="137">
        <v>0.4</v>
      </c>
    </row>
    <row r="830" spans="2:6" ht="13.5" customHeight="1">
      <c r="B830" s="137">
        <v>199503</v>
      </c>
      <c r="C830" s="137">
        <v>2.19</v>
      </c>
      <c r="D830" s="137">
        <v>-0.16</v>
      </c>
      <c r="E830" s="137">
        <v>-2.15</v>
      </c>
      <c r="F830" s="137">
        <v>0.46</v>
      </c>
    </row>
    <row r="831" spans="2:6" ht="13.5" customHeight="1">
      <c r="B831" s="137">
        <v>199504</v>
      </c>
      <c r="C831" s="137">
        <v>2.11</v>
      </c>
      <c r="D831" s="137">
        <v>-0.49</v>
      </c>
      <c r="E831" s="137">
        <v>1.71</v>
      </c>
      <c r="F831" s="137">
        <v>0.44</v>
      </c>
    </row>
    <row r="832" spans="2:6" ht="13.5" customHeight="1">
      <c r="B832" s="137">
        <v>199505</v>
      </c>
      <c r="C832" s="137">
        <v>2.9</v>
      </c>
      <c r="D832" s="137">
        <v>-2.5499999999999998</v>
      </c>
      <c r="E832" s="137">
        <v>2.29</v>
      </c>
      <c r="F832" s="137">
        <v>0.54</v>
      </c>
    </row>
    <row r="833" spans="2:6" ht="13.5" customHeight="1">
      <c r="B833" s="137">
        <v>199506</v>
      </c>
      <c r="C833" s="137">
        <v>2.72</v>
      </c>
      <c r="D833" s="137">
        <v>3.18</v>
      </c>
      <c r="E833" s="137">
        <v>-2.54</v>
      </c>
      <c r="F833" s="137">
        <v>0.47</v>
      </c>
    </row>
    <row r="834" spans="2:6" ht="13.5" customHeight="1">
      <c r="B834" s="137">
        <v>199507</v>
      </c>
      <c r="C834" s="137">
        <v>3.72</v>
      </c>
      <c r="D834" s="137">
        <v>2.0699999999999998</v>
      </c>
      <c r="E834" s="137">
        <v>-1.62</v>
      </c>
      <c r="F834" s="137">
        <v>0.45</v>
      </c>
    </row>
    <row r="835" spans="2:6" ht="13.5" customHeight="1">
      <c r="B835" s="137">
        <v>199508</v>
      </c>
      <c r="C835" s="137">
        <v>0.55000000000000004</v>
      </c>
      <c r="D835" s="137">
        <v>1.35</v>
      </c>
      <c r="E835" s="137">
        <v>2.79</v>
      </c>
      <c r="F835" s="137">
        <v>0.47</v>
      </c>
    </row>
    <row r="836" spans="2:6" ht="13.5" customHeight="1">
      <c r="B836" s="137">
        <v>199509</v>
      </c>
      <c r="C836" s="137">
        <v>3.35</v>
      </c>
      <c r="D836" s="137">
        <v>-2.2000000000000002</v>
      </c>
      <c r="E836" s="137">
        <v>-0.04</v>
      </c>
      <c r="F836" s="137">
        <v>0.43</v>
      </c>
    </row>
    <row r="837" spans="2:6" ht="13.5" customHeight="1">
      <c r="B837" s="137">
        <v>199510</v>
      </c>
      <c r="C837" s="137">
        <v>-1.52</v>
      </c>
      <c r="D837" s="137">
        <v>-3.78</v>
      </c>
      <c r="E837" s="137">
        <v>-0.5</v>
      </c>
      <c r="F837" s="137">
        <v>0.47</v>
      </c>
    </row>
    <row r="838" spans="2:6" ht="13.5" customHeight="1">
      <c r="B838" s="137">
        <v>199511</v>
      </c>
      <c r="C838" s="137">
        <v>3.96</v>
      </c>
      <c r="D838" s="137">
        <v>-1.0900000000000001</v>
      </c>
      <c r="E838" s="137">
        <v>0.51</v>
      </c>
      <c r="F838" s="137">
        <v>0.42</v>
      </c>
    </row>
    <row r="839" spans="2:6" ht="13.5" customHeight="1">
      <c r="B839" s="137">
        <v>199512</v>
      </c>
      <c r="C839" s="137">
        <v>1.03</v>
      </c>
      <c r="D839" s="137">
        <v>0.7</v>
      </c>
      <c r="E839" s="137">
        <v>0.22</v>
      </c>
      <c r="F839" s="137">
        <v>0.49</v>
      </c>
    </row>
    <row r="840" spans="2:6" ht="13.5" customHeight="1">
      <c r="B840" s="137">
        <v>199601</v>
      </c>
      <c r="C840" s="137">
        <v>2.2599999999999998</v>
      </c>
      <c r="D840" s="137">
        <v>-2.73</v>
      </c>
      <c r="E840" s="137">
        <v>0.38</v>
      </c>
      <c r="F840" s="137">
        <v>0.43</v>
      </c>
    </row>
    <row r="841" spans="2:6" ht="13.5" customHeight="1">
      <c r="B841" s="137">
        <v>199602</v>
      </c>
      <c r="C841" s="137">
        <v>1.33</v>
      </c>
      <c r="D841" s="137">
        <v>1.79</v>
      </c>
      <c r="E841" s="137">
        <v>-1.08</v>
      </c>
      <c r="F841" s="137">
        <v>0.39</v>
      </c>
    </row>
    <row r="842" spans="2:6" ht="13.5" customHeight="1">
      <c r="B842" s="137">
        <v>199603</v>
      </c>
      <c r="C842" s="137">
        <v>0.73</v>
      </c>
      <c r="D842" s="137">
        <v>1.49</v>
      </c>
      <c r="E842" s="137">
        <v>0.35</v>
      </c>
      <c r="F842" s="137">
        <v>0.39</v>
      </c>
    </row>
    <row r="843" spans="2:6" ht="13.5" customHeight="1">
      <c r="B843" s="137">
        <v>199604</v>
      </c>
      <c r="C843" s="137">
        <v>2.06</v>
      </c>
      <c r="D843" s="137">
        <v>5.23</v>
      </c>
      <c r="E843" s="137">
        <v>-4.0199999999999996</v>
      </c>
      <c r="F843" s="137">
        <v>0.46</v>
      </c>
    </row>
    <row r="844" spans="2:6" ht="13.5" customHeight="1">
      <c r="B844" s="137">
        <v>199605</v>
      </c>
      <c r="C844" s="137">
        <v>2.36</v>
      </c>
      <c r="D844" s="137">
        <v>3.17</v>
      </c>
      <c r="E844" s="137">
        <v>-0.83</v>
      </c>
      <c r="F844" s="137">
        <v>0.42</v>
      </c>
    </row>
    <row r="845" spans="2:6" ht="13.5" customHeight="1">
      <c r="B845" s="137">
        <v>199606</v>
      </c>
      <c r="C845" s="137">
        <v>-1.1399999999999999</v>
      </c>
      <c r="D845" s="137">
        <v>-4.01</v>
      </c>
      <c r="E845" s="137">
        <v>2.35</v>
      </c>
      <c r="F845" s="137">
        <v>0.4</v>
      </c>
    </row>
    <row r="846" spans="2:6" ht="13.5" customHeight="1">
      <c r="B846" s="137">
        <v>199607</v>
      </c>
      <c r="C846" s="137">
        <v>-5.97</v>
      </c>
      <c r="D846" s="137">
        <v>-4.3099999999999996</v>
      </c>
      <c r="E846" s="137">
        <v>5.14</v>
      </c>
      <c r="F846" s="137">
        <v>0.45</v>
      </c>
    </row>
    <row r="847" spans="2:6" ht="13.5" customHeight="1">
      <c r="B847" s="137">
        <v>199608</v>
      </c>
      <c r="C847" s="137">
        <v>2.77</v>
      </c>
      <c r="D847" s="137">
        <v>2.44</v>
      </c>
      <c r="E847" s="137">
        <v>-0.74</v>
      </c>
      <c r="F847" s="137">
        <v>0.41</v>
      </c>
    </row>
    <row r="848" spans="2:6" ht="13.5" customHeight="1">
      <c r="B848" s="137">
        <v>199609</v>
      </c>
      <c r="C848" s="137">
        <v>5.01</v>
      </c>
      <c r="D848" s="137">
        <v>-0.98</v>
      </c>
      <c r="E848" s="137">
        <v>-2.72</v>
      </c>
      <c r="F848" s="137">
        <v>0.44</v>
      </c>
    </row>
    <row r="849" spans="2:6" ht="13.5" customHeight="1">
      <c r="B849" s="137">
        <v>199610</v>
      </c>
      <c r="C849" s="137">
        <v>0.86</v>
      </c>
      <c r="D849" s="137">
        <v>-4.4400000000000004</v>
      </c>
      <c r="E849" s="137">
        <v>4.9400000000000004</v>
      </c>
      <c r="F849" s="137">
        <v>0.42</v>
      </c>
    </row>
    <row r="850" spans="2:6" ht="13.5" customHeight="1">
      <c r="B850" s="137">
        <v>199611</v>
      </c>
      <c r="C850" s="137">
        <v>6.25</v>
      </c>
      <c r="D850" s="137">
        <v>-4.0199999999999996</v>
      </c>
      <c r="E850" s="137">
        <v>1.39</v>
      </c>
      <c r="F850" s="137">
        <v>0.41</v>
      </c>
    </row>
    <row r="851" spans="2:6" ht="13.5" customHeight="1">
      <c r="B851" s="137">
        <v>199612</v>
      </c>
      <c r="C851" s="137">
        <v>-1.7</v>
      </c>
      <c r="D851" s="137">
        <v>3.16</v>
      </c>
      <c r="E851" s="137">
        <v>1.31</v>
      </c>
      <c r="F851" s="137">
        <v>0.46</v>
      </c>
    </row>
    <row r="852" spans="2:6" ht="13.5" customHeight="1">
      <c r="B852" s="137">
        <v>199701</v>
      </c>
      <c r="C852" s="137">
        <v>4.99</v>
      </c>
      <c r="D852" s="137">
        <v>-1.95</v>
      </c>
      <c r="E852" s="137">
        <v>-1.42</v>
      </c>
      <c r="F852" s="137">
        <v>0.45</v>
      </c>
    </row>
    <row r="853" spans="2:6" ht="13.5" customHeight="1">
      <c r="B853" s="137">
        <v>199702</v>
      </c>
      <c r="C853" s="137">
        <v>-0.49</v>
      </c>
      <c r="D853" s="137">
        <v>-3.22</v>
      </c>
      <c r="E853" s="137">
        <v>5.67</v>
      </c>
      <c r="F853" s="137">
        <v>0.39</v>
      </c>
    </row>
    <row r="854" spans="2:6" ht="13.5" customHeight="1">
      <c r="B854" s="137">
        <v>199703</v>
      </c>
      <c r="C854" s="137">
        <v>-5.03</v>
      </c>
      <c r="D854" s="137">
        <v>-0.36</v>
      </c>
      <c r="E854" s="137">
        <v>3.39</v>
      </c>
      <c r="F854" s="137">
        <v>0.43</v>
      </c>
    </row>
    <row r="855" spans="2:6" ht="13.5" customHeight="1">
      <c r="B855" s="137">
        <v>199704</v>
      </c>
      <c r="C855" s="137">
        <v>4.04</v>
      </c>
      <c r="D855" s="137">
        <v>-5.77</v>
      </c>
      <c r="E855" s="137">
        <v>7.0000000000000007E-2</v>
      </c>
      <c r="F855" s="137">
        <v>0.43</v>
      </c>
    </row>
    <row r="856" spans="2:6" ht="13.5" customHeight="1">
      <c r="B856" s="137">
        <v>199705</v>
      </c>
      <c r="C856" s="137">
        <v>6.74</v>
      </c>
      <c r="D856" s="137">
        <v>5.19</v>
      </c>
      <c r="E856" s="137">
        <v>-4.13</v>
      </c>
      <c r="F856" s="137">
        <v>0.49</v>
      </c>
    </row>
    <row r="857" spans="2:6" ht="13.5" customHeight="1">
      <c r="B857" s="137">
        <v>199706</v>
      </c>
      <c r="C857" s="137">
        <v>4.0999999999999996</v>
      </c>
      <c r="D857" s="137">
        <v>1.22</v>
      </c>
      <c r="E857" s="137">
        <v>1.58</v>
      </c>
      <c r="F857" s="137">
        <v>0.37</v>
      </c>
    </row>
    <row r="858" spans="2:6" ht="13.5" customHeight="1">
      <c r="B858" s="137">
        <v>199707</v>
      </c>
      <c r="C858" s="137">
        <v>7.33</v>
      </c>
      <c r="D858" s="137">
        <v>-2.74</v>
      </c>
      <c r="E858" s="137">
        <v>0.26</v>
      </c>
      <c r="F858" s="137">
        <v>0.43</v>
      </c>
    </row>
    <row r="859" spans="2:6" ht="13.5" customHeight="1">
      <c r="B859" s="137">
        <v>199708</v>
      </c>
      <c r="C859" s="137">
        <v>-4.1500000000000004</v>
      </c>
      <c r="D859" s="137">
        <v>7.28</v>
      </c>
      <c r="E859" s="137">
        <v>1.18</v>
      </c>
      <c r="F859" s="137">
        <v>0.41</v>
      </c>
    </row>
    <row r="860" spans="2:6" ht="13.5" customHeight="1">
      <c r="B860" s="137">
        <v>199709</v>
      </c>
      <c r="C860" s="137">
        <v>5.35</v>
      </c>
      <c r="D860" s="137">
        <v>2.5299999999999998</v>
      </c>
      <c r="E860" s="137">
        <v>0.37</v>
      </c>
      <c r="F860" s="137">
        <v>0.44</v>
      </c>
    </row>
    <row r="861" spans="2:6" ht="13.5" customHeight="1">
      <c r="B861" s="137">
        <v>199710</v>
      </c>
      <c r="C861" s="137">
        <v>-3.8</v>
      </c>
      <c r="D861" s="137">
        <v>-0.73</v>
      </c>
      <c r="E861" s="137">
        <v>2.27</v>
      </c>
      <c r="F861" s="137">
        <v>0.42</v>
      </c>
    </row>
    <row r="862" spans="2:6" ht="13.5" customHeight="1">
      <c r="B862" s="137">
        <v>199711</v>
      </c>
      <c r="C862" s="137">
        <v>2.98</v>
      </c>
      <c r="D862" s="137">
        <v>-5.12</v>
      </c>
      <c r="E862" s="137">
        <v>1.2</v>
      </c>
      <c r="F862" s="137">
        <v>0.39</v>
      </c>
    </row>
    <row r="863" spans="2:6" ht="13.5" customHeight="1">
      <c r="B863" s="137">
        <v>199712</v>
      </c>
      <c r="C863" s="137">
        <v>1.32</v>
      </c>
      <c r="D863" s="137">
        <v>-2.48</v>
      </c>
      <c r="E863" s="137">
        <v>3.84</v>
      </c>
      <c r="F863" s="137">
        <v>0.48</v>
      </c>
    </row>
    <row r="864" spans="2:6" ht="13.5" customHeight="1">
      <c r="B864" s="137">
        <v>199801</v>
      </c>
      <c r="C864" s="137">
        <v>0.15</v>
      </c>
      <c r="D864" s="137">
        <v>-1.07</v>
      </c>
      <c r="E864" s="137">
        <v>-1.63</v>
      </c>
      <c r="F864" s="137">
        <v>0.43</v>
      </c>
    </row>
    <row r="865" spans="2:6" ht="13.5" customHeight="1">
      <c r="B865" s="137">
        <v>199802</v>
      </c>
      <c r="C865" s="137">
        <v>7.04</v>
      </c>
      <c r="D865" s="137">
        <v>0.32</v>
      </c>
      <c r="E865" s="137">
        <v>-0.85</v>
      </c>
      <c r="F865" s="137">
        <v>0.39</v>
      </c>
    </row>
    <row r="866" spans="2:6" ht="13.5" customHeight="1">
      <c r="B866" s="137">
        <v>199803</v>
      </c>
      <c r="C866" s="137">
        <v>4.76</v>
      </c>
      <c r="D866" s="137">
        <v>-1.1399999999999999</v>
      </c>
      <c r="E866" s="137">
        <v>1.39</v>
      </c>
      <c r="F866" s="137">
        <v>0.39</v>
      </c>
    </row>
    <row r="867" spans="2:6" ht="13.5" customHeight="1">
      <c r="B867" s="137">
        <v>199804</v>
      </c>
      <c r="C867" s="137">
        <v>0.73</v>
      </c>
      <c r="D867" s="137">
        <v>7.0000000000000007E-2</v>
      </c>
      <c r="E867" s="137">
        <v>0.94</v>
      </c>
      <c r="F867" s="137">
        <v>0.43</v>
      </c>
    </row>
    <row r="868" spans="2:6" ht="13.5" customHeight="1">
      <c r="B868" s="137">
        <v>199805</v>
      </c>
      <c r="C868" s="137">
        <v>-3.07</v>
      </c>
      <c r="D868" s="137">
        <v>-3.38</v>
      </c>
      <c r="E868" s="137">
        <v>3.44</v>
      </c>
      <c r="F868" s="137">
        <v>0.4</v>
      </c>
    </row>
    <row r="869" spans="2:6" ht="13.5" customHeight="1">
      <c r="B869" s="137">
        <v>199806</v>
      </c>
      <c r="C869" s="137">
        <v>3.18</v>
      </c>
      <c r="D869" s="137">
        <v>-3.21</v>
      </c>
      <c r="E869" s="137">
        <v>-1.96</v>
      </c>
      <c r="F869" s="137">
        <v>0.41</v>
      </c>
    </row>
    <row r="870" spans="2:6" ht="13.5" customHeight="1">
      <c r="B870" s="137">
        <v>199807</v>
      </c>
      <c r="C870" s="137">
        <v>-2.46</v>
      </c>
      <c r="D870" s="137">
        <v>-4.91</v>
      </c>
      <c r="E870" s="137">
        <v>-1.78</v>
      </c>
      <c r="F870" s="137">
        <v>0.4</v>
      </c>
    </row>
    <row r="871" spans="2:6" ht="13.5" customHeight="1">
      <c r="B871" s="137">
        <v>199808</v>
      </c>
      <c r="C871" s="137">
        <v>-16.079999999999998</v>
      </c>
      <c r="D871" s="137">
        <v>-5.69</v>
      </c>
      <c r="E871" s="137">
        <v>3.53</v>
      </c>
      <c r="F871" s="137">
        <v>0.43</v>
      </c>
    </row>
    <row r="872" spans="2:6" ht="13.5" customHeight="1">
      <c r="B872" s="137">
        <v>199809</v>
      </c>
      <c r="C872" s="137">
        <v>6.15</v>
      </c>
      <c r="D872" s="137">
        <v>0.09</v>
      </c>
      <c r="E872" s="137">
        <v>-3.42</v>
      </c>
      <c r="F872" s="137">
        <v>0.46</v>
      </c>
    </row>
    <row r="873" spans="2:6" ht="13.5" customHeight="1">
      <c r="B873" s="137">
        <v>199810</v>
      </c>
      <c r="C873" s="137">
        <v>7.13</v>
      </c>
      <c r="D873" s="137">
        <v>-3.12</v>
      </c>
      <c r="E873" s="137">
        <v>-2.23</v>
      </c>
      <c r="F873" s="137">
        <v>0.32</v>
      </c>
    </row>
    <row r="874" spans="2:6" ht="13.5" customHeight="1">
      <c r="B874" s="137">
        <v>199811</v>
      </c>
      <c r="C874" s="137">
        <v>6.1</v>
      </c>
      <c r="D874" s="137">
        <v>1.23</v>
      </c>
      <c r="E874" s="137">
        <v>-3.25</v>
      </c>
      <c r="F874" s="137">
        <v>0.31</v>
      </c>
    </row>
    <row r="875" spans="2:6" ht="13.5" customHeight="1">
      <c r="B875" s="137">
        <v>199812</v>
      </c>
      <c r="C875" s="137">
        <v>6.16</v>
      </c>
      <c r="D875" s="137">
        <v>-0.5</v>
      </c>
      <c r="E875" s="137">
        <v>-4.1900000000000004</v>
      </c>
      <c r="F875" s="137">
        <v>0.38</v>
      </c>
    </row>
    <row r="876" spans="2:6" ht="13.5" customHeight="1">
      <c r="B876" s="137">
        <v>199901</v>
      </c>
      <c r="C876" s="137">
        <v>3.5</v>
      </c>
      <c r="D876" s="137">
        <v>0.75</v>
      </c>
      <c r="E876" s="137">
        <v>-4.5999999999999996</v>
      </c>
      <c r="F876" s="137">
        <v>0.35</v>
      </c>
    </row>
    <row r="877" spans="2:6" ht="13.5" customHeight="1">
      <c r="B877" s="137">
        <v>199902</v>
      </c>
      <c r="C877" s="137">
        <v>-4.08</v>
      </c>
      <c r="D877" s="137">
        <v>-6.08</v>
      </c>
      <c r="E877" s="137">
        <v>1.92</v>
      </c>
      <c r="F877" s="137">
        <v>0.35</v>
      </c>
    </row>
    <row r="878" spans="2:6" ht="13.5" customHeight="1">
      <c r="B878" s="137">
        <v>199903</v>
      </c>
      <c r="C878" s="137">
        <v>3.45</v>
      </c>
      <c r="D878" s="137">
        <v>-3.8</v>
      </c>
      <c r="E878" s="137">
        <v>-2.74</v>
      </c>
      <c r="F878" s="137">
        <v>0.43</v>
      </c>
    </row>
    <row r="879" spans="2:6" ht="13.5" customHeight="1">
      <c r="B879" s="137">
        <v>199904</v>
      </c>
      <c r="C879" s="137">
        <v>4.33</v>
      </c>
      <c r="D879" s="137">
        <v>3.91</v>
      </c>
      <c r="E879" s="137">
        <v>2.46</v>
      </c>
      <c r="F879" s="137">
        <v>0.37</v>
      </c>
    </row>
    <row r="880" spans="2:6" ht="13.5" customHeight="1">
      <c r="B880" s="137">
        <v>199905</v>
      </c>
      <c r="C880" s="137">
        <v>-2.46</v>
      </c>
      <c r="D880" s="137">
        <v>3.34</v>
      </c>
      <c r="E880" s="137">
        <v>2.35</v>
      </c>
      <c r="F880" s="137">
        <v>0.34</v>
      </c>
    </row>
    <row r="881" spans="2:6" ht="13.5" customHeight="1">
      <c r="B881" s="137">
        <v>199906</v>
      </c>
      <c r="C881" s="137">
        <v>4.7699999999999996</v>
      </c>
      <c r="D881" s="137">
        <v>3.1</v>
      </c>
      <c r="E881" s="137">
        <v>-3.19</v>
      </c>
      <c r="F881" s="137">
        <v>0.4</v>
      </c>
    </row>
    <row r="882" spans="2:6" ht="13.5" customHeight="1">
      <c r="B882" s="137">
        <v>199907</v>
      </c>
      <c r="C882" s="137">
        <v>-3.49</v>
      </c>
      <c r="D882" s="137">
        <v>2.6</v>
      </c>
      <c r="E882" s="137">
        <v>-0.44</v>
      </c>
      <c r="F882" s="137">
        <v>0.38</v>
      </c>
    </row>
    <row r="883" spans="2:6" ht="13.5" customHeight="1">
      <c r="B883" s="137">
        <v>199908</v>
      </c>
      <c r="C883" s="137">
        <v>-1.38</v>
      </c>
      <c r="D883" s="137">
        <v>-0.94</v>
      </c>
      <c r="E883" s="137">
        <v>-1.87</v>
      </c>
      <c r="F883" s="137">
        <v>0.39</v>
      </c>
    </row>
    <row r="884" spans="2:6" ht="13.5" customHeight="1">
      <c r="B884" s="137">
        <v>199909</v>
      </c>
      <c r="C884" s="137">
        <v>-2.79</v>
      </c>
      <c r="D884" s="137">
        <v>3.41</v>
      </c>
      <c r="E884" s="137">
        <v>-3.49</v>
      </c>
      <c r="F884" s="137">
        <v>0.39</v>
      </c>
    </row>
    <row r="885" spans="2:6" ht="13.5" customHeight="1">
      <c r="B885" s="137">
        <v>199910</v>
      </c>
      <c r="C885" s="137">
        <v>6.12</v>
      </c>
      <c r="D885" s="137">
        <v>-6.64</v>
      </c>
      <c r="E885" s="137">
        <v>-3.37</v>
      </c>
      <c r="F885" s="137">
        <v>0.39</v>
      </c>
    </row>
    <row r="886" spans="2:6" ht="13.5" customHeight="1">
      <c r="B886" s="137">
        <v>199911</v>
      </c>
      <c r="C886" s="137">
        <v>3.37</v>
      </c>
      <c r="D886" s="137">
        <v>7.21</v>
      </c>
      <c r="E886" s="137">
        <v>-6.12</v>
      </c>
      <c r="F886" s="137">
        <v>0.36</v>
      </c>
    </row>
    <row r="887" spans="2:6" ht="13.5" customHeight="1">
      <c r="B887" s="137">
        <v>199912</v>
      </c>
      <c r="C887" s="137">
        <v>7.72</v>
      </c>
      <c r="D887" s="137">
        <v>7.03</v>
      </c>
      <c r="E887" s="137">
        <v>-8.33</v>
      </c>
      <c r="F887" s="137">
        <v>0.44</v>
      </c>
    </row>
    <row r="888" spans="2:6" ht="13.5" customHeight="1">
      <c r="B888" s="137">
        <v>200001</v>
      </c>
      <c r="C888" s="137">
        <v>-4.74</v>
      </c>
      <c r="D888" s="137">
        <v>5.77</v>
      </c>
      <c r="E888" s="137">
        <v>-1.88</v>
      </c>
      <c r="F888" s="137">
        <v>0.41</v>
      </c>
    </row>
    <row r="889" spans="2:6" ht="13.5" customHeight="1">
      <c r="B889" s="137">
        <v>200002</v>
      </c>
      <c r="C889" s="137">
        <v>2.4500000000000002</v>
      </c>
      <c r="D889" s="137">
        <v>21.36</v>
      </c>
      <c r="E889" s="137">
        <v>-9.59</v>
      </c>
      <c r="F889" s="137">
        <v>0.43</v>
      </c>
    </row>
    <row r="890" spans="2:6" ht="13.5" customHeight="1">
      <c r="B890" s="137">
        <v>200003</v>
      </c>
      <c r="C890" s="137">
        <v>5.2</v>
      </c>
      <c r="D890" s="137">
        <v>-17.2</v>
      </c>
      <c r="E890" s="137">
        <v>8.1300000000000008</v>
      </c>
      <c r="F890" s="137">
        <v>0.47</v>
      </c>
    </row>
    <row r="891" spans="2:6" ht="13.5" customHeight="1">
      <c r="B891" s="137">
        <v>200004</v>
      </c>
      <c r="C891" s="137">
        <v>-6.4</v>
      </c>
      <c r="D891" s="137">
        <v>-6.68</v>
      </c>
      <c r="E891" s="137">
        <v>7.26</v>
      </c>
      <c r="F891" s="137">
        <v>0.46</v>
      </c>
    </row>
    <row r="892" spans="2:6" ht="13.5" customHeight="1">
      <c r="B892" s="137">
        <v>200005</v>
      </c>
      <c r="C892" s="137">
        <v>-4.42</v>
      </c>
      <c r="D892" s="137">
        <v>-6.05</v>
      </c>
      <c r="E892" s="137">
        <v>4.75</v>
      </c>
      <c r="F892" s="137">
        <v>0.5</v>
      </c>
    </row>
    <row r="893" spans="2:6" ht="13.5" customHeight="1">
      <c r="B893" s="137">
        <v>200006</v>
      </c>
      <c r="C893" s="137">
        <v>4.6399999999999997</v>
      </c>
      <c r="D893" s="137">
        <v>12.84</v>
      </c>
      <c r="E893" s="137">
        <v>-8.42</v>
      </c>
      <c r="F893" s="137">
        <v>0.4</v>
      </c>
    </row>
    <row r="894" spans="2:6" ht="13.5" customHeight="1">
      <c r="B894" s="137">
        <v>200007</v>
      </c>
      <c r="C894" s="137">
        <v>-2.5099999999999998</v>
      </c>
      <c r="D894" s="137">
        <v>-3.07</v>
      </c>
      <c r="E894" s="137">
        <v>8.31</v>
      </c>
      <c r="F894" s="137">
        <v>0.48</v>
      </c>
    </row>
    <row r="895" spans="2:6" ht="13.5" customHeight="1">
      <c r="B895" s="137">
        <v>200008</v>
      </c>
      <c r="C895" s="137">
        <v>7.03</v>
      </c>
      <c r="D895" s="137">
        <v>-0.61</v>
      </c>
      <c r="E895" s="137">
        <v>-1.39</v>
      </c>
      <c r="F895" s="137">
        <v>0.5</v>
      </c>
    </row>
    <row r="896" spans="2:6" ht="13.5" customHeight="1">
      <c r="B896" s="137">
        <v>200009</v>
      </c>
      <c r="C896" s="137">
        <v>-5.45</v>
      </c>
      <c r="D896" s="137">
        <v>-1.82</v>
      </c>
      <c r="E896" s="137">
        <v>7.17</v>
      </c>
      <c r="F896" s="137">
        <v>0.51</v>
      </c>
    </row>
    <row r="897" spans="2:6" ht="13.5" customHeight="1">
      <c r="B897" s="137">
        <v>200010</v>
      </c>
      <c r="C897" s="137">
        <v>-2.76</v>
      </c>
      <c r="D897" s="137">
        <v>-3.88</v>
      </c>
      <c r="E897" s="137">
        <v>5.71</v>
      </c>
      <c r="F897" s="137">
        <v>0.56000000000000005</v>
      </c>
    </row>
    <row r="898" spans="2:6" ht="13.5" customHeight="1">
      <c r="B898" s="137">
        <v>200011</v>
      </c>
      <c r="C898" s="137">
        <v>-10.72</v>
      </c>
      <c r="D898" s="137">
        <v>-3.41</v>
      </c>
      <c r="E898" s="137">
        <v>12.3</v>
      </c>
      <c r="F898" s="137">
        <v>0.51</v>
      </c>
    </row>
    <row r="899" spans="2:6" ht="13.5" customHeight="1">
      <c r="B899" s="137">
        <v>200012</v>
      </c>
      <c r="C899" s="137">
        <v>1.19</v>
      </c>
      <c r="D899" s="137">
        <v>0.73</v>
      </c>
      <c r="E899" s="137">
        <v>7.61</v>
      </c>
      <c r="F899" s="137">
        <v>0.5</v>
      </c>
    </row>
    <row r="900" spans="2:6" ht="13.5" customHeight="1">
      <c r="B900" s="137">
        <v>200101</v>
      </c>
      <c r="C900" s="137">
        <v>3.13</v>
      </c>
      <c r="D900" s="137">
        <v>6.68</v>
      </c>
      <c r="E900" s="137">
        <v>-5.07</v>
      </c>
      <c r="F900" s="137">
        <v>0.54</v>
      </c>
    </row>
    <row r="901" spans="2:6" ht="13.5" customHeight="1">
      <c r="B901" s="137">
        <v>200102</v>
      </c>
      <c r="C901" s="137">
        <v>-10.050000000000001</v>
      </c>
      <c r="D901" s="137">
        <v>-0.78</v>
      </c>
      <c r="E901" s="137">
        <v>12.47</v>
      </c>
      <c r="F901" s="137">
        <v>0.38</v>
      </c>
    </row>
    <row r="902" spans="2:6" ht="13.5" customHeight="1">
      <c r="B902" s="137">
        <v>200103</v>
      </c>
      <c r="C902" s="137">
        <v>-7.26</v>
      </c>
      <c r="D902" s="137">
        <v>0.25</v>
      </c>
      <c r="E902" s="137">
        <v>6.42</v>
      </c>
      <c r="F902" s="137">
        <v>0.42</v>
      </c>
    </row>
    <row r="903" spans="2:6" ht="13.5" customHeight="1">
      <c r="B903" s="137">
        <v>200104</v>
      </c>
      <c r="C903" s="137">
        <v>7.94</v>
      </c>
      <c r="D903" s="137">
        <v>0.55000000000000004</v>
      </c>
      <c r="E903" s="137">
        <v>-4.67</v>
      </c>
      <c r="F903" s="137">
        <v>0.39</v>
      </c>
    </row>
    <row r="904" spans="2:6" ht="13.5" customHeight="1">
      <c r="B904" s="137">
        <v>200105</v>
      </c>
      <c r="C904" s="137">
        <v>0.72</v>
      </c>
      <c r="D904" s="137">
        <v>2.5</v>
      </c>
      <c r="E904" s="137">
        <v>3.36</v>
      </c>
      <c r="F904" s="137">
        <v>0.32</v>
      </c>
    </row>
    <row r="905" spans="2:6" ht="13.5" customHeight="1">
      <c r="B905" s="137">
        <v>200106</v>
      </c>
      <c r="C905" s="137">
        <v>-1.94</v>
      </c>
      <c r="D905" s="137">
        <v>6.24</v>
      </c>
      <c r="E905" s="137">
        <v>-1.1200000000000001</v>
      </c>
      <c r="F905" s="137">
        <v>0.28000000000000003</v>
      </c>
    </row>
    <row r="906" spans="2:6" ht="13.5" customHeight="1">
      <c r="B906" s="137">
        <v>200107</v>
      </c>
      <c r="C906" s="137">
        <v>-2.13</v>
      </c>
      <c r="D906" s="137">
        <v>-4.1900000000000004</v>
      </c>
      <c r="E906" s="137">
        <v>5.21</v>
      </c>
      <c r="F906" s="137">
        <v>0.3</v>
      </c>
    </row>
    <row r="907" spans="2:6" ht="13.5" customHeight="1">
      <c r="B907" s="137">
        <v>200108</v>
      </c>
      <c r="C907" s="137">
        <v>-6.46</v>
      </c>
      <c r="D907" s="137">
        <v>2.48</v>
      </c>
      <c r="E907" s="137">
        <v>2.31</v>
      </c>
      <c r="F907" s="137">
        <v>0.31</v>
      </c>
    </row>
    <row r="908" spans="2:6" ht="13.5" customHeight="1">
      <c r="B908" s="137">
        <v>200109</v>
      </c>
      <c r="C908" s="137">
        <v>-9.25</v>
      </c>
      <c r="D908" s="137">
        <v>-6.23</v>
      </c>
      <c r="E908" s="137">
        <v>1.45</v>
      </c>
      <c r="F908" s="137">
        <v>0.28000000000000003</v>
      </c>
    </row>
    <row r="909" spans="2:6" ht="13.5" customHeight="1">
      <c r="B909" s="137">
        <v>200110</v>
      </c>
      <c r="C909" s="137">
        <v>2.46</v>
      </c>
      <c r="D909" s="137">
        <v>7.48</v>
      </c>
      <c r="E909" s="137">
        <v>-7.65</v>
      </c>
      <c r="F909" s="137">
        <v>0.22</v>
      </c>
    </row>
    <row r="910" spans="2:6" ht="13.5" customHeight="1">
      <c r="B910" s="137">
        <v>200111</v>
      </c>
      <c r="C910" s="137">
        <v>7.54</v>
      </c>
      <c r="D910" s="137">
        <v>-0.47</v>
      </c>
      <c r="E910" s="137">
        <v>2.21</v>
      </c>
      <c r="F910" s="137">
        <v>0.17</v>
      </c>
    </row>
    <row r="911" spans="2:6" ht="13.5" customHeight="1">
      <c r="B911" s="137">
        <v>200112</v>
      </c>
      <c r="C911" s="137">
        <v>1.6</v>
      </c>
      <c r="D911" s="137">
        <v>4.74</v>
      </c>
      <c r="E911" s="137">
        <v>0.84</v>
      </c>
      <c r="F911" s="137">
        <v>0.15</v>
      </c>
    </row>
    <row r="912" spans="2:6" ht="13.5" customHeight="1">
      <c r="B912" s="137">
        <v>200201</v>
      </c>
      <c r="C912" s="137">
        <v>-1.44</v>
      </c>
      <c r="D912" s="137">
        <v>1.19</v>
      </c>
      <c r="E912" s="137">
        <v>3.44</v>
      </c>
      <c r="F912" s="137">
        <v>0.14000000000000001</v>
      </c>
    </row>
    <row r="913" spans="2:6" ht="13.5" customHeight="1">
      <c r="B913" s="137">
        <v>200202</v>
      </c>
      <c r="C913" s="137">
        <v>-2.29</v>
      </c>
      <c r="D913" s="137">
        <v>-1.01</v>
      </c>
      <c r="E913" s="137">
        <v>2.16</v>
      </c>
      <c r="F913" s="137">
        <v>0.13</v>
      </c>
    </row>
    <row r="914" spans="2:6" ht="13.5" customHeight="1">
      <c r="B914" s="137">
        <v>200203</v>
      </c>
      <c r="C914" s="137">
        <v>4.24</v>
      </c>
      <c r="D914" s="137">
        <v>4.21</v>
      </c>
      <c r="E914" s="137">
        <v>1.06</v>
      </c>
      <c r="F914" s="137">
        <v>0.13</v>
      </c>
    </row>
    <row r="915" spans="2:6" ht="13.5" customHeight="1">
      <c r="B915" s="137">
        <v>200204</v>
      </c>
      <c r="C915" s="137">
        <v>-5.2</v>
      </c>
      <c r="D915" s="137">
        <v>5.96</v>
      </c>
      <c r="E915" s="137">
        <v>3.88</v>
      </c>
      <c r="F915" s="137">
        <v>0.15</v>
      </c>
    </row>
    <row r="916" spans="2:6" ht="13.5" customHeight="1">
      <c r="B916" s="137">
        <v>200205</v>
      </c>
      <c r="C916" s="137">
        <v>-1.38</v>
      </c>
      <c r="D916" s="137">
        <v>-3.21</v>
      </c>
      <c r="E916" s="137">
        <v>1.53</v>
      </c>
      <c r="F916" s="137">
        <v>0.14000000000000001</v>
      </c>
    </row>
    <row r="917" spans="2:6" ht="13.5" customHeight="1">
      <c r="B917" s="137">
        <v>200206</v>
      </c>
      <c r="C917" s="137">
        <v>-7.21</v>
      </c>
      <c r="D917" s="137">
        <v>4.29</v>
      </c>
      <c r="E917" s="137">
        <v>-0.05</v>
      </c>
      <c r="F917" s="137">
        <v>0.13</v>
      </c>
    </row>
    <row r="918" spans="2:6" ht="13.5" customHeight="1">
      <c r="B918" s="137">
        <v>200207</v>
      </c>
      <c r="C918" s="137">
        <v>-8.18</v>
      </c>
      <c r="D918" s="137">
        <v>-5.28</v>
      </c>
      <c r="E918" s="137">
        <v>-3.85</v>
      </c>
      <c r="F918" s="137">
        <v>0.15</v>
      </c>
    </row>
    <row r="919" spans="2:6" ht="13.5" customHeight="1">
      <c r="B919" s="137">
        <v>200208</v>
      </c>
      <c r="C919" s="137">
        <v>0.5</v>
      </c>
      <c r="D919" s="137">
        <v>-2.86</v>
      </c>
      <c r="E919" s="137">
        <v>3.28</v>
      </c>
      <c r="F919" s="137">
        <v>0.14000000000000001</v>
      </c>
    </row>
    <row r="920" spans="2:6" ht="13.5" customHeight="1">
      <c r="B920" s="137">
        <v>200209</v>
      </c>
      <c r="C920" s="137">
        <v>-10.35</v>
      </c>
      <c r="D920" s="137">
        <v>2.4</v>
      </c>
      <c r="E920" s="137">
        <v>1.47</v>
      </c>
      <c r="F920" s="137">
        <v>0.14000000000000001</v>
      </c>
    </row>
    <row r="921" spans="2:6" ht="13.5" customHeight="1">
      <c r="B921" s="137">
        <v>200210</v>
      </c>
      <c r="C921" s="137">
        <v>7.84</v>
      </c>
      <c r="D921" s="137">
        <v>-3.41</v>
      </c>
      <c r="E921" s="137">
        <v>-3.95</v>
      </c>
      <c r="F921" s="137">
        <v>0.14000000000000001</v>
      </c>
    </row>
    <row r="922" spans="2:6" ht="13.5" customHeight="1">
      <c r="B922" s="137">
        <v>200211</v>
      </c>
      <c r="C922" s="137">
        <v>5.96</v>
      </c>
      <c r="D922" s="137">
        <v>3.18</v>
      </c>
      <c r="E922" s="137">
        <v>-1.23</v>
      </c>
      <c r="F922" s="137">
        <v>0.12</v>
      </c>
    </row>
    <row r="923" spans="2:6" ht="13.5" customHeight="1">
      <c r="B923" s="137">
        <v>200212</v>
      </c>
      <c r="C923" s="137">
        <v>-5.76</v>
      </c>
      <c r="D923" s="137">
        <v>0.09</v>
      </c>
      <c r="E923" s="137">
        <v>2.14</v>
      </c>
      <c r="F923" s="137">
        <v>0.11</v>
      </c>
    </row>
    <row r="924" spans="2:6" ht="13.5" customHeight="1">
      <c r="B924" s="137">
        <v>200301</v>
      </c>
      <c r="C924" s="137">
        <v>-2.57</v>
      </c>
      <c r="D924" s="137">
        <v>1.33</v>
      </c>
      <c r="E924" s="137">
        <v>-0.83</v>
      </c>
      <c r="F924" s="137">
        <v>0.1</v>
      </c>
    </row>
    <row r="925" spans="2:6" ht="13.5" customHeight="1">
      <c r="B925" s="137">
        <v>200302</v>
      </c>
      <c r="C925" s="137">
        <v>-1.88</v>
      </c>
      <c r="D925" s="137">
        <v>-0.45</v>
      </c>
      <c r="E925" s="137">
        <v>-1.39</v>
      </c>
      <c r="F925" s="137">
        <v>0.09</v>
      </c>
    </row>
    <row r="926" spans="2:6" ht="13.5" customHeight="1">
      <c r="B926" s="137">
        <v>200303</v>
      </c>
      <c r="C926" s="137">
        <v>1.0900000000000001</v>
      </c>
      <c r="D926" s="137">
        <v>1.02</v>
      </c>
      <c r="E926" s="137">
        <v>-1.93</v>
      </c>
      <c r="F926" s="137">
        <v>0.1</v>
      </c>
    </row>
    <row r="927" spans="2:6" ht="13.5" customHeight="1">
      <c r="B927" s="137">
        <v>200304</v>
      </c>
      <c r="C927" s="137">
        <v>8.2200000000000006</v>
      </c>
      <c r="D927" s="137">
        <v>0.63</v>
      </c>
      <c r="E927" s="137">
        <v>1.1399999999999999</v>
      </c>
      <c r="F927" s="137">
        <v>0.1</v>
      </c>
    </row>
    <row r="928" spans="2:6" ht="13.5" customHeight="1">
      <c r="B928" s="137">
        <v>200305</v>
      </c>
      <c r="C928" s="137">
        <v>6.05</v>
      </c>
      <c r="D928" s="137">
        <v>4.67</v>
      </c>
      <c r="E928" s="137">
        <v>0.4</v>
      </c>
      <c r="F928" s="137">
        <v>0.09</v>
      </c>
    </row>
    <row r="929" spans="2:6" ht="13.5" customHeight="1">
      <c r="B929" s="137">
        <v>200306</v>
      </c>
      <c r="C929" s="137">
        <v>1.42</v>
      </c>
      <c r="D929" s="137">
        <v>1.74</v>
      </c>
      <c r="E929" s="137">
        <v>0.11</v>
      </c>
      <c r="F929" s="137">
        <v>0.1</v>
      </c>
    </row>
    <row r="930" spans="2:6" ht="13.5" customHeight="1">
      <c r="B930" s="137">
        <v>200307</v>
      </c>
      <c r="C930" s="137">
        <v>2.35</v>
      </c>
      <c r="D930" s="137">
        <v>5.0599999999999996</v>
      </c>
      <c r="E930" s="137">
        <v>-1.24</v>
      </c>
      <c r="F930" s="137">
        <v>7.0000000000000007E-2</v>
      </c>
    </row>
    <row r="931" spans="2:6" ht="13.5" customHeight="1">
      <c r="B931" s="137">
        <v>200308</v>
      </c>
      <c r="C931" s="137">
        <v>2.34</v>
      </c>
      <c r="D931" s="137">
        <v>2.59</v>
      </c>
      <c r="E931" s="137">
        <v>1.53</v>
      </c>
      <c r="F931" s="137">
        <v>7.0000000000000007E-2</v>
      </c>
    </row>
    <row r="932" spans="2:6" ht="13.5" customHeight="1">
      <c r="B932" s="137">
        <v>200309</v>
      </c>
      <c r="C932" s="137">
        <v>-1.24</v>
      </c>
      <c r="D932" s="137">
        <v>0.8</v>
      </c>
      <c r="E932" s="137">
        <v>0.16</v>
      </c>
      <c r="F932" s="137">
        <v>0.08</v>
      </c>
    </row>
    <row r="933" spans="2:6" ht="13.5" customHeight="1">
      <c r="B933" s="137">
        <v>200310</v>
      </c>
      <c r="C933" s="137">
        <v>6.08</v>
      </c>
      <c r="D933" s="137">
        <v>2.7</v>
      </c>
      <c r="E933" s="137">
        <v>1.97</v>
      </c>
      <c r="F933" s="137">
        <v>7.0000000000000007E-2</v>
      </c>
    </row>
    <row r="934" spans="2:6" ht="13.5" customHeight="1">
      <c r="B934" s="137">
        <v>200311</v>
      </c>
      <c r="C934" s="137">
        <v>1.35</v>
      </c>
      <c r="D934" s="137">
        <v>2.08</v>
      </c>
      <c r="E934" s="137">
        <v>1.78</v>
      </c>
      <c r="F934" s="137">
        <v>7.0000000000000007E-2</v>
      </c>
    </row>
    <row r="935" spans="2:6" ht="13.5" customHeight="1">
      <c r="B935" s="137">
        <v>200312</v>
      </c>
      <c r="C935" s="137">
        <v>4.29</v>
      </c>
      <c r="D935" s="137">
        <v>-2.68</v>
      </c>
      <c r="E935" s="137">
        <v>1.6</v>
      </c>
      <c r="F935" s="137">
        <v>0.08</v>
      </c>
    </row>
    <row r="936" spans="2:6" ht="13.5" customHeight="1">
      <c r="B936" s="137">
        <v>200401</v>
      </c>
      <c r="C936" s="137">
        <v>2.15</v>
      </c>
      <c r="D936" s="137">
        <v>2.5499999999999998</v>
      </c>
      <c r="E936" s="137">
        <v>2.4900000000000002</v>
      </c>
      <c r="F936" s="137">
        <v>7.0000000000000007E-2</v>
      </c>
    </row>
    <row r="937" spans="2:6" ht="13.5" customHeight="1">
      <c r="B937" s="137">
        <v>200402</v>
      </c>
      <c r="C937" s="137">
        <v>1.4</v>
      </c>
      <c r="D937" s="137">
        <v>-1.58</v>
      </c>
      <c r="E937" s="137">
        <v>0.9</v>
      </c>
      <c r="F937" s="137">
        <v>0.06</v>
      </c>
    </row>
    <row r="938" spans="2:6" ht="13.5" customHeight="1">
      <c r="B938" s="137">
        <v>200403</v>
      </c>
      <c r="C938" s="137">
        <v>-1.32</v>
      </c>
      <c r="D938" s="137">
        <v>1.72</v>
      </c>
      <c r="E938" s="137">
        <v>0.27</v>
      </c>
      <c r="F938" s="137">
        <v>0.09</v>
      </c>
    </row>
    <row r="939" spans="2:6" ht="13.5" customHeight="1">
      <c r="B939" s="137">
        <v>200404</v>
      </c>
      <c r="C939" s="137">
        <v>-1.83</v>
      </c>
      <c r="D939" s="137">
        <v>-1.68</v>
      </c>
      <c r="E939" s="137">
        <v>-3.1</v>
      </c>
      <c r="F939" s="137">
        <v>0.08</v>
      </c>
    </row>
    <row r="940" spans="2:6" ht="13.5" customHeight="1">
      <c r="B940" s="137">
        <v>200405</v>
      </c>
      <c r="C940" s="137">
        <v>1.17</v>
      </c>
      <c r="D940" s="137">
        <v>-0.2</v>
      </c>
      <c r="E940" s="137">
        <v>-0.25</v>
      </c>
      <c r="F940" s="137">
        <v>0.06</v>
      </c>
    </row>
    <row r="941" spans="2:6" ht="13.5" customHeight="1">
      <c r="B941" s="137">
        <v>200406</v>
      </c>
      <c r="C941" s="137">
        <v>1.86</v>
      </c>
      <c r="D941" s="137">
        <v>2.2599999999999998</v>
      </c>
      <c r="E941" s="137">
        <v>1.18</v>
      </c>
      <c r="F941" s="137">
        <v>0.08</v>
      </c>
    </row>
    <row r="942" spans="2:6" ht="13.5" customHeight="1">
      <c r="B942" s="137">
        <v>200407</v>
      </c>
      <c r="C942" s="137">
        <v>-4.0599999999999996</v>
      </c>
      <c r="D942" s="137">
        <v>-3.81</v>
      </c>
      <c r="E942" s="137">
        <v>3.24</v>
      </c>
      <c r="F942" s="137">
        <v>0.1</v>
      </c>
    </row>
    <row r="943" spans="2:6" ht="13.5" customHeight="1">
      <c r="B943" s="137">
        <v>200408</v>
      </c>
      <c r="C943" s="137">
        <v>0.08</v>
      </c>
      <c r="D943" s="137">
        <v>-1.48</v>
      </c>
      <c r="E943" s="137">
        <v>0.97</v>
      </c>
      <c r="F943" s="137">
        <v>0.11</v>
      </c>
    </row>
    <row r="944" spans="2:6" ht="13.5" customHeight="1">
      <c r="B944" s="137">
        <v>200409</v>
      </c>
      <c r="C944" s="137">
        <v>1.6</v>
      </c>
      <c r="D944" s="137">
        <v>3.01</v>
      </c>
      <c r="E944" s="137">
        <v>0</v>
      </c>
      <c r="F944" s="137">
        <v>0.11</v>
      </c>
    </row>
    <row r="945" spans="2:6" ht="13.5" customHeight="1">
      <c r="B945" s="137">
        <v>200410</v>
      </c>
      <c r="C945" s="137">
        <v>1.43</v>
      </c>
      <c r="D945" s="137">
        <v>0.15</v>
      </c>
      <c r="E945" s="137">
        <v>-0.22</v>
      </c>
      <c r="F945" s="137">
        <v>0.11</v>
      </c>
    </row>
    <row r="946" spans="2:6" ht="13.5" customHeight="1">
      <c r="B946" s="137">
        <v>200411</v>
      </c>
      <c r="C946" s="137">
        <v>4.54</v>
      </c>
      <c r="D946" s="137">
        <v>3.74</v>
      </c>
      <c r="E946" s="137">
        <v>1.41</v>
      </c>
      <c r="F946" s="137">
        <v>0.15</v>
      </c>
    </row>
    <row r="947" spans="2:6" ht="13.5" customHeight="1">
      <c r="B947" s="137">
        <v>200412</v>
      </c>
      <c r="C947" s="137">
        <v>3.43</v>
      </c>
      <c r="D947" s="137">
        <v>-0.03</v>
      </c>
      <c r="E947" s="137">
        <v>-0.22</v>
      </c>
      <c r="F947" s="137">
        <v>0.16</v>
      </c>
    </row>
    <row r="948" spans="2:6" ht="13.5" customHeight="1">
      <c r="B948" s="137">
        <v>200501</v>
      </c>
      <c r="C948" s="137">
        <v>-2.76</v>
      </c>
      <c r="D948" s="137">
        <v>-1.72</v>
      </c>
      <c r="E948" s="137">
        <v>2.06</v>
      </c>
      <c r="F948" s="137">
        <v>0.16</v>
      </c>
    </row>
    <row r="949" spans="2:6" ht="13.5" customHeight="1">
      <c r="B949" s="137">
        <v>200502</v>
      </c>
      <c r="C949" s="137">
        <v>1.89</v>
      </c>
      <c r="D949" s="137">
        <v>-0.56999999999999995</v>
      </c>
      <c r="E949" s="137">
        <v>1.54</v>
      </c>
      <c r="F949" s="137">
        <v>0.16</v>
      </c>
    </row>
    <row r="950" spans="2:6" ht="13.5" customHeight="1">
      <c r="B950" s="137">
        <v>200503</v>
      </c>
      <c r="C950" s="137">
        <v>-1.97</v>
      </c>
      <c r="D950" s="137">
        <v>-1.4</v>
      </c>
      <c r="E950" s="137">
        <v>2.04</v>
      </c>
      <c r="F950" s="137">
        <v>0.21</v>
      </c>
    </row>
    <row r="951" spans="2:6" ht="13.5" customHeight="1">
      <c r="B951" s="137">
        <v>200504</v>
      </c>
      <c r="C951" s="137">
        <v>-2.61</v>
      </c>
      <c r="D951" s="137">
        <v>-3.94</v>
      </c>
      <c r="E951" s="137">
        <v>7.0000000000000007E-2</v>
      </c>
      <c r="F951" s="137">
        <v>0.21</v>
      </c>
    </row>
    <row r="952" spans="2:6" ht="13.5" customHeight="1">
      <c r="B952" s="137">
        <v>200505</v>
      </c>
      <c r="C952" s="137">
        <v>3.65</v>
      </c>
      <c r="D952" s="137">
        <v>2.89</v>
      </c>
      <c r="E952" s="137">
        <v>-0.64</v>
      </c>
      <c r="F952" s="137">
        <v>0.24</v>
      </c>
    </row>
    <row r="953" spans="2:6" ht="13.5" customHeight="1">
      <c r="B953" s="137">
        <v>200506</v>
      </c>
      <c r="C953" s="137">
        <v>0.56999999999999995</v>
      </c>
      <c r="D953" s="137">
        <v>2.58</v>
      </c>
      <c r="E953" s="137">
        <v>2.83</v>
      </c>
      <c r="F953" s="137">
        <v>0.23</v>
      </c>
    </row>
    <row r="954" spans="2:6" ht="13.5" customHeight="1">
      <c r="B954" s="137">
        <v>200507</v>
      </c>
      <c r="C954" s="137">
        <v>3.92</v>
      </c>
      <c r="D954" s="137">
        <v>2.91</v>
      </c>
      <c r="E954" s="137">
        <v>-0.79</v>
      </c>
      <c r="F954" s="137">
        <v>0.24</v>
      </c>
    </row>
    <row r="955" spans="2:6" ht="13.5" customHeight="1">
      <c r="B955" s="137">
        <v>200508</v>
      </c>
      <c r="C955" s="137">
        <v>-1.22</v>
      </c>
      <c r="D955" s="137">
        <v>-0.97</v>
      </c>
      <c r="E955" s="137">
        <v>1.32</v>
      </c>
      <c r="F955" s="137">
        <v>0.3</v>
      </c>
    </row>
    <row r="956" spans="2:6" ht="13.5" customHeight="1">
      <c r="B956" s="137">
        <v>200509</v>
      </c>
      <c r="C956" s="137">
        <v>0.49</v>
      </c>
      <c r="D956" s="137">
        <v>-0.65</v>
      </c>
      <c r="E956" s="137">
        <v>0.71</v>
      </c>
      <c r="F956" s="137">
        <v>0.28999999999999998</v>
      </c>
    </row>
    <row r="957" spans="2:6" ht="13.5" customHeight="1">
      <c r="B957" s="137">
        <v>200510</v>
      </c>
      <c r="C957" s="137">
        <v>-2.02</v>
      </c>
      <c r="D957" s="137">
        <v>-1.25</v>
      </c>
      <c r="E957" s="137">
        <v>0.42</v>
      </c>
      <c r="F957" s="137">
        <v>0.27</v>
      </c>
    </row>
    <row r="958" spans="2:6" ht="13.5" customHeight="1">
      <c r="B958" s="137">
        <v>200511</v>
      </c>
      <c r="C958" s="137">
        <v>3.61</v>
      </c>
      <c r="D958" s="137">
        <v>0.99</v>
      </c>
      <c r="E958" s="137">
        <v>-1.1599999999999999</v>
      </c>
      <c r="F958" s="137">
        <v>0.31</v>
      </c>
    </row>
    <row r="959" spans="2:6" ht="13.5" customHeight="1">
      <c r="B959" s="137">
        <v>200512</v>
      </c>
      <c r="C959" s="137">
        <v>-0.25</v>
      </c>
      <c r="D959" s="137">
        <v>-0.42</v>
      </c>
      <c r="E959" s="137">
        <v>0.2</v>
      </c>
      <c r="F959" s="137">
        <v>0.32</v>
      </c>
    </row>
    <row r="960" spans="2:6" ht="13.5" customHeight="1">
      <c r="B960" s="137">
        <v>200601</v>
      </c>
      <c r="C960" s="137">
        <v>3.04</v>
      </c>
      <c r="D960" s="137">
        <v>5.39</v>
      </c>
      <c r="E960" s="137">
        <v>1.08</v>
      </c>
      <c r="F960" s="137">
        <v>0.35</v>
      </c>
    </row>
    <row r="961" spans="2:6" ht="13.5" customHeight="1">
      <c r="B961" s="137">
        <v>200602</v>
      </c>
      <c r="C961" s="137">
        <v>-0.3</v>
      </c>
      <c r="D961" s="137">
        <v>-0.38</v>
      </c>
      <c r="E961" s="137">
        <v>-0.34</v>
      </c>
      <c r="F961" s="137">
        <v>0.34</v>
      </c>
    </row>
    <row r="962" spans="2:6" ht="13.5" customHeight="1">
      <c r="B962" s="137">
        <v>200603</v>
      </c>
      <c r="C962" s="137">
        <v>1.46</v>
      </c>
      <c r="D962" s="137">
        <v>3.44</v>
      </c>
      <c r="E962" s="137">
        <v>0.6</v>
      </c>
      <c r="F962" s="137">
        <v>0.37</v>
      </c>
    </row>
    <row r="963" spans="2:6" ht="13.5" customHeight="1">
      <c r="B963" s="137">
        <v>200604</v>
      </c>
      <c r="C963" s="137">
        <v>0.73</v>
      </c>
      <c r="D963" s="137">
        <v>-1.42</v>
      </c>
      <c r="E963" s="137">
        <v>2.34</v>
      </c>
      <c r="F963" s="137">
        <v>0.36</v>
      </c>
    </row>
    <row r="964" spans="2:6" ht="13.5" customHeight="1">
      <c r="B964" s="137">
        <v>200605</v>
      </c>
      <c r="C964" s="137">
        <v>-3.57</v>
      </c>
      <c r="D964" s="137">
        <v>-2.96</v>
      </c>
      <c r="E964" s="137">
        <v>2.41</v>
      </c>
      <c r="F964" s="137">
        <v>0.43</v>
      </c>
    </row>
    <row r="965" spans="2:6" ht="13.5" customHeight="1">
      <c r="B965" s="137">
        <v>200606</v>
      </c>
      <c r="C965" s="137">
        <v>-0.35</v>
      </c>
      <c r="D965" s="137">
        <v>-0.39</v>
      </c>
      <c r="E965" s="137">
        <v>0.85</v>
      </c>
      <c r="F965" s="137">
        <v>0.4</v>
      </c>
    </row>
    <row r="966" spans="2:6" ht="13.5" customHeight="1">
      <c r="B966" s="137">
        <v>200607</v>
      </c>
      <c r="C966" s="137">
        <v>-0.78</v>
      </c>
      <c r="D966" s="137">
        <v>-3.98</v>
      </c>
      <c r="E966" s="137">
        <v>2.6</v>
      </c>
      <c r="F966" s="137">
        <v>0.4</v>
      </c>
    </row>
    <row r="967" spans="2:6" ht="13.5" customHeight="1">
      <c r="B967" s="137">
        <v>200608</v>
      </c>
      <c r="C967" s="137">
        <v>2.0299999999999998</v>
      </c>
      <c r="D967" s="137">
        <v>1.03</v>
      </c>
      <c r="E967" s="137">
        <v>-2.06</v>
      </c>
      <c r="F967" s="137">
        <v>0.42</v>
      </c>
    </row>
    <row r="968" spans="2:6" ht="13.5" customHeight="1">
      <c r="B968" s="137">
        <v>200609</v>
      </c>
      <c r="C968" s="137">
        <v>1.84</v>
      </c>
      <c r="D968" s="137">
        <v>-1.36</v>
      </c>
      <c r="E968" s="137">
        <v>0.08</v>
      </c>
      <c r="F968" s="137">
        <v>0.41</v>
      </c>
    </row>
    <row r="969" spans="2:6" ht="13.5" customHeight="1">
      <c r="B969" s="137">
        <v>200610</v>
      </c>
      <c r="C969" s="137">
        <v>3.23</v>
      </c>
      <c r="D969" s="137">
        <v>1.75</v>
      </c>
      <c r="E969" s="137">
        <v>-0.31</v>
      </c>
      <c r="F969" s="137">
        <v>0.41</v>
      </c>
    </row>
    <row r="970" spans="2:6" ht="13.5" customHeight="1">
      <c r="B970" s="137">
        <v>200611</v>
      </c>
      <c r="C970" s="137">
        <v>1.71</v>
      </c>
      <c r="D970" s="137">
        <v>0.7</v>
      </c>
      <c r="E970" s="137">
        <v>0.14000000000000001</v>
      </c>
      <c r="F970" s="137">
        <v>0.42</v>
      </c>
    </row>
    <row r="971" spans="2:6" ht="13.5" customHeight="1">
      <c r="B971" s="137">
        <v>200612</v>
      </c>
      <c r="C971" s="137">
        <v>0.87</v>
      </c>
      <c r="D971" s="137">
        <v>-1.1399999999999999</v>
      </c>
      <c r="E971" s="137">
        <v>2.73</v>
      </c>
      <c r="F971" s="137">
        <v>0.4</v>
      </c>
    </row>
    <row r="972" spans="2:6" ht="13.5" customHeight="1">
      <c r="B972" s="137">
        <v>200701</v>
      </c>
      <c r="C972" s="137">
        <v>1.4</v>
      </c>
      <c r="D972" s="137">
        <v>0.13</v>
      </c>
      <c r="E972" s="137">
        <v>-0.68</v>
      </c>
      <c r="F972" s="137">
        <v>0.44</v>
      </c>
    </row>
    <row r="973" spans="2:6" ht="13.5" customHeight="1">
      <c r="B973" s="137">
        <v>200702</v>
      </c>
      <c r="C973" s="137">
        <v>-1.96</v>
      </c>
      <c r="D973" s="137">
        <v>1.19</v>
      </c>
      <c r="E973" s="137">
        <v>-0.14000000000000001</v>
      </c>
      <c r="F973" s="137">
        <v>0.38</v>
      </c>
    </row>
    <row r="974" spans="2:6" ht="13.5" customHeight="1">
      <c r="B974" s="137">
        <v>200703</v>
      </c>
      <c r="C974" s="137">
        <v>0.68</v>
      </c>
      <c r="D974" s="137">
        <v>0.16</v>
      </c>
      <c r="E974" s="137">
        <v>-0.97</v>
      </c>
      <c r="F974" s="137">
        <v>0.43</v>
      </c>
    </row>
    <row r="975" spans="2:6" ht="13.5" customHeight="1">
      <c r="B975" s="137">
        <v>200704</v>
      </c>
      <c r="C975" s="137">
        <v>3.49</v>
      </c>
      <c r="D975" s="137">
        <v>-2.16</v>
      </c>
      <c r="E975" s="137">
        <v>-1.45</v>
      </c>
      <c r="F975" s="137">
        <v>0.44</v>
      </c>
    </row>
    <row r="976" spans="2:6" ht="13.5" customHeight="1">
      <c r="B976" s="137">
        <v>200705</v>
      </c>
      <c r="C976" s="137">
        <v>3.24</v>
      </c>
      <c r="D976" s="137">
        <v>0.24</v>
      </c>
      <c r="E976" s="137">
        <v>-0.65</v>
      </c>
      <c r="F976" s="137">
        <v>0.41</v>
      </c>
    </row>
    <row r="977" spans="2:6" ht="13.5" customHeight="1">
      <c r="B977" s="137">
        <v>200706</v>
      </c>
      <c r="C977" s="137">
        <v>-1.96</v>
      </c>
      <c r="D977" s="137">
        <v>0.74</v>
      </c>
      <c r="E977" s="137">
        <v>-1.05</v>
      </c>
      <c r="F977" s="137">
        <v>0.4</v>
      </c>
    </row>
    <row r="978" spans="2:6" ht="13.5" customHeight="1">
      <c r="B978" s="137">
        <v>200707</v>
      </c>
      <c r="C978" s="137">
        <v>-3.73</v>
      </c>
      <c r="D978" s="137">
        <v>-2.61</v>
      </c>
      <c r="E978" s="137">
        <v>-3.71</v>
      </c>
      <c r="F978" s="137">
        <v>0.4</v>
      </c>
    </row>
    <row r="979" spans="2:6" ht="13.5" customHeight="1">
      <c r="B979" s="137">
        <v>200708</v>
      </c>
      <c r="C979" s="137">
        <v>0.92</v>
      </c>
      <c r="D979" s="137">
        <v>-0.12</v>
      </c>
      <c r="E979" s="137">
        <v>-1.86</v>
      </c>
      <c r="F979" s="137">
        <v>0.42</v>
      </c>
    </row>
    <row r="980" spans="2:6" ht="13.5" customHeight="1">
      <c r="B980" s="137">
        <v>200709</v>
      </c>
      <c r="C980" s="137">
        <v>3.22</v>
      </c>
      <c r="D980" s="137">
        <v>-2.23</v>
      </c>
      <c r="E980" s="137">
        <v>-2.21</v>
      </c>
      <c r="F980" s="137">
        <v>0.32</v>
      </c>
    </row>
    <row r="981" spans="2:6" ht="13.5" customHeight="1">
      <c r="B981" s="137">
        <v>200710</v>
      </c>
      <c r="C981" s="137">
        <v>1.8</v>
      </c>
      <c r="D981" s="137">
        <v>0.08</v>
      </c>
      <c r="E981" s="137">
        <v>-2.98</v>
      </c>
      <c r="F981" s="137">
        <v>0.32</v>
      </c>
    </row>
    <row r="982" spans="2:6" ht="13.5" customHeight="1">
      <c r="B982" s="137">
        <v>200711</v>
      </c>
      <c r="C982" s="137">
        <v>-4.83</v>
      </c>
      <c r="D982" s="137">
        <v>-2.93</v>
      </c>
      <c r="E982" s="137">
        <v>-0.94</v>
      </c>
      <c r="F982" s="137">
        <v>0.34</v>
      </c>
    </row>
    <row r="983" spans="2:6" ht="13.5" customHeight="1">
      <c r="B983" s="137">
        <v>200712</v>
      </c>
      <c r="C983" s="137">
        <v>-0.87</v>
      </c>
      <c r="D983" s="137">
        <v>0.13</v>
      </c>
      <c r="E983" s="137">
        <v>-0.55000000000000004</v>
      </c>
      <c r="F983" s="137">
        <v>0.27</v>
      </c>
    </row>
    <row r="984" spans="2:6" ht="13.5" customHeight="1">
      <c r="B984" s="137">
        <v>200801</v>
      </c>
      <c r="C984" s="137">
        <v>-6.36</v>
      </c>
      <c r="D984" s="137">
        <v>-1.03</v>
      </c>
      <c r="E984" s="137">
        <v>3.97</v>
      </c>
      <c r="F984" s="137">
        <v>0.21</v>
      </c>
    </row>
    <row r="985" spans="2:6" ht="13.5" customHeight="1">
      <c r="B985" s="137">
        <v>200802</v>
      </c>
      <c r="C985" s="137">
        <v>-3.09</v>
      </c>
      <c r="D985" s="137">
        <v>-0.43</v>
      </c>
      <c r="E985" s="137">
        <v>-0.84</v>
      </c>
      <c r="F985" s="137">
        <v>0.13</v>
      </c>
    </row>
    <row r="986" spans="2:6" ht="13.5" customHeight="1">
      <c r="B986" s="137">
        <v>200803</v>
      </c>
      <c r="C986" s="137">
        <v>-0.93</v>
      </c>
      <c r="D986" s="137">
        <v>0.71</v>
      </c>
      <c r="E986" s="137">
        <v>0.3</v>
      </c>
      <c r="F986" s="137">
        <v>0.17</v>
      </c>
    </row>
    <row r="987" spans="2:6" ht="13.5" customHeight="1">
      <c r="B987" s="137">
        <v>200804</v>
      </c>
      <c r="C987" s="137">
        <v>4.5999999999999996</v>
      </c>
      <c r="D987" s="137">
        <v>-1.72</v>
      </c>
      <c r="E987" s="137">
        <v>-0.94</v>
      </c>
      <c r="F987" s="137">
        <v>0.18</v>
      </c>
    </row>
    <row r="988" spans="2:6" ht="13.5" customHeight="1">
      <c r="B988" s="137">
        <v>200805</v>
      </c>
      <c r="C988" s="137">
        <v>1.86</v>
      </c>
      <c r="D988" s="137">
        <v>2.96</v>
      </c>
      <c r="E988" s="137">
        <v>-1.43</v>
      </c>
      <c r="F988" s="137">
        <v>0.18</v>
      </c>
    </row>
    <row r="989" spans="2:6" ht="13.5" customHeight="1">
      <c r="B989" s="137">
        <v>200806</v>
      </c>
      <c r="C989" s="137">
        <v>-8.44</v>
      </c>
      <c r="D989" s="137">
        <v>1.23</v>
      </c>
      <c r="E989" s="137">
        <v>-2.71</v>
      </c>
      <c r="F989" s="137">
        <v>0.17</v>
      </c>
    </row>
    <row r="990" spans="2:6" ht="13.5" customHeight="1">
      <c r="B990" s="137">
        <v>200807</v>
      </c>
      <c r="C990" s="137">
        <v>-0.77</v>
      </c>
      <c r="D990" s="137">
        <v>2.61</v>
      </c>
      <c r="E990" s="137">
        <v>5.42</v>
      </c>
      <c r="F990" s="137">
        <v>0.15</v>
      </c>
    </row>
    <row r="991" spans="2:6" ht="13.5" customHeight="1">
      <c r="B991" s="137">
        <v>200808</v>
      </c>
      <c r="C991" s="137">
        <v>1.53</v>
      </c>
      <c r="D991" s="137">
        <v>3.6</v>
      </c>
      <c r="E991" s="137">
        <v>1.59</v>
      </c>
      <c r="F991" s="137">
        <v>0.13</v>
      </c>
    </row>
    <row r="992" spans="2:6" ht="13.5" customHeight="1">
      <c r="B992" s="137">
        <v>200809</v>
      </c>
      <c r="C992" s="137">
        <v>-9.24</v>
      </c>
      <c r="D992" s="137">
        <v>-1.23</v>
      </c>
      <c r="E992" s="137">
        <v>5.91</v>
      </c>
      <c r="F992" s="137">
        <v>0.15</v>
      </c>
    </row>
    <row r="993" spans="2:6" ht="13.5" customHeight="1">
      <c r="B993" s="137">
        <v>200810</v>
      </c>
      <c r="C993" s="137">
        <v>-17.23</v>
      </c>
      <c r="D993" s="137">
        <v>-2.6</v>
      </c>
      <c r="E993" s="137">
        <v>-2.2999999999999998</v>
      </c>
      <c r="F993" s="137">
        <v>0.08</v>
      </c>
    </row>
    <row r="994" spans="2:6" ht="13.5" customHeight="1">
      <c r="B994" s="137">
        <v>200811</v>
      </c>
      <c r="C994" s="137">
        <v>-7.86</v>
      </c>
      <c r="D994" s="137">
        <v>-2.85</v>
      </c>
      <c r="E994" s="137">
        <v>-6.31</v>
      </c>
      <c r="F994" s="137">
        <v>0.03</v>
      </c>
    </row>
    <row r="995" spans="2:6" ht="13.5" customHeight="1">
      <c r="B995" s="137">
        <v>200812</v>
      </c>
      <c r="C995" s="137">
        <v>1.74</v>
      </c>
      <c r="D995" s="137">
        <v>3.46</v>
      </c>
      <c r="E995" s="137">
        <v>0.14000000000000001</v>
      </c>
      <c r="F995" s="137">
        <v>0</v>
      </c>
    </row>
    <row r="996" spans="2:6" ht="13.5" customHeight="1">
      <c r="B996" s="137">
        <v>200901</v>
      </c>
      <c r="C996" s="137">
        <v>-8.1199999999999992</v>
      </c>
      <c r="D996" s="137">
        <v>7.0000000000000007E-2</v>
      </c>
      <c r="E996" s="137">
        <v>-11.29</v>
      </c>
      <c r="F996" s="137">
        <v>0</v>
      </c>
    </row>
    <row r="997" spans="2:6" ht="13.5" customHeight="1">
      <c r="B997" s="137">
        <v>200902</v>
      </c>
      <c r="C997" s="137">
        <v>-10.1</v>
      </c>
      <c r="D997" s="137">
        <v>0.05</v>
      </c>
      <c r="E997" s="137">
        <v>-6.95</v>
      </c>
      <c r="F997" s="137">
        <v>0.01</v>
      </c>
    </row>
    <row r="998" spans="2:6" ht="13.5" customHeight="1">
      <c r="B998" s="137">
        <v>200903</v>
      </c>
      <c r="C998" s="137">
        <v>8.9499999999999993</v>
      </c>
      <c r="D998" s="137">
        <v>0.03</v>
      </c>
      <c r="E998" s="137">
        <v>3.47</v>
      </c>
      <c r="F998" s="137">
        <v>0.02</v>
      </c>
    </row>
    <row r="999" spans="2:6" ht="13.5" customHeight="1">
      <c r="B999" s="137">
        <v>200904</v>
      </c>
      <c r="C999" s="137">
        <v>10.18</v>
      </c>
      <c r="D999" s="137">
        <v>5.4</v>
      </c>
      <c r="E999" s="137">
        <v>5.36</v>
      </c>
      <c r="F999" s="137">
        <v>0.01</v>
      </c>
    </row>
    <row r="1000" spans="2:6" ht="13.5" customHeight="1">
      <c r="B1000" s="137">
        <v>200905</v>
      </c>
      <c r="C1000" s="137">
        <v>5.21</v>
      </c>
      <c r="D1000" s="137">
        <v>-2.52</v>
      </c>
      <c r="E1000" s="137">
        <v>0.28000000000000003</v>
      </c>
      <c r="F1000" s="137">
        <v>0</v>
      </c>
    </row>
    <row r="1001" spans="2:6" ht="15" customHeight="1">
      <c r="B1001" s="137">
        <v>200906</v>
      </c>
      <c r="C1001" s="137">
        <v>0.43</v>
      </c>
      <c r="D1001" s="137">
        <v>2.63</v>
      </c>
      <c r="E1001" s="137">
        <v>-2.73</v>
      </c>
      <c r="F1001" s="137">
        <v>0.01</v>
      </c>
    </row>
    <row r="1002" spans="2:6" ht="15" customHeight="1">
      <c r="B1002" s="137">
        <v>200907</v>
      </c>
      <c r="C1002" s="137">
        <v>7.72</v>
      </c>
      <c r="D1002" s="137">
        <v>1.87</v>
      </c>
      <c r="E1002" s="137">
        <v>4.83</v>
      </c>
      <c r="F1002" s="137">
        <v>0.01</v>
      </c>
    </row>
    <row r="1003" spans="2:6" ht="15" customHeight="1">
      <c r="B1003" s="137">
        <v>200908</v>
      </c>
      <c r="C1003" s="137">
        <v>3.33</v>
      </c>
      <c r="D1003" s="137">
        <v>-1.08</v>
      </c>
      <c r="E1003" s="137">
        <v>7.63</v>
      </c>
      <c r="F1003" s="137">
        <v>0.01</v>
      </c>
    </row>
    <row r="1004" spans="2:6" ht="15" customHeight="1">
      <c r="B1004" s="137">
        <v>200909</v>
      </c>
      <c r="C1004" s="137">
        <v>4.08</v>
      </c>
      <c r="D1004" s="137">
        <v>2.4300000000000002</v>
      </c>
      <c r="E1004" s="137">
        <v>1.05</v>
      </c>
      <c r="F1004" s="137">
        <v>0.01</v>
      </c>
    </row>
    <row r="1005" spans="2:6" ht="15" customHeight="1">
      <c r="B1005" s="137">
        <v>200910</v>
      </c>
      <c r="C1005" s="137">
        <v>-2.59</v>
      </c>
      <c r="D1005" s="137">
        <v>-4.3499999999999996</v>
      </c>
      <c r="E1005" s="137">
        <v>-4.21</v>
      </c>
      <c r="F1005" s="137">
        <v>0</v>
      </c>
    </row>
    <row r="1006" spans="2:6" ht="15" customHeight="1">
      <c r="B1006" s="137">
        <v>200911</v>
      </c>
      <c r="C1006" s="137">
        <v>5.56</v>
      </c>
      <c r="D1006" s="137">
        <v>-2.4</v>
      </c>
      <c r="E1006" s="137">
        <v>-0.34</v>
      </c>
      <c r="F1006" s="137">
        <v>0</v>
      </c>
    </row>
    <row r="1007" spans="2:6" ht="15" customHeight="1">
      <c r="B1007" s="137">
        <v>200912</v>
      </c>
      <c r="C1007" s="137">
        <v>2.75</v>
      </c>
      <c r="D1007" s="137">
        <v>6.05</v>
      </c>
      <c r="E1007" s="137">
        <v>-0.17</v>
      </c>
      <c r="F1007" s="137">
        <v>0.01</v>
      </c>
    </row>
    <row r="1008" spans="2:6" ht="15" customHeight="1">
      <c r="B1008" s="137">
        <v>201001</v>
      </c>
      <c r="C1008" s="137">
        <v>-3.36</v>
      </c>
      <c r="D1008" s="137">
        <v>0.4</v>
      </c>
      <c r="E1008" s="137">
        <v>0.43</v>
      </c>
      <c r="F1008" s="137">
        <v>0</v>
      </c>
    </row>
    <row r="1009" spans="2:6" ht="15" customHeight="1">
      <c r="B1009" s="137">
        <v>201002</v>
      </c>
      <c r="C1009" s="137">
        <v>3.4</v>
      </c>
      <c r="D1009" s="137">
        <v>1.19</v>
      </c>
      <c r="E1009" s="137">
        <v>3.23</v>
      </c>
      <c r="F1009" s="137">
        <v>0</v>
      </c>
    </row>
    <row r="1010" spans="2:6" ht="15" customHeight="1">
      <c r="B1010" s="137">
        <v>201003</v>
      </c>
      <c r="C1010" s="137">
        <v>6.31</v>
      </c>
      <c r="D1010" s="137">
        <v>1.48</v>
      </c>
      <c r="E1010" s="137">
        <v>2.21</v>
      </c>
      <c r="F1010" s="137">
        <v>0.01</v>
      </c>
    </row>
    <row r="1011" spans="2:6" ht="15" customHeight="1">
      <c r="B1011" s="137">
        <v>201004</v>
      </c>
      <c r="C1011" s="137">
        <v>2</v>
      </c>
      <c r="D1011" s="137">
        <v>4.87</v>
      </c>
      <c r="E1011" s="137">
        <v>2.89</v>
      </c>
      <c r="F1011" s="137">
        <v>0.01</v>
      </c>
    </row>
    <row r="1012" spans="2:6" ht="15" customHeight="1">
      <c r="B1012" s="137">
        <v>201005</v>
      </c>
      <c r="C1012" s="137">
        <v>-7.89</v>
      </c>
      <c r="D1012" s="137">
        <v>0.09</v>
      </c>
      <c r="E1012" s="137">
        <v>-2.44</v>
      </c>
      <c r="F1012" s="137">
        <v>0.01</v>
      </c>
    </row>
    <row r="1013" spans="2:6" ht="15" customHeight="1">
      <c r="B1013" s="137">
        <v>201006</v>
      </c>
      <c r="C1013" s="137">
        <v>-5.57</v>
      </c>
      <c r="D1013" s="137">
        <v>-1.82</v>
      </c>
      <c r="E1013" s="137">
        <v>-4.7</v>
      </c>
      <c r="F1013" s="137">
        <v>0.01</v>
      </c>
    </row>
    <row r="1014" spans="2:6" ht="15" customHeight="1">
      <c r="B1014" s="137">
        <v>201007</v>
      </c>
      <c r="C1014" s="137">
        <v>6.93</v>
      </c>
      <c r="D1014" s="137">
        <v>0.2</v>
      </c>
      <c r="E1014" s="137">
        <v>-0.31</v>
      </c>
      <c r="F1014" s="137">
        <v>0.01</v>
      </c>
    </row>
    <row r="1015" spans="2:6" ht="15" customHeight="1">
      <c r="B1015" s="137">
        <v>201008</v>
      </c>
      <c r="C1015" s="137">
        <v>-4.7699999999999996</v>
      </c>
      <c r="D1015" s="137">
        <v>-3</v>
      </c>
      <c r="E1015" s="137">
        <v>-1.9</v>
      </c>
      <c r="F1015" s="137">
        <v>0.01</v>
      </c>
    </row>
    <row r="1016" spans="2:6" ht="15" customHeight="1">
      <c r="B1016" s="137">
        <v>201009</v>
      </c>
      <c r="C1016" s="137">
        <v>9.5399999999999991</v>
      </c>
      <c r="D1016" s="137">
        <v>3.96</v>
      </c>
      <c r="E1016" s="137">
        <v>-3.16</v>
      </c>
      <c r="F1016" s="137">
        <v>0.01</v>
      </c>
    </row>
    <row r="1017" spans="2:6" ht="15" customHeight="1">
      <c r="B1017" s="137">
        <v>201010</v>
      </c>
      <c r="C1017" s="137">
        <v>3.88</v>
      </c>
      <c r="D1017" s="137">
        <v>1.1399999999999999</v>
      </c>
      <c r="E1017" s="137">
        <v>-2.4300000000000002</v>
      </c>
      <c r="F1017" s="137">
        <v>0.01</v>
      </c>
    </row>
    <row r="1018" spans="2:6" ht="15" customHeight="1">
      <c r="B1018" s="137">
        <v>201011</v>
      </c>
      <c r="C1018" s="137">
        <v>0.6</v>
      </c>
      <c r="D1018" s="137">
        <v>3.77</v>
      </c>
      <c r="E1018" s="137">
        <v>-0.96</v>
      </c>
      <c r="F1018" s="137">
        <v>0.01</v>
      </c>
    </row>
    <row r="1019" spans="2:6" ht="15" customHeight="1">
      <c r="B1019" s="137">
        <v>201012</v>
      </c>
      <c r="C1019" s="137">
        <v>6.82</v>
      </c>
      <c r="D1019" s="137">
        <v>0.73</v>
      </c>
      <c r="E1019" s="137">
        <v>3.7</v>
      </c>
      <c r="F1019" s="137">
        <v>0.01</v>
      </c>
    </row>
    <row r="1020" spans="2:6" ht="15" customHeight="1">
      <c r="B1020" s="137">
        <v>201101</v>
      </c>
      <c r="C1020" s="137">
        <v>1.99</v>
      </c>
      <c r="D1020" s="137">
        <v>-2.5</v>
      </c>
      <c r="E1020" s="137">
        <v>0.83</v>
      </c>
      <c r="F1020" s="137">
        <v>0.01</v>
      </c>
    </row>
    <row r="1021" spans="2:6" ht="15" customHeight="1">
      <c r="B1021" s="137">
        <v>201102</v>
      </c>
      <c r="C1021" s="137">
        <v>3.49</v>
      </c>
      <c r="D1021" s="137">
        <v>1.53</v>
      </c>
      <c r="E1021" s="137">
        <v>1.27</v>
      </c>
      <c r="F1021" s="137">
        <v>0.01</v>
      </c>
    </row>
    <row r="1022" spans="2:6" ht="15" customHeight="1">
      <c r="B1022" s="137">
        <v>201103</v>
      </c>
      <c r="C1022" s="137">
        <v>0.46</v>
      </c>
      <c r="D1022" s="137">
        <v>2.54</v>
      </c>
      <c r="E1022" s="137">
        <v>-1.83</v>
      </c>
      <c r="F1022" s="137">
        <v>0.01</v>
      </c>
    </row>
    <row r="1023" spans="2:6" ht="15" customHeight="1">
      <c r="B1023" s="137">
        <v>201104</v>
      </c>
      <c r="C1023" s="137">
        <v>2.9</v>
      </c>
      <c r="D1023" s="137">
        <v>-0.38</v>
      </c>
      <c r="E1023" s="137">
        <v>-2.4300000000000002</v>
      </c>
      <c r="F1023" s="137">
        <v>0</v>
      </c>
    </row>
    <row r="1024" spans="2:6" ht="15" customHeight="1">
      <c r="B1024" s="137">
        <v>201105</v>
      </c>
      <c r="C1024" s="137">
        <v>-1.27</v>
      </c>
      <c r="D1024" s="137">
        <v>-0.59</v>
      </c>
      <c r="E1024" s="137">
        <v>-2.12</v>
      </c>
      <c r="F1024" s="137">
        <v>0</v>
      </c>
    </row>
    <row r="1025" spans="2:6" ht="15" customHeight="1">
      <c r="B1025" s="137">
        <v>201106</v>
      </c>
      <c r="C1025" s="137">
        <v>-1.75</v>
      </c>
      <c r="D1025" s="137">
        <v>-0.12</v>
      </c>
      <c r="E1025" s="137">
        <v>-0.42</v>
      </c>
      <c r="F1025" s="137">
        <v>0</v>
      </c>
    </row>
    <row r="1026" spans="2:6" ht="15" customHeight="1">
      <c r="B1026" s="137">
        <v>201107</v>
      </c>
      <c r="C1026" s="137">
        <v>-2.35</v>
      </c>
      <c r="D1026" s="137">
        <v>-1.26</v>
      </c>
      <c r="E1026" s="137">
        <v>-0.9</v>
      </c>
      <c r="F1026" s="137">
        <v>0</v>
      </c>
    </row>
    <row r="1027" spans="2:6" ht="15" customHeight="1">
      <c r="B1027" s="137">
        <v>201108</v>
      </c>
      <c r="C1027" s="137">
        <v>-5.99</v>
      </c>
      <c r="D1027" s="137">
        <v>-3.05</v>
      </c>
      <c r="E1027" s="137">
        <v>-2.36</v>
      </c>
      <c r="F1027" s="137">
        <v>0.01</v>
      </c>
    </row>
    <row r="1028" spans="2:6" ht="15" customHeight="1">
      <c r="B1028" s="137">
        <v>201109</v>
      </c>
      <c r="C1028" s="137">
        <v>-7.59</v>
      </c>
      <c r="D1028" s="137">
        <v>-3.31</v>
      </c>
      <c r="E1028" s="137">
        <v>-1.72</v>
      </c>
      <c r="F1028" s="137">
        <v>0</v>
      </c>
    </row>
    <row r="1029" spans="2:6" ht="15" customHeight="1">
      <c r="B1029" s="137">
        <v>201110</v>
      </c>
      <c r="C1029" s="137">
        <v>11.35</v>
      </c>
      <c r="D1029" s="137">
        <v>3.28</v>
      </c>
      <c r="E1029" s="137">
        <v>0.1</v>
      </c>
      <c r="F1029" s="137">
        <v>0</v>
      </c>
    </row>
    <row r="1030" spans="2:6" ht="15" customHeight="1">
      <c r="B1030" s="137">
        <v>201111</v>
      </c>
      <c r="C1030" s="137">
        <v>-0.28000000000000003</v>
      </c>
      <c r="D1030" s="137">
        <v>-0.16</v>
      </c>
      <c r="E1030" s="137">
        <v>-0.46</v>
      </c>
      <c r="F1030" s="137">
        <v>0</v>
      </c>
    </row>
    <row r="1031" spans="2:6" ht="15" customHeight="1">
      <c r="B1031" s="137">
        <v>201112</v>
      </c>
      <c r="C1031" s="137">
        <v>0.74</v>
      </c>
      <c r="D1031" s="137">
        <v>-0.59</v>
      </c>
      <c r="E1031" s="137">
        <v>1.63</v>
      </c>
      <c r="F1031" s="137">
        <v>0</v>
      </c>
    </row>
    <row r="1032" spans="2:6" ht="15" customHeight="1">
      <c r="B1032" s="137">
        <v>201201</v>
      </c>
      <c r="C1032" s="137">
        <v>5.05</v>
      </c>
      <c r="D1032" s="137">
        <v>2.04</v>
      </c>
      <c r="E1032" s="137">
        <v>-0.97</v>
      </c>
      <c r="F1032" s="137">
        <v>0</v>
      </c>
    </row>
    <row r="1033" spans="2:6" ht="15" customHeight="1">
      <c r="B1033" s="137">
        <v>201202</v>
      </c>
      <c r="C1033" s="137">
        <v>4.42</v>
      </c>
      <c r="D1033" s="137">
        <v>-1.85</v>
      </c>
      <c r="E1033" s="137">
        <v>0.43</v>
      </c>
      <c r="F1033" s="137">
        <v>0</v>
      </c>
    </row>
    <row r="1034" spans="2:6" ht="15" customHeight="1">
      <c r="B1034" s="137">
        <v>201203</v>
      </c>
      <c r="C1034" s="137">
        <v>3.11</v>
      </c>
      <c r="D1034" s="137">
        <v>-0.64</v>
      </c>
      <c r="E1034" s="137">
        <v>1.1399999999999999</v>
      </c>
      <c r="F1034" s="137">
        <v>0</v>
      </c>
    </row>
    <row r="1035" spans="2:6" ht="15" customHeight="1">
      <c r="B1035" s="137">
        <v>201204</v>
      </c>
      <c r="C1035" s="137">
        <v>-0.85</v>
      </c>
      <c r="D1035" s="137">
        <v>-0.42</v>
      </c>
      <c r="E1035" s="137">
        <v>-0.78</v>
      </c>
      <c r="F1035" s="137">
        <v>0</v>
      </c>
    </row>
    <row r="1036" spans="2:6" ht="15" customHeight="1">
      <c r="B1036" s="137">
        <v>201205</v>
      </c>
      <c r="C1036" s="137">
        <v>-6.19</v>
      </c>
      <c r="D1036" s="137">
        <v>7.0000000000000007E-2</v>
      </c>
      <c r="E1036" s="137">
        <v>-1.07</v>
      </c>
      <c r="F1036" s="137">
        <v>0.01</v>
      </c>
    </row>
    <row r="1037" spans="2:6" ht="15" customHeight="1">
      <c r="B1037" s="137">
        <v>201206</v>
      </c>
      <c r="C1037" s="137">
        <v>3.89</v>
      </c>
      <c r="D1037" s="137">
        <v>0.67</v>
      </c>
      <c r="E1037" s="137">
        <v>0.62</v>
      </c>
      <c r="F1037" s="137">
        <v>0</v>
      </c>
    </row>
    <row r="1038" spans="2:6" ht="15" customHeight="1">
      <c r="B1038" s="137">
        <v>201207</v>
      </c>
      <c r="C1038" s="137">
        <v>0.79</v>
      </c>
      <c r="D1038" s="137">
        <v>-2.74</v>
      </c>
      <c r="E1038" s="137">
        <v>-0.02</v>
      </c>
      <c r="F1038" s="137">
        <v>0</v>
      </c>
    </row>
    <row r="1039" spans="2:6" ht="15" customHeight="1">
      <c r="B1039" s="137">
        <v>201208</v>
      </c>
      <c r="C1039" s="137">
        <v>2.5499999999999998</v>
      </c>
      <c r="D1039" s="137">
        <v>0.47</v>
      </c>
      <c r="E1039" s="137">
        <v>1.3</v>
      </c>
      <c r="F1039" s="137">
        <v>0.01</v>
      </c>
    </row>
    <row r="1040" spans="2:6" ht="15" customHeight="1">
      <c r="B1040" s="137">
        <v>201209</v>
      </c>
      <c r="C1040" s="137">
        <v>2.73</v>
      </c>
      <c r="D1040" s="137">
        <v>0.5</v>
      </c>
      <c r="E1040" s="137">
        <v>1.6</v>
      </c>
      <c r="F1040" s="137">
        <v>0.01</v>
      </c>
    </row>
    <row r="1041" spans="2:6" ht="15" customHeight="1">
      <c r="B1041" s="137">
        <v>201210</v>
      </c>
      <c r="C1041" s="137">
        <v>-1.76</v>
      </c>
      <c r="D1041" s="137">
        <v>-1.1499999999999999</v>
      </c>
      <c r="E1041" s="137">
        <v>3.59</v>
      </c>
      <c r="F1041" s="137">
        <v>0.01</v>
      </c>
    </row>
    <row r="1042" spans="2:6" ht="15" customHeight="1">
      <c r="B1042" s="137">
        <v>201211</v>
      </c>
      <c r="C1042" s="137">
        <v>0.78</v>
      </c>
      <c r="D1042" s="137">
        <v>0.63</v>
      </c>
      <c r="E1042" s="137">
        <v>-0.84</v>
      </c>
      <c r="F1042" s="137">
        <v>0.01</v>
      </c>
    </row>
    <row r="1043" spans="2:6" ht="15" customHeight="1">
      <c r="B1043" s="137">
        <v>201212</v>
      </c>
      <c r="C1043" s="137">
        <v>1.18</v>
      </c>
      <c r="D1043" s="137">
        <v>1.48</v>
      </c>
      <c r="E1043" s="137">
        <v>3.51</v>
      </c>
      <c r="F1043" s="137">
        <v>0.01</v>
      </c>
    </row>
    <row r="1044" spans="2:6" ht="15" customHeight="1">
      <c r="B1044" s="137">
        <v>201301</v>
      </c>
      <c r="C1044" s="137">
        <v>5.57</v>
      </c>
      <c r="D1044" s="137">
        <v>0.33</v>
      </c>
      <c r="E1044" s="137">
        <v>0.96</v>
      </c>
      <c r="F1044" s="137">
        <v>0</v>
      </c>
    </row>
    <row r="1045" spans="2:6" ht="15" customHeight="1">
      <c r="B1045" s="137">
        <v>201302</v>
      </c>
      <c r="C1045" s="137">
        <v>1.29</v>
      </c>
      <c r="D1045" s="137">
        <v>-0.27</v>
      </c>
      <c r="E1045" s="137">
        <v>0.11</v>
      </c>
      <c r="F1045" s="137">
        <v>0</v>
      </c>
    </row>
    <row r="1046" spans="2:6" ht="15" customHeight="1">
      <c r="B1046" s="137">
        <v>201303</v>
      </c>
      <c r="C1046" s="137">
        <v>4.03</v>
      </c>
      <c r="D1046" s="137">
        <v>0.81</v>
      </c>
      <c r="E1046" s="137">
        <v>-0.19</v>
      </c>
      <c r="F1046" s="137">
        <v>0</v>
      </c>
    </row>
    <row r="1047" spans="2:6" ht="15" customHeight="1">
      <c r="B1047" s="137">
        <v>201304</v>
      </c>
      <c r="C1047" s="137">
        <v>1.55</v>
      </c>
      <c r="D1047" s="137">
        <v>-2.37</v>
      </c>
      <c r="E1047" s="137">
        <v>0.45</v>
      </c>
      <c r="F1047" s="137">
        <v>0</v>
      </c>
    </row>
    <row r="1048" spans="2:6" ht="15" customHeight="1">
      <c r="B1048" s="137">
        <v>201305</v>
      </c>
      <c r="C1048" s="137">
        <v>2.8</v>
      </c>
      <c r="D1048" s="137">
        <v>1.7</v>
      </c>
      <c r="E1048" s="137">
        <v>2.63</v>
      </c>
      <c r="F1048" s="137">
        <v>0</v>
      </c>
    </row>
    <row r="1049" spans="2:6" ht="15" customHeight="1">
      <c r="B1049" s="137">
        <v>201306</v>
      </c>
      <c r="C1049" s="137">
        <v>-1.2</v>
      </c>
      <c r="D1049" s="137">
        <v>1.33</v>
      </c>
      <c r="E1049" s="137">
        <v>0.03</v>
      </c>
      <c r="F1049" s="137">
        <v>0</v>
      </c>
    </row>
    <row r="1050" spans="2:6" ht="15" customHeight="1">
      <c r="B1050" s="137">
        <v>201307</v>
      </c>
      <c r="C1050" s="137">
        <v>5.65</v>
      </c>
      <c r="D1050" s="137">
        <v>1.87</v>
      </c>
      <c r="E1050" s="137">
        <v>0.56999999999999995</v>
      </c>
      <c r="F1050" s="137">
        <v>0</v>
      </c>
    </row>
    <row r="1051" spans="2:6" ht="15" customHeight="1">
      <c r="B1051" s="137">
        <v>201308</v>
      </c>
      <c r="C1051" s="137">
        <v>-2.71</v>
      </c>
      <c r="D1051" s="137">
        <v>0.27</v>
      </c>
      <c r="E1051" s="137">
        <v>-2.69</v>
      </c>
      <c r="F1051" s="137">
        <v>0</v>
      </c>
    </row>
    <row r="1052" spans="2:6" ht="15" customHeight="1">
      <c r="B1052" s="137">
        <v>201309</v>
      </c>
      <c r="C1052" s="137">
        <v>3.77</v>
      </c>
      <c r="D1052" s="137">
        <v>2.88</v>
      </c>
      <c r="E1052" s="137">
        <v>-1.22</v>
      </c>
      <c r="F1052" s="137">
        <v>0</v>
      </c>
    </row>
    <row r="1053" spans="2:6" ht="15" customHeight="1">
      <c r="B1053" s="137">
        <v>201310</v>
      </c>
      <c r="C1053" s="137">
        <v>4.18</v>
      </c>
      <c r="D1053" s="137">
        <v>-1.53</v>
      </c>
      <c r="E1053" s="137">
        <v>1.25</v>
      </c>
      <c r="F1053" s="137">
        <v>0</v>
      </c>
    </row>
    <row r="1054" spans="2:6" ht="15" customHeight="1">
      <c r="B1054" s="137">
        <v>201311</v>
      </c>
      <c r="C1054" s="137">
        <v>3.13</v>
      </c>
      <c r="D1054" s="137">
        <v>1.29</v>
      </c>
      <c r="E1054" s="137">
        <v>0.32</v>
      </c>
      <c r="F1054" s="137">
        <v>0</v>
      </c>
    </row>
    <row r="1055" spans="2:6" ht="15" customHeight="1">
      <c r="B1055" s="137">
        <v>201312</v>
      </c>
      <c r="C1055" s="137">
        <v>2.81</v>
      </c>
      <c r="D1055" s="137">
        <v>-0.46</v>
      </c>
      <c r="E1055" s="137">
        <v>-0.02</v>
      </c>
      <c r="F1055" s="137">
        <v>0</v>
      </c>
    </row>
    <row r="1056" spans="2:6" ht="15" customHeight="1">
      <c r="B1056" s="137">
        <v>201401</v>
      </c>
      <c r="C1056" s="137">
        <v>-3.32</v>
      </c>
      <c r="D1056" s="137">
        <v>0.89</v>
      </c>
      <c r="E1056" s="137">
        <v>-2.0699999999999998</v>
      </c>
      <c r="F1056" s="137">
        <v>0</v>
      </c>
    </row>
    <row r="1057" spans="2:6" ht="15" customHeight="1">
      <c r="B1057" s="137">
        <v>201402</v>
      </c>
      <c r="C1057" s="137">
        <v>4.6500000000000004</v>
      </c>
      <c r="D1057" s="137">
        <v>0.35</v>
      </c>
      <c r="E1057" s="137">
        <v>-0.31</v>
      </c>
      <c r="F1057" s="137">
        <v>0</v>
      </c>
    </row>
    <row r="1058" spans="2:6" ht="15" customHeight="1">
      <c r="B1058" s="137">
        <v>201403</v>
      </c>
      <c r="C1058" s="137">
        <v>0.43</v>
      </c>
      <c r="D1058" s="137">
        <v>-1.81</v>
      </c>
      <c r="E1058" s="137">
        <v>4.93</v>
      </c>
      <c r="F1058" s="137">
        <v>0</v>
      </c>
    </row>
    <row r="1059" spans="2:6" ht="15" customHeight="1">
      <c r="B1059" s="137">
        <v>201404</v>
      </c>
      <c r="C1059" s="137">
        <v>-0.19</v>
      </c>
      <c r="D1059" s="137">
        <v>-4.1900000000000004</v>
      </c>
      <c r="E1059" s="137">
        <v>1.17</v>
      </c>
      <c r="F1059" s="137">
        <v>0</v>
      </c>
    </row>
    <row r="1060" spans="2:6" ht="15" customHeight="1">
      <c r="B1060" s="137">
        <v>201405</v>
      </c>
      <c r="C1060" s="137">
        <v>2.06</v>
      </c>
      <c r="D1060" s="137">
        <v>-1.88</v>
      </c>
      <c r="E1060" s="137">
        <v>-0.13</v>
      </c>
      <c r="F1060" s="137">
        <v>0</v>
      </c>
    </row>
    <row r="1061" spans="2:6" ht="15" customHeight="1">
      <c r="B1061" s="137">
        <v>201406</v>
      </c>
      <c r="C1061" s="137">
        <v>2.61</v>
      </c>
      <c r="D1061" s="137">
        <v>3.09</v>
      </c>
      <c r="E1061" s="137">
        <v>-0.7</v>
      </c>
      <c r="F1061" s="137">
        <v>0</v>
      </c>
    </row>
    <row r="1062" spans="2:6" ht="15" customHeight="1">
      <c r="B1062" s="137">
        <v>201407</v>
      </c>
      <c r="C1062" s="137">
        <v>-2.04</v>
      </c>
      <c r="D1062" s="137">
        <v>-4.29</v>
      </c>
      <c r="E1062" s="137">
        <v>0.03</v>
      </c>
      <c r="F1062" s="137">
        <v>0</v>
      </c>
    </row>
    <row r="1063" spans="2:6" ht="15" customHeight="1">
      <c r="B1063" s="137">
        <v>201408</v>
      </c>
      <c r="C1063" s="137">
        <v>4.24</v>
      </c>
      <c r="D1063" s="137">
        <v>0.4</v>
      </c>
      <c r="E1063" s="137">
        <v>-0.45</v>
      </c>
      <c r="F1063" s="137">
        <v>0</v>
      </c>
    </row>
    <row r="1064" spans="2:6" ht="15" customHeight="1">
      <c r="B1064" s="137">
        <v>201409</v>
      </c>
      <c r="C1064" s="137">
        <v>-1.97</v>
      </c>
      <c r="D1064" s="137">
        <v>-3.71</v>
      </c>
      <c r="E1064" s="137">
        <v>-1.34</v>
      </c>
      <c r="F1064" s="137">
        <v>0</v>
      </c>
    </row>
    <row r="1065" spans="2:6" ht="15" customHeight="1">
      <c r="B1065" s="137">
        <v>201410</v>
      </c>
      <c r="C1065" s="137">
        <v>2.52</v>
      </c>
      <c r="D1065" s="137">
        <v>4.21</v>
      </c>
      <c r="E1065" s="137">
        <v>-1.81</v>
      </c>
      <c r="F1065" s="137">
        <v>0</v>
      </c>
    </row>
    <row r="1066" spans="2:6" ht="15" customHeight="1">
      <c r="B1066" s="137">
        <v>201411</v>
      </c>
      <c r="C1066" s="137">
        <v>2.5499999999999998</v>
      </c>
      <c r="D1066" s="137">
        <v>-2.06</v>
      </c>
      <c r="E1066" s="137">
        <v>-3.09</v>
      </c>
      <c r="F1066" s="137">
        <v>0</v>
      </c>
    </row>
    <row r="1067" spans="2:6" ht="15" customHeight="1">
      <c r="B1067" s="137">
        <v>201412</v>
      </c>
      <c r="C1067" s="137">
        <v>-0.06</v>
      </c>
      <c r="D1067" s="137">
        <v>2.4900000000000002</v>
      </c>
      <c r="E1067" s="137">
        <v>2.27</v>
      </c>
      <c r="F1067" s="137">
        <v>0</v>
      </c>
    </row>
    <row r="1068" spans="2:6" ht="15" customHeight="1">
      <c r="B1068" s="137">
        <v>201501</v>
      </c>
      <c r="C1068" s="137">
        <v>-3.11</v>
      </c>
      <c r="D1068" s="137">
        <v>-0.56000000000000005</v>
      </c>
      <c r="E1068" s="137">
        <v>-3.58</v>
      </c>
      <c r="F1068" s="137">
        <v>0</v>
      </c>
    </row>
    <row r="1069" spans="2:6" ht="15" customHeight="1">
      <c r="B1069" s="137">
        <v>201502</v>
      </c>
      <c r="C1069" s="137">
        <v>6.13</v>
      </c>
      <c r="D1069" s="137">
        <v>0.63</v>
      </c>
      <c r="E1069" s="137">
        <v>-1.86</v>
      </c>
      <c r="F1069" s="137">
        <v>0</v>
      </c>
    </row>
    <row r="1070" spans="2:6" ht="15" customHeight="1">
      <c r="B1070" s="137">
        <v>201503</v>
      </c>
      <c r="C1070" s="137">
        <v>-1.1200000000000001</v>
      </c>
      <c r="D1070" s="137">
        <v>3.04</v>
      </c>
      <c r="E1070" s="137">
        <v>-0.37</v>
      </c>
      <c r="F1070" s="137">
        <v>0</v>
      </c>
    </row>
    <row r="1071" spans="2:6" ht="15" customHeight="1">
      <c r="B1071" s="137">
        <v>201504</v>
      </c>
      <c r="C1071" s="137">
        <v>0.59</v>
      </c>
      <c r="D1071" s="137">
        <v>-3.06</v>
      </c>
      <c r="E1071" s="137">
        <v>1.82</v>
      </c>
      <c r="F1071" s="137">
        <v>0</v>
      </c>
    </row>
    <row r="1072" spans="2:6" ht="15" customHeight="1">
      <c r="B1072" s="137">
        <v>201505</v>
      </c>
      <c r="C1072" s="137">
        <v>1.36</v>
      </c>
      <c r="D1072" s="137">
        <v>0.93</v>
      </c>
      <c r="E1072" s="137">
        <v>-1.1399999999999999</v>
      </c>
      <c r="F1072" s="137">
        <v>0</v>
      </c>
    </row>
    <row r="1073" spans="2:6" ht="15" customHeight="1">
      <c r="B1073" s="137">
        <v>201506</v>
      </c>
      <c r="C1073" s="137">
        <v>-1.53</v>
      </c>
      <c r="D1073" s="137">
        <v>2.91</v>
      </c>
      <c r="E1073" s="137">
        <v>-0.79</v>
      </c>
      <c r="F1073" s="137">
        <v>0</v>
      </c>
    </row>
    <row r="1074" spans="2:6" ht="15" customHeight="1">
      <c r="B1074" s="137">
        <v>201507</v>
      </c>
      <c r="C1074" s="137">
        <v>1.54</v>
      </c>
      <c r="D1074" s="137">
        <v>-4.17</v>
      </c>
      <c r="E1074" s="137">
        <v>-4.13</v>
      </c>
      <c r="F1074" s="137">
        <v>0</v>
      </c>
    </row>
    <row r="1075" spans="2:6" ht="15" customHeight="1">
      <c r="B1075" s="137">
        <v>201508</v>
      </c>
      <c r="C1075" s="137">
        <v>-6.04</v>
      </c>
      <c r="D1075" s="137">
        <v>0.33</v>
      </c>
      <c r="E1075" s="137">
        <v>2.77</v>
      </c>
      <c r="F1075" s="137">
        <v>0</v>
      </c>
    </row>
    <row r="1076" spans="2:6" ht="15" customHeight="1">
      <c r="B1076" s="137">
        <v>201509</v>
      </c>
      <c r="C1076" s="137">
        <v>-3.07</v>
      </c>
      <c r="D1076" s="137">
        <v>-2.62</v>
      </c>
      <c r="E1076" s="137">
        <v>0.56000000000000005</v>
      </c>
      <c r="F1076" s="137">
        <v>0</v>
      </c>
    </row>
    <row r="1077" spans="2:6" ht="15" customHeight="1">
      <c r="B1077" s="137">
        <v>201510</v>
      </c>
      <c r="C1077" s="137">
        <v>7.75</v>
      </c>
      <c r="D1077" s="137">
        <v>-1.88</v>
      </c>
      <c r="E1077" s="137">
        <v>-0.46</v>
      </c>
      <c r="F1077" s="137">
        <v>0</v>
      </c>
    </row>
    <row r="1078" spans="2:6" ht="15" customHeight="1">
      <c r="B1078" s="137">
        <v>201511</v>
      </c>
      <c r="C1078" s="137">
        <v>0.56000000000000005</v>
      </c>
      <c r="D1078" s="137">
        <v>3.6</v>
      </c>
      <c r="E1078" s="137">
        <v>-0.42</v>
      </c>
      <c r="F1078" s="137">
        <v>0</v>
      </c>
    </row>
    <row r="1079" spans="2:6" ht="15" customHeight="1">
      <c r="B1079" s="137">
        <v>201512</v>
      </c>
      <c r="C1079" s="137">
        <v>-2.17</v>
      </c>
      <c r="D1079" s="137">
        <v>-2.84</v>
      </c>
      <c r="E1079" s="137">
        <v>-2.61</v>
      </c>
      <c r="F1079" s="137">
        <v>0.01</v>
      </c>
    </row>
    <row r="1080" spans="2:6" ht="15" customHeight="1">
      <c r="B1080" s="137">
        <v>201601</v>
      </c>
      <c r="C1080" s="137">
        <v>-5.77</v>
      </c>
      <c r="D1080" s="137">
        <v>-3.42</v>
      </c>
      <c r="E1080" s="137">
        <v>2.09</v>
      </c>
      <c r="F1080" s="137">
        <v>0.01</v>
      </c>
    </row>
    <row r="1081" spans="2:6" ht="15" customHeight="1">
      <c r="B1081" s="137">
        <v>201602</v>
      </c>
      <c r="C1081" s="137">
        <v>-7.0000000000000007E-2</v>
      </c>
      <c r="D1081" s="137">
        <v>0.73</v>
      </c>
      <c r="E1081" s="137">
        <v>-0.56999999999999995</v>
      </c>
      <c r="F1081" s="137">
        <v>0.02</v>
      </c>
    </row>
    <row r="1082" spans="2:6" ht="15" customHeight="1">
      <c r="B1082" s="137">
        <v>201603</v>
      </c>
      <c r="C1082" s="137">
        <v>6.96</v>
      </c>
      <c r="D1082" s="137">
        <v>0.82</v>
      </c>
      <c r="E1082" s="137">
        <v>1.19</v>
      </c>
      <c r="F1082" s="137">
        <v>0.02</v>
      </c>
    </row>
    <row r="1083" spans="2:6" ht="15" customHeight="1">
      <c r="B1083" s="137">
        <v>201604</v>
      </c>
      <c r="C1083" s="137">
        <v>0.91</v>
      </c>
      <c r="D1083" s="137">
        <v>0.76</v>
      </c>
      <c r="E1083" s="137">
        <v>3.28</v>
      </c>
      <c r="F1083" s="137">
        <v>0.01</v>
      </c>
    </row>
    <row r="1084" spans="2:6" ht="15" customHeight="1">
      <c r="B1084" s="137">
        <v>201605</v>
      </c>
      <c r="C1084" s="137">
        <v>1.78</v>
      </c>
      <c r="D1084" s="137">
        <v>-0.17</v>
      </c>
      <c r="E1084" s="137">
        <v>-1.66</v>
      </c>
      <c r="F1084" s="137">
        <v>0.01</v>
      </c>
    </row>
    <row r="1085" spans="2:6" ht="15" customHeight="1">
      <c r="B1085" s="137">
        <v>201606</v>
      </c>
      <c r="C1085" s="137">
        <v>-0.05</v>
      </c>
      <c r="D1085" s="137">
        <v>0.61</v>
      </c>
      <c r="E1085" s="137">
        <v>-1.48</v>
      </c>
      <c r="F1085" s="137">
        <v>0.02</v>
      </c>
    </row>
    <row r="1086" spans="2:6" ht="15" customHeight="1">
      <c r="B1086" s="137">
        <v>201607</v>
      </c>
      <c r="C1086" s="137">
        <v>3.95</v>
      </c>
      <c r="D1086" s="137">
        <v>2.4900000000000002</v>
      </c>
      <c r="E1086" s="137">
        <v>-1.32</v>
      </c>
      <c r="F1086" s="137">
        <v>0.02</v>
      </c>
    </row>
    <row r="1087" spans="2:6" ht="15" customHeight="1">
      <c r="B1087" s="137">
        <v>201608</v>
      </c>
      <c r="C1087" s="137">
        <v>0.49</v>
      </c>
      <c r="D1087" s="137">
        <v>1.1499999999999999</v>
      </c>
      <c r="E1087" s="137">
        <v>3.18</v>
      </c>
      <c r="F1087" s="137">
        <v>0.02</v>
      </c>
    </row>
    <row r="1088" spans="2:6" ht="15" customHeight="1">
      <c r="B1088" s="137">
        <v>201609</v>
      </c>
      <c r="C1088" s="137">
        <v>0.25</v>
      </c>
      <c r="D1088" s="137">
        <v>2.12</v>
      </c>
      <c r="E1088" s="137">
        <v>-1.24</v>
      </c>
      <c r="F1088" s="137">
        <v>0.02</v>
      </c>
    </row>
    <row r="1089" spans="2:6" ht="15" customHeight="1">
      <c r="B1089" s="137">
        <v>201610</v>
      </c>
      <c r="C1089" s="137">
        <v>-2.02</v>
      </c>
      <c r="D1089" s="137">
        <v>-4.4000000000000004</v>
      </c>
      <c r="E1089" s="137">
        <v>4.09</v>
      </c>
      <c r="F1089" s="137">
        <v>0.02</v>
      </c>
    </row>
    <row r="1090" spans="2:6" ht="15" customHeight="1">
      <c r="B1090" s="137">
        <v>201611</v>
      </c>
      <c r="C1090" s="137">
        <v>4.8600000000000003</v>
      </c>
      <c r="D1090" s="137">
        <v>5.71</v>
      </c>
      <c r="E1090" s="137">
        <v>8.2100000000000009</v>
      </c>
      <c r="F1090" s="137">
        <v>0.01</v>
      </c>
    </row>
    <row r="1091" spans="2:6" ht="15" customHeight="1">
      <c r="B1091" s="137">
        <v>201612</v>
      </c>
      <c r="C1091" s="137">
        <v>1.82</v>
      </c>
      <c r="D1091" s="137">
        <v>0.1</v>
      </c>
      <c r="E1091" s="137">
        <v>3.53</v>
      </c>
      <c r="F1091" s="137">
        <v>0.03</v>
      </c>
    </row>
    <row r="1092" spans="2:6" ht="15" customHeight="1">
      <c r="B1092" s="137">
        <v>201701</v>
      </c>
      <c r="C1092" s="137">
        <v>1.94</v>
      </c>
      <c r="D1092" s="137">
        <v>-1.19</v>
      </c>
      <c r="E1092" s="137">
        <v>-2.75</v>
      </c>
      <c r="F1092" s="137">
        <v>0.04</v>
      </c>
    </row>
    <row r="1093" spans="2:6" ht="15" customHeight="1">
      <c r="B1093" s="137">
        <v>201702</v>
      </c>
      <c r="C1093" s="137">
        <v>3.57</v>
      </c>
      <c r="D1093" s="137">
        <v>-2.0499999999999998</v>
      </c>
      <c r="E1093" s="137">
        <v>-1.67</v>
      </c>
      <c r="F1093" s="137">
        <v>0.04</v>
      </c>
    </row>
    <row r="1094" spans="2:6" ht="15" customHeight="1">
      <c r="B1094" s="137">
        <v>201703</v>
      </c>
      <c r="C1094" s="137">
        <v>0.17</v>
      </c>
      <c r="D1094" s="137">
        <v>1.1399999999999999</v>
      </c>
      <c r="E1094" s="137">
        <v>-3.35</v>
      </c>
      <c r="F1094" s="137">
        <v>0.03</v>
      </c>
    </row>
    <row r="1095" spans="2:6" ht="15" customHeight="1">
      <c r="B1095" s="137">
        <v>201704</v>
      </c>
      <c r="C1095" s="137">
        <v>1.0900000000000001</v>
      </c>
      <c r="D1095" s="137">
        <v>0.73</v>
      </c>
      <c r="E1095" s="137">
        <v>-2.13</v>
      </c>
      <c r="F1095" s="137">
        <v>0.05</v>
      </c>
    </row>
    <row r="1096" spans="2:6" ht="15" customHeight="1">
      <c r="B1096" s="137">
        <v>201705</v>
      </c>
      <c r="C1096" s="137">
        <v>1.06</v>
      </c>
      <c r="D1096" s="137">
        <v>-2.57</v>
      </c>
      <c r="E1096" s="137">
        <v>-3.78</v>
      </c>
      <c r="F1096" s="137">
        <v>0.06</v>
      </c>
    </row>
    <row r="1097" spans="2:6" ht="15" customHeight="1">
      <c r="B1097" s="137">
        <v>201706</v>
      </c>
      <c r="C1097" s="137">
        <v>0.78</v>
      </c>
      <c r="D1097" s="137">
        <v>2.25</v>
      </c>
      <c r="E1097" s="137">
        <v>1.48</v>
      </c>
      <c r="F1097" s="137">
        <v>0.06</v>
      </c>
    </row>
    <row r="1098" spans="2:6" ht="15" customHeight="1">
      <c r="B1098" s="137">
        <v>201707</v>
      </c>
      <c r="C1098" s="137">
        <v>1.87</v>
      </c>
      <c r="D1098" s="137">
        <v>-1.51</v>
      </c>
      <c r="E1098" s="137">
        <v>-0.31</v>
      </c>
      <c r="F1098" s="137">
        <v>7.0000000000000007E-2</v>
      </c>
    </row>
    <row r="1099" spans="2:6" ht="15" customHeight="1">
      <c r="B1099" s="137">
        <v>201708</v>
      </c>
      <c r="C1099" s="137">
        <v>0.16</v>
      </c>
      <c r="D1099" s="137">
        <v>-1.67</v>
      </c>
      <c r="E1099" s="137">
        <v>-2.09</v>
      </c>
      <c r="F1099" s="137">
        <v>0.09</v>
      </c>
    </row>
    <row r="1100" spans="2:6" ht="15" customHeight="1">
      <c r="B1100" s="137">
        <v>201709</v>
      </c>
      <c r="C1100" s="137">
        <v>2.5099999999999998</v>
      </c>
      <c r="D1100" s="137">
        <v>4.47</v>
      </c>
      <c r="E1100" s="137">
        <v>3.14</v>
      </c>
      <c r="F1100" s="137">
        <v>0.09</v>
      </c>
    </row>
    <row r="1101" spans="2:6" ht="15" customHeight="1">
      <c r="B1101" s="137">
        <v>201710</v>
      </c>
      <c r="C1101" s="137">
        <v>2.25</v>
      </c>
      <c r="D1101" s="137">
        <v>-1.94</v>
      </c>
      <c r="E1101" s="137">
        <v>0.2</v>
      </c>
      <c r="F1101" s="137">
        <v>0.09</v>
      </c>
    </row>
    <row r="1102" spans="2:6" ht="15" customHeight="1">
      <c r="B1102" s="137">
        <v>201711</v>
      </c>
      <c r="C1102" s="137">
        <v>3.12</v>
      </c>
      <c r="D1102" s="137">
        <v>-0.55000000000000004</v>
      </c>
      <c r="E1102" s="137">
        <v>-0.03</v>
      </c>
      <c r="F1102" s="137">
        <v>0.08</v>
      </c>
    </row>
    <row r="1103" spans="2:6" ht="15" customHeight="1">
      <c r="B1103" s="137">
        <v>201712</v>
      </c>
      <c r="C1103" s="137">
        <v>1.06</v>
      </c>
      <c r="D1103" s="137">
        <v>-1.32</v>
      </c>
      <c r="E1103" s="137">
        <v>0.06</v>
      </c>
      <c r="F1103" s="137">
        <v>0.09</v>
      </c>
    </row>
    <row r="1104" spans="2:6" ht="15" customHeight="1">
      <c r="B1104" s="137">
        <v>201801</v>
      </c>
      <c r="C1104" s="137">
        <v>5.57</v>
      </c>
      <c r="D1104" s="137">
        <v>-3.13</v>
      </c>
      <c r="E1104" s="137">
        <v>-1.29</v>
      </c>
      <c r="F1104" s="137">
        <v>0.12</v>
      </c>
    </row>
    <row r="1105" spans="2:6" ht="15" customHeight="1">
      <c r="B1105" s="137">
        <v>201802</v>
      </c>
      <c r="C1105" s="137">
        <v>-3.65</v>
      </c>
      <c r="D1105" s="137">
        <v>0.25</v>
      </c>
      <c r="E1105" s="137">
        <v>-1.04</v>
      </c>
      <c r="F1105" s="137">
        <v>0.11</v>
      </c>
    </row>
    <row r="1106" spans="2:6" ht="15" customHeight="1">
      <c r="B1106" s="137">
        <v>201803</v>
      </c>
      <c r="C1106" s="137">
        <v>-2.35</v>
      </c>
      <c r="D1106" s="137">
        <v>4.0599999999999996</v>
      </c>
      <c r="E1106" s="137">
        <v>-0.21</v>
      </c>
      <c r="F1106" s="137">
        <v>0.11</v>
      </c>
    </row>
    <row r="1107" spans="2:6" ht="15" customHeight="1">
      <c r="B1107" s="137">
        <v>201804</v>
      </c>
      <c r="C1107" s="137">
        <v>0.28000000000000003</v>
      </c>
      <c r="D1107" s="137">
        <v>1.1299999999999999</v>
      </c>
      <c r="E1107" s="137">
        <v>0.54</v>
      </c>
      <c r="F1107" s="137">
        <v>0.14000000000000001</v>
      </c>
    </row>
    <row r="1108" spans="2:6" ht="15" customHeight="1">
      <c r="B1108" s="137">
        <v>201805</v>
      </c>
      <c r="C1108" s="137">
        <v>2.65</v>
      </c>
      <c r="D1108" s="137">
        <v>5.25</v>
      </c>
      <c r="E1108" s="137">
        <v>-3.2</v>
      </c>
      <c r="F1108" s="137">
        <v>0.14000000000000001</v>
      </c>
    </row>
    <row r="1109" spans="2:6" ht="15" customHeight="1">
      <c r="B1109" s="137">
        <v>201806</v>
      </c>
      <c r="C1109" s="137">
        <v>0.48</v>
      </c>
      <c r="D1109" s="137">
        <v>1.1399999999999999</v>
      </c>
      <c r="E1109" s="137">
        <v>-2.34</v>
      </c>
      <c r="F1109" s="137">
        <v>0.14000000000000001</v>
      </c>
    </row>
    <row r="1110" spans="2:6" ht="15" customHeight="1">
      <c r="B1110" s="137">
        <v>201807</v>
      </c>
      <c r="C1110" s="137">
        <v>3.19</v>
      </c>
      <c r="D1110" s="137">
        <v>-2.2200000000000002</v>
      </c>
      <c r="E1110" s="137">
        <v>0.47</v>
      </c>
      <c r="F1110" s="137">
        <v>0.16</v>
      </c>
    </row>
    <row r="1111" spans="2:6" ht="15" customHeight="1">
      <c r="B1111" s="137">
        <v>201808</v>
      </c>
      <c r="C1111" s="137">
        <v>3.44</v>
      </c>
      <c r="D1111" s="137">
        <v>1.1399999999999999</v>
      </c>
      <c r="E1111" s="137">
        <v>-3.94</v>
      </c>
      <c r="F1111" s="137">
        <v>0.16</v>
      </c>
    </row>
    <row r="1112" spans="2:6" ht="15" customHeight="1">
      <c r="B1112" s="137">
        <v>201809</v>
      </c>
      <c r="C1112" s="137">
        <v>0.06</v>
      </c>
      <c r="D1112" s="137">
        <v>-2.27</v>
      </c>
      <c r="E1112" s="137">
        <v>-1.7</v>
      </c>
      <c r="F1112" s="137">
        <v>0.15</v>
      </c>
    </row>
    <row r="1113" spans="2:6" ht="15" customHeight="1">
      <c r="B1113" s="137">
        <v>201810</v>
      </c>
      <c r="C1113" s="137">
        <v>-7.68</v>
      </c>
      <c r="D1113" s="137">
        <v>-4.78</v>
      </c>
      <c r="E1113" s="137">
        <v>3.4</v>
      </c>
      <c r="F1113" s="137">
        <v>0.19</v>
      </c>
    </row>
    <row r="1114" spans="2:6" ht="15" customHeight="1">
      <c r="B1114" s="137">
        <v>201811</v>
      </c>
      <c r="C1114" s="137">
        <v>1.69</v>
      </c>
      <c r="D1114" s="137">
        <v>-0.68</v>
      </c>
      <c r="E1114" s="137">
        <v>0.3</v>
      </c>
      <c r="F1114" s="137">
        <v>0.18</v>
      </c>
    </row>
    <row r="1115" spans="2:6" ht="15" customHeight="1">
      <c r="B1115" s="137">
        <v>201812</v>
      </c>
      <c r="C1115" s="137">
        <v>-9.57</v>
      </c>
      <c r="D1115" s="137">
        <v>-2.38</v>
      </c>
      <c r="E1115" s="137">
        <v>-1.84</v>
      </c>
      <c r="F1115" s="137">
        <v>0.2</v>
      </c>
    </row>
    <row r="1116" spans="2:6" ht="15" customHeight="1">
      <c r="B1116" s="137">
        <v>201901</v>
      </c>
      <c r="C1116" s="137">
        <v>8.4</v>
      </c>
      <c r="D1116" s="137">
        <v>2.9</v>
      </c>
      <c r="E1116" s="137">
        <v>-0.46</v>
      </c>
      <c r="F1116" s="137">
        <v>0.21</v>
      </c>
    </row>
    <row r="1117" spans="2:6" ht="15" customHeight="1">
      <c r="B1117" s="137">
        <v>201902</v>
      </c>
      <c r="C1117" s="137">
        <v>3.4</v>
      </c>
      <c r="D1117" s="137">
        <v>2.0499999999999998</v>
      </c>
      <c r="E1117" s="137">
        <v>-2.67</v>
      </c>
      <c r="F1117" s="137">
        <v>0.18</v>
      </c>
    </row>
    <row r="1118" spans="2:6" ht="15" customHeight="1">
      <c r="B1118" s="137">
        <v>201903</v>
      </c>
      <c r="C1118" s="137">
        <v>1.1000000000000001</v>
      </c>
      <c r="D1118" s="137">
        <v>-3.05</v>
      </c>
      <c r="E1118" s="137">
        <v>-4.17</v>
      </c>
      <c r="F1118" s="137">
        <v>0.19</v>
      </c>
    </row>
    <row r="1119" spans="2:6" ht="15" customHeight="1">
      <c r="B1119" s="137">
        <v>201904</v>
      </c>
      <c r="C1119" s="137">
        <v>3.97</v>
      </c>
      <c r="D1119" s="137">
        <v>-1.74</v>
      </c>
      <c r="E1119" s="137">
        <v>2.15</v>
      </c>
      <c r="F1119" s="137">
        <v>0.21</v>
      </c>
    </row>
    <row r="1120" spans="2:6" ht="15" customHeight="1">
      <c r="B1120" s="137">
        <v>201905</v>
      </c>
      <c r="C1120" s="137">
        <v>-6.94</v>
      </c>
      <c r="D1120" s="137">
        <v>-1.32</v>
      </c>
      <c r="E1120" s="137">
        <v>-2.37</v>
      </c>
      <c r="F1120" s="137">
        <v>0.21</v>
      </c>
    </row>
    <row r="1121" spans="2:6" ht="15" customHeight="1">
      <c r="B1121" s="137">
        <v>201906</v>
      </c>
      <c r="C1121" s="137">
        <v>6.93</v>
      </c>
      <c r="D1121" s="137">
        <v>0.28999999999999998</v>
      </c>
      <c r="E1121" s="137">
        <v>-0.71</v>
      </c>
      <c r="F1121" s="137">
        <v>0.18</v>
      </c>
    </row>
    <row r="1122" spans="2:6" ht="15" customHeight="1">
      <c r="B1122" s="137">
        <v>201907</v>
      </c>
      <c r="C1122" s="137">
        <v>1.19</v>
      </c>
      <c r="D1122" s="137">
        <v>-1.93</v>
      </c>
      <c r="E1122" s="137">
        <v>0.48</v>
      </c>
      <c r="F1122" s="137">
        <v>0.19</v>
      </c>
    </row>
    <row r="1123" spans="2:6" ht="15" customHeight="1">
      <c r="B1123" s="137">
        <v>201908</v>
      </c>
      <c r="C1123" s="137">
        <v>-2.58</v>
      </c>
      <c r="D1123" s="137">
        <v>-2.38</v>
      </c>
      <c r="E1123" s="137">
        <v>-4.78</v>
      </c>
      <c r="F1123" s="137">
        <v>0.16</v>
      </c>
    </row>
    <row r="1124" spans="2:6" ht="15" customHeight="1">
      <c r="B1124" s="137">
        <v>201909</v>
      </c>
      <c r="C1124" s="137">
        <v>1.43</v>
      </c>
      <c r="D1124" s="137">
        <v>-0.96</v>
      </c>
      <c r="E1124" s="137">
        <v>6.75</v>
      </c>
      <c r="F1124" s="137">
        <v>0.18</v>
      </c>
    </row>
    <row r="1125" spans="2:6" ht="15" customHeight="1">
      <c r="B1125" s="137">
        <v>201910</v>
      </c>
      <c r="C1125" s="137">
        <v>2.06</v>
      </c>
      <c r="D1125" s="137">
        <v>0.28999999999999998</v>
      </c>
      <c r="E1125" s="137">
        <v>-1.91</v>
      </c>
      <c r="F1125" s="137">
        <v>0.16</v>
      </c>
    </row>
    <row r="1126" spans="2:6" ht="15" customHeight="1">
      <c r="B1126" s="137">
        <v>201911</v>
      </c>
      <c r="C1126" s="137">
        <v>3.87</v>
      </c>
      <c r="D1126" s="137">
        <v>0.77</v>
      </c>
      <c r="E1126" s="137">
        <v>-2.02</v>
      </c>
      <c r="F1126" s="137">
        <v>0.12</v>
      </c>
    </row>
    <row r="1127" spans="2:6" ht="15" customHeight="1">
      <c r="B1127" s="137">
        <v>201912</v>
      </c>
      <c r="C1127" s="137">
        <v>2.77</v>
      </c>
      <c r="D1127" s="137">
        <v>0.73</v>
      </c>
      <c r="E1127" s="137">
        <v>1.75</v>
      </c>
      <c r="F1127" s="137">
        <v>0.14000000000000001</v>
      </c>
    </row>
    <row r="1128" spans="2:6" ht="15" customHeight="1">
      <c r="B1128" s="137">
        <v>202001</v>
      </c>
      <c r="C1128" s="137">
        <v>-0.11</v>
      </c>
      <c r="D1128" s="137">
        <v>-3.11</v>
      </c>
      <c r="E1128" s="137">
        <v>-6.25</v>
      </c>
      <c r="F1128" s="137">
        <v>0.13</v>
      </c>
    </row>
    <row r="1129" spans="2:6" ht="15" customHeight="1">
      <c r="B1129" s="137">
        <v>202002</v>
      </c>
      <c r="C1129" s="137">
        <v>-8.1300000000000008</v>
      </c>
      <c r="D1129" s="137">
        <v>1.07</v>
      </c>
      <c r="E1129" s="137">
        <v>-3.81</v>
      </c>
      <c r="F1129" s="137">
        <v>0.12</v>
      </c>
    </row>
    <row r="1130" spans="2:6" ht="15" customHeight="1">
      <c r="B1130" s="137">
        <v>202003</v>
      </c>
      <c r="C1130" s="137">
        <v>-13.39</v>
      </c>
      <c r="D1130" s="137">
        <v>-4.83</v>
      </c>
      <c r="E1130" s="137">
        <v>-13.87</v>
      </c>
      <c r="F1130" s="137">
        <v>0.13</v>
      </c>
    </row>
    <row r="1131" spans="2:6" ht="15" customHeight="1">
      <c r="B1131" s="137">
        <v>202004</v>
      </c>
      <c r="C1131" s="137">
        <v>13.65</v>
      </c>
      <c r="D1131" s="137">
        <v>2.4500000000000002</v>
      </c>
      <c r="E1131" s="137">
        <v>-1.33</v>
      </c>
      <c r="F1131" s="137">
        <v>0</v>
      </c>
    </row>
    <row r="1132" spans="2:6" ht="15" customHeight="1">
      <c r="B1132" s="137">
        <v>202005</v>
      </c>
      <c r="C1132" s="137">
        <v>5.58</v>
      </c>
      <c r="D1132" s="137">
        <v>2.4700000000000002</v>
      </c>
      <c r="E1132" s="137">
        <v>-4.88</v>
      </c>
      <c r="F1132" s="137">
        <v>0.01</v>
      </c>
    </row>
    <row r="1133" spans="2:6" ht="15" customHeight="1">
      <c r="B1133" s="137">
        <v>202006</v>
      </c>
      <c r="C1133" s="137">
        <v>2.46</v>
      </c>
      <c r="D1133" s="137">
        <v>2.69</v>
      </c>
      <c r="E1133" s="137">
        <v>-2.2000000000000002</v>
      </c>
      <c r="F1133" s="137">
        <v>0.01</v>
      </c>
    </row>
    <row r="1134" spans="2:6" ht="15" customHeight="1">
      <c r="B1134" s="137">
        <v>202007</v>
      </c>
      <c r="C1134" s="137">
        <v>5.77</v>
      </c>
      <c r="D1134" s="137">
        <v>-2.33</v>
      </c>
      <c r="E1134" s="137">
        <v>-1.41</v>
      </c>
      <c r="F1134" s="137">
        <v>0.01</v>
      </c>
    </row>
    <row r="1135" spans="2:6" ht="15" customHeight="1">
      <c r="B1135" s="137">
        <v>202008</v>
      </c>
      <c r="C1135" s="137">
        <v>7.63</v>
      </c>
      <c r="D1135" s="137">
        <v>-0.22</v>
      </c>
      <c r="E1135" s="137">
        <v>-2.97</v>
      </c>
      <c r="F1135" s="137">
        <v>0.01</v>
      </c>
    </row>
    <row r="1136" spans="2:6" ht="15" customHeight="1">
      <c r="B1136" s="137">
        <v>202009</v>
      </c>
      <c r="C1136" s="137">
        <v>-3.63</v>
      </c>
      <c r="D1136" s="137">
        <v>0.02</v>
      </c>
      <c r="E1136" s="137">
        <v>-2.71</v>
      </c>
      <c r="F1136" s="137">
        <v>0.01</v>
      </c>
    </row>
    <row r="1137" spans="2:6" ht="15" customHeight="1">
      <c r="B1137" s="137">
        <v>202010</v>
      </c>
      <c r="C1137" s="137">
        <v>-2.1</v>
      </c>
      <c r="D1137" s="137">
        <v>4.38</v>
      </c>
      <c r="E1137" s="137">
        <v>4.25</v>
      </c>
      <c r="F1137" s="137">
        <v>0.01</v>
      </c>
    </row>
    <row r="1138" spans="2:6" ht="15" customHeight="1">
      <c r="B1138" s="137">
        <v>202011</v>
      </c>
      <c r="C1138" s="137">
        <v>12.47</v>
      </c>
      <c r="D1138" s="137">
        <v>5.8</v>
      </c>
      <c r="E1138" s="137">
        <v>2.09</v>
      </c>
      <c r="F1138" s="137">
        <v>0.01</v>
      </c>
    </row>
    <row r="1139" spans="2:6" ht="15" customHeight="1">
      <c r="B1139" s="137">
        <v>202012</v>
      </c>
      <c r="C1139" s="137">
        <v>4.63</v>
      </c>
      <c r="D1139" s="137">
        <v>4.8899999999999997</v>
      </c>
      <c r="E1139" s="137">
        <v>-1.51</v>
      </c>
      <c r="F1139" s="137">
        <v>0.01</v>
      </c>
    </row>
    <row r="1140" spans="2:6" ht="15" customHeight="1">
      <c r="B1140" s="137">
        <v>202101</v>
      </c>
      <c r="C1140" s="137">
        <v>-0.03</v>
      </c>
      <c r="D1140" s="137">
        <v>7.36</v>
      </c>
      <c r="E1140" s="137">
        <v>3.01</v>
      </c>
      <c r="F1140" s="137">
        <v>0.01</v>
      </c>
    </row>
    <row r="1141" spans="2:6" ht="15" customHeight="1">
      <c r="B1141" s="137">
        <v>202102</v>
      </c>
      <c r="C1141" s="137">
        <v>2.78</v>
      </c>
      <c r="D1141" s="137">
        <v>2.0499999999999998</v>
      </c>
      <c r="E1141" s="137">
        <v>7.15</v>
      </c>
      <c r="F1141" s="137">
        <v>0</v>
      </c>
    </row>
    <row r="1142" spans="2:6" ht="15" customHeight="1">
      <c r="B1142" s="137">
        <v>202103</v>
      </c>
      <c r="C1142" s="137">
        <v>3.08</v>
      </c>
      <c r="D1142" s="137">
        <v>-2.37</v>
      </c>
      <c r="E1142" s="137">
        <v>7.39</v>
      </c>
      <c r="F1142" s="137">
        <v>0</v>
      </c>
    </row>
    <row r="1143" spans="2:6" ht="15" customHeight="1">
      <c r="B1143" s="137">
        <v>202104</v>
      </c>
      <c r="C1143" s="137">
        <v>4.93</v>
      </c>
      <c r="D1143" s="137">
        <v>-3.19</v>
      </c>
      <c r="E1143" s="137">
        <v>-0.95</v>
      </c>
      <c r="F1143" s="137">
        <v>0</v>
      </c>
    </row>
    <row r="1144" spans="2:6" ht="15" customHeight="1">
      <c r="B1144" s="137">
        <v>202105</v>
      </c>
      <c r="C1144" s="137">
        <v>0.28999999999999998</v>
      </c>
      <c r="D1144" s="137">
        <v>-0.25</v>
      </c>
      <c r="E1144" s="137">
        <v>7.09</v>
      </c>
      <c r="F1144" s="137">
        <v>0</v>
      </c>
    </row>
    <row r="1145" spans="2:6" ht="15" customHeight="1">
      <c r="B1145" s="137">
        <v>202106</v>
      </c>
      <c r="C1145" s="137">
        <v>2.75</v>
      </c>
      <c r="D1145" s="137">
        <v>1.68</v>
      </c>
      <c r="E1145" s="137">
        <v>-7.87</v>
      </c>
      <c r="F1145" s="137">
        <v>0</v>
      </c>
    </row>
    <row r="1146" spans="2:6" ht="15" customHeight="1">
      <c r="B1146" s="137">
        <v>202107</v>
      </c>
      <c r="C1146" s="137">
        <v>1.27</v>
      </c>
      <c r="D1146" s="137">
        <v>-3.97</v>
      </c>
      <c r="E1146" s="137">
        <v>-1.78</v>
      </c>
      <c r="F1146" s="137">
        <v>0</v>
      </c>
    </row>
    <row r="1147" spans="2:6" ht="15" customHeight="1">
      <c r="B1147" s="137">
        <v>202108</v>
      </c>
      <c r="C1147" s="137">
        <v>2.91</v>
      </c>
      <c r="D1147" s="137">
        <v>-0.42</v>
      </c>
      <c r="E1147" s="137">
        <v>-0.15</v>
      </c>
      <c r="F1147" s="137">
        <v>0</v>
      </c>
    </row>
    <row r="1148" spans="2:6" ht="15" customHeight="1">
      <c r="B1148" s="137">
        <v>202109</v>
      </c>
      <c r="C1148" s="137">
        <v>-4.37</v>
      </c>
      <c r="D1148" s="137">
        <v>0.71</v>
      </c>
      <c r="E1148" s="137">
        <v>5.08</v>
      </c>
      <c r="F1148" s="137">
        <v>0</v>
      </c>
    </row>
    <row r="1149" spans="2:6" ht="15" customHeight="1">
      <c r="B1149" s="137">
        <v>202110</v>
      </c>
      <c r="C1149" s="137">
        <v>6.65</v>
      </c>
      <c r="D1149" s="137">
        <v>-2.35</v>
      </c>
      <c r="E1149" s="137">
        <v>-0.49</v>
      </c>
      <c r="F1149" s="137">
        <v>0</v>
      </c>
    </row>
    <row r="1150" spans="2:6" ht="15" customHeight="1">
      <c r="B1150" s="137">
        <v>202111</v>
      </c>
      <c r="C1150" s="137">
        <v>-1.55</v>
      </c>
      <c r="D1150" s="137">
        <v>-1.32</v>
      </c>
      <c r="E1150" s="137">
        <v>-0.45</v>
      </c>
      <c r="F1150" s="137">
        <v>0</v>
      </c>
    </row>
    <row r="1151" spans="2:6" ht="15" customHeight="1">
      <c r="B1151" s="137">
        <v>202112</v>
      </c>
      <c r="C1151" s="137">
        <v>3.1</v>
      </c>
      <c r="D1151" s="137">
        <v>-1.67</v>
      </c>
      <c r="E1151" s="137">
        <v>3.26</v>
      </c>
      <c r="F1151" s="137">
        <v>0.01</v>
      </c>
    </row>
    <row r="1152" spans="2:6" ht="15" customHeight="1">
      <c r="B1152" s="137">
        <v>202201</v>
      </c>
      <c r="C1152" s="137">
        <v>-6.25</v>
      </c>
      <c r="D1152" s="137">
        <v>-5.94</v>
      </c>
      <c r="E1152" s="137">
        <v>12.75</v>
      </c>
      <c r="F1152" s="137">
        <v>0</v>
      </c>
    </row>
    <row r="1153" spans="2:6" ht="15" customHeight="1">
      <c r="B1153" s="137">
        <v>202202</v>
      </c>
      <c r="C1153" s="137">
        <v>-2.29</v>
      </c>
      <c r="D1153" s="137">
        <v>2.19</v>
      </c>
      <c r="E1153" s="137">
        <v>3.08</v>
      </c>
      <c r="F1153" s="137">
        <v>0</v>
      </c>
    </row>
    <row r="1154" spans="2:6" ht="15" customHeight="1">
      <c r="B1154" s="137">
        <v>202203</v>
      </c>
      <c r="C1154" s="137">
        <v>3.05</v>
      </c>
      <c r="D1154" s="137">
        <v>-1.61</v>
      </c>
      <c r="E1154" s="137">
        <v>-1.81</v>
      </c>
      <c r="F1154" s="137">
        <v>0.01</v>
      </c>
    </row>
    <row r="1155" spans="2:6" ht="15" customHeight="1">
      <c r="B1155" s="137">
        <v>202204</v>
      </c>
      <c r="C1155" s="137">
        <v>-9.4600000000000009</v>
      </c>
      <c r="D1155" s="137">
        <v>-1.39</v>
      </c>
      <c r="E1155" s="137">
        <v>6.17</v>
      </c>
      <c r="F1155" s="137">
        <v>0.01</v>
      </c>
    </row>
    <row r="1156" spans="2:6" ht="15" customHeight="1">
      <c r="B1156" s="137">
        <v>202205</v>
      </c>
      <c r="C1156" s="137">
        <v>-0.34</v>
      </c>
      <c r="D1156" s="137">
        <v>-1.83</v>
      </c>
      <c r="E1156" s="137">
        <v>8.39</v>
      </c>
      <c r="F1156" s="137">
        <v>0.03</v>
      </c>
    </row>
    <row r="1157" spans="2:6" ht="15" customHeight="1">
      <c r="B1157" s="137">
        <v>202206</v>
      </c>
      <c r="C1157" s="137">
        <v>-8.43</v>
      </c>
      <c r="D1157" s="137">
        <v>2.1</v>
      </c>
      <c r="E1157" s="137">
        <v>-5.97</v>
      </c>
      <c r="F1157" s="137">
        <v>0.06</v>
      </c>
    </row>
    <row r="1158" spans="2:6" ht="15" customHeight="1">
      <c r="B1158" s="137">
        <v>202207</v>
      </c>
      <c r="C1158" s="137">
        <v>9.57</v>
      </c>
      <c r="D1158" s="137">
        <v>2.81</v>
      </c>
      <c r="E1158" s="137">
        <v>-4.05</v>
      </c>
      <c r="F1158" s="137">
        <v>0.08</v>
      </c>
    </row>
    <row r="1159" spans="2:6" ht="15" customHeight="1">
      <c r="B1159" s="137">
        <v>202208</v>
      </c>
      <c r="C1159" s="137">
        <v>-3.77</v>
      </c>
      <c r="D1159" s="137">
        <v>1.4</v>
      </c>
      <c r="E1159" s="137">
        <v>0.28999999999999998</v>
      </c>
      <c r="F1159" s="137">
        <v>0.19</v>
      </c>
    </row>
    <row r="1160" spans="2:6" ht="15" customHeight="1">
      <c r="B1160" s="137">
        <v>202209</v>
      </c>
      <c r="C1160" s="137">
        <v>-9.35</v>
      </c>
      <c r="D1160" s="137">
        <v>-0.81</v>
      </c>
      <c r="E1160" s="137">
        <v>0.05</v>
      </c>
      <c r="F1160" s="137">
        <v>0.19</v>
      </c>
    </row>
    <row r="1161" spans="2:6" ht="15" customHeight="1">
      <c r="B1161" s="137">
        <v>202210</v>
      </c>
      <c r="C1161" s="137">
        <v>7.83</v>
      </c>
      <c r="D1161" s="137">
        <v>0.06</v>
      </c>
      <c r="E1161" s="137">
        <v>8.01</v>
      </c>
      <c r="F1161" s="137">
        <v>0.23</v>
      </c>
    </row>
    <row r="1162" spans="2:6" ht="15" customHeight="1">
      <c r="B1162" s="137">
        <v>202211</v>
      </c>
      <c r="C1162" s="137">
        <v>4.5999999999999996</v>
      </c>
      <c r="D1162" s="137">
        <v>-3.52</v>
      </c>
      <c r="E1162" s="137">
        <v>1.38</v>
      </c>
      <c r="F1162" s="137">
        <v>0.28999999999999998</v>
      </c>
    </row>
    <row r="1163" spans="2:6" ht="15" customHeight="1">
      <c r="B1163" s="137">
        <v>202212</v>
      </c>
      <c r="C1163" s="137">
        <v>-6.41</v>
      </c>
      <c r="D1163" s="137">
        <v>-0.69</v>
      </c>
      <c r="E1163" s="137">
        <v>1.37</v>
      </c>
      <c r="F1163" s="137">
        <v>0.33</v>
      </c>
    </row>
    <row r="1164" spans="2:6" ht="15" customHeight="1">
      <c r="B1164" s="137">
        <v>202301</v>
      </c>
      <c r="C1164" s="137">
        <v>6.65</v>
      </c>
      <c r="D1164" s="137">
        <v>5.01</v>
      </c>
      <c r="E1164" s="137">
        <v>-4.01</v>
      </c>
      <c r="F1164" s="137">
        <v>0.35</v>
      </c>
    </row>
    <row r="1165" spans="2:6" ht="15" customHeight="1">
      <c r="B1165" s="137">
        <v>202302</v>
      </c>
      <c r="C1165" s="137">
        <v>-2.58</v>
      </c>
      <c r="D1165" s="137">
        <v>1.17</v>
      </c>
      <c r="E1165" s="137">
        <v>-0.81</v>
      </c>
      <c r="F1165" s="137">
        <v>0.34</v>
      </c>
    </row>
    <row r="1166" spans="2:6" ht="15" customHeight="1">
      <c r="B1166" s="137">
        <v>202303</v>
      </c>
      <c r="C1166" s="137">
        <v>2.5099999999999998</v>
      </c>
      <c r="D1166" s="137">
        <v>-5.51</v>
      </c>
      <c r="E1166" s="137">
        <v>-8.85</v>
      </c>
      <c r="F1166" s="137">
        <v>0.36</v>
      </c>
    </row>
    <row r="1167" spans="2:6" ht="15" customHeight="1">
      <c r="B1167" s="137">
        <v>202304</v>
      </c>
      <c r="C1167" s="137">
        <v>0.61</v>
      </c>
      <c r="D1167" s="137">
        <v>-3.35</v>
      </c>
      <c r="E1167" s="137">
        <v>-0.04</v>
      </c>
      <c r="F1167" s="137">
        <v>0.35</v>
      </c>
    </row>
    <row r="1168" spans="2:6" ht="15" customHeight="1">
      <c r="B1168" s="137">
        <v>202305</v>
      </c>
      <c r="C1168" s="137">
        <v>0.35</v>
      </c>
      <c r="D1168" s="137">
        <v>1.61</v>
      </c>
      <c r="E1168" s="137">
        <v>-7.72</v>
      </c>
      <c r="F1168" s="137">
        <v>0.36</v>
      </c>
    </row>
    <row r="1169" spans="2:6" ht="15" customHeight="1">
      <c r="B1169" s="137">
        <v>202306</v>
      </c>
      <c r="C1169" s="137">
        <v>6.46</v>
      </c>
      <c r="D1169" s="137">
        <v>1.54</v>
      </c>
      <c r="E1169" s="137">
        <v>-0.26</v>
      </c>
      <c r="F1169" s="137">
        <v>0.4</v>
      </c>
    </row>
    <row r="1170" spans="2:6" ht="15" customHeight="1">
      <c r="B1170" s="137">
        <v>202307</v>
      </c>
      <c r="C1170" s="137">
        <v>3.21</v>
      </c>
      <c r="D1170" s="137">
        <v>2.08</v>
      </c>
      <c r="E1170" s="137">
        <v>4.1100000000000003</v>
      </c>
      <c r="F1170" s="137">
        <v>0.45</v>
      </c>
    </row>
    <row r="1171" spans="2:6" ht="15" customHeight="1">
      <c r="B1171" s="137">
        <v>202308</v>
      </c>
      <c r="C1171" s="137">
        <v>-2.39</v>
      </c>
      <c r="D1171" s="137">
        <v>-3.16</v>
      </c>
      <c r="E1171" s="137">
        <v>-1.06</v>
      </c>
      <c r="F1171" s="137">
        <v>0.45</v>
      </c>
    </row>
    <row r="1172" spans="2:6" ht="15" customHeight="1">
      <c r="B1172" s="137">
        <v>202309</v>
      </c>
      <c r="C1172" s="137">
        <v>-5.24</v>
      </c>
      <c r="D1172" s="137">
        <v>-2.5099999999999998</v>
      </c>
      <c r="E1172" s="137">
        <v>1.52</v>
      </c>
      <c r="F1172" s="137">
        <v>0.43</v>
      </c>
    </row>
    <row r="1173" spans="2:6" ht="15" customHeight="1">
      <c r="B1173" s="137">
        <v>202310</v>
      </c>
      <c r="C1173" s="137">
        <v>-3.19</v>
      </c>
      <c r="D1173" s="137">
        <v>-3.87</v>
      </c>
      <c r="E1173" s="137">
        <v>0.19</v>
      </c>
      <c r="F1173" s="137">
        <v>0.47</v>
      </c>
    </row>
    <row r="1174" spans="2:6" ht="15" customHeight="1">
      <c r="B1174" s="137">
        <v>202311</v>
      </c>
      <c r="C1174" s="137">
        <v>8.84</v>
      </c>
      <c r="D1174" s="137">
        <v>-0.02</v>
      </c>
      <c r="E1174" s="137">
        <v>1.64</v>
      </c>
      <c r="F1174" s="137">
        <v>0.44</v>
      </c>
    </row>
    <row r="1175" spans="2:6" ht="15" customHeight="1">
      <c r="B1175" s="137">
        <v>202312</v>
      </c>
      <c r="C1175" s="137">
        <v>4.87</v>
      </c>
      <c r="D1175" s="137">
        <v>6.34</v>
      </c>
      <c r="E1175" s="137">
        <v>4.93</v>
      </c>
      <c r="F1175" s="137">
        <v>0.43</v>
      </c>
    </row>
    <row r="1176" spans="2:6" ht="15" customHeight="1">
      <c r="B1176" s="137">
        <v>202401</v>
      </c>
      <c r="C1176" s="137">
        <v>0.71</v>
      </c>
      <c r="D1176" s="137">
        <v>-5.09</v>
      </c>
      <c r="E1176" s="137">
        <v>-2.38</v>
      </c>
      <c r="F1176" s="137">
        <v>0.47</v>
      </c>
    </row>
    <row r="1177" spans="2:6" ht="15" customHeight="1">
      <c r="B1177" s="137">
        <v>202402</v>
      </c>
      <c r="C1177" s="137">
        <v>5.0599999999999996</v>
      </c>
      <c r="D1177" s="137">
        <v>-0.24</v>
      </c>
      <c r="E1177" s="137">
        <v>-3.48</v>
      </c>
      <c r="F1177" s="137">
        <v>0.42</v>
      </c>
    </row>
    <row r="1178" spans="2:6" ht="15.75" customHeight="1"/>
    <row r="1179" spans="2:6" ht="15" customHeight="1">
      <c r="B1179" s="137" t="s">
        <v>768</v>
      </c>
    </row>
    <row r="1180" spans="2:6" ht="15" customHeight="1">
      <c r="C1180" s="137" t="s">
        <v>695</v>
      </c>
      <c r="D1180" s="137" t="s">
        <v>704</v>
      </c>
      <c r="E1180" s="137" t="s">
        <v>705</v>
      </c>
      <c r="F1180" s="137" t="s">
        <v>698</v>
      </c>
    </row>
    <row r="1181" spans="2:6" ht="15" customHeight="1">
      <c r="B1181" s="137">
        <v>1927</v>
      </c>
      <c r="C1181" s="137">
        <v>29.47</v>
      </c>
      <c r="D1181" s="137">
        <v>-2.04</v>
      </c>
      <c r="E1181" s="137">
        <v>-4.54</v>
      </c>
      <c r="F1181" s="137">
        <v>3.12</v>
      </c>
    </row>
    <row r="1182" spans="2:6" ht="15" customHeight="1">
      <c r="B1182" s="137">
        <v>1928</v>
      </c>
      <c r="C1182" s="137">
        <v>35.39</v>
      </c>
      <c r="D1182" s="137">
        <v>4.51</v>
      </c>
      <c r="E1182" s="137">
        <v>-6.17</v>
      </c>
      <c r="F1182" s="137">
        <v>3.56</v>
      </c>
    </row>
    <row r="1183" spans="2:6" ht="15" customHeight="1">
      <c r="B1183" s="137">
        <v>1929</v>
      </c>
      <c r="C1183" s="137">
        <v>-19.54</v>
      </c>
      <c r="D1183" s="137">
        <v>-30.7</v>
      </c>
      <c r="E1183" s="137">
        <v>11.67</v>
      </c>
      <c r="F1183" s="137">
        <v>4.75</v>
      </c>
    </row>
    <row r="1184" spans="2:6" ht="15" customHeight="1">
      <c r="B1184" s="137">
        <v>1930</v>
      </c>
      <c r="C1184" s="137">
        <v>-31.23</v>
      </c>
      <c r="D1184" s="137">
        <v>-5.17</v>
      </c>
      <c r="E1184" s="137">
        <v>-11.54</v>
      </c>
      <c r="F1184" s="137">
        <v>2.41</v>
      </c>
    </row>
    <row r="1185" spans="2:6" ht="15" customHeight="1">
      <c r="B1185" s="137">
        <v>1931</v>
      </c>
      <c r="C1185" s="137">
        <v>-45.11</v>
      </c>
      <c r="D1185" s="137">
        <v>3.7</v>
      </c>
      <c r="E1185" s="137">
        <v>-13.95</v>
      </c>
      <c r="F1185" s="137">
        <v>1.07</v>
      </c>
    </row>
    <row r="1186" spans="2:6" ht="15" customHeight="1">
      <c r="B1186" s="137">
        <v>1932</v>
      </c>
      <c r="C1186" s="137">
        <v>-9.39</v>
      </c>
      <c r="D1186" s="137">
        <v>4.4000000000000004</v>
      </c>
      <c r="E1186" s="137">
        <v>11.11</v>
      </c>
      <c r="F1186" s="137">
        <v>0.96</v>
      </c>
    </row>
    <row r="1187" spans="2:6" ht="15" customHeight="1">
      <c r="B1187" s="137">
        <v>1933</v>
      </c>
      <c r="C1187" s="137">
        <v>57.05</v>
      </c>
      <c r="D1187" s="137">
        <v>45.45</v>
      </c>
      <c r="E1187" s="137">
        <v>32.39</v>
      </c>
      <c r="F1187" s="137">
        <v>0.3</v>
      </c>
    </row>
    <row r="1188" spans="2:6" ht="15" customHeight="1">
      <c r="B1188" s="137">
        <v>1934</v>
      </c>
      <c r="C1188" s="137">
        <v>3.02</v>
      </c>
      <c r="D1188" s="137">
        <v>25.15</v>
      </c>
      <c r="E1188" s="137">
        <v>-27.67</v>
      </c>
      <c r="F1188" s="137">
        <v>0.16</v>
      </c>
    </row>
    <row r="1189" spans="2:6" ht="15" customHeight="1">
      <c r="B1189" s="137">
        <v>1935</v>
      </c>
      <c r="C1189" s="137">
        <v>44.96</v>
      </c>
      <c r="D1189" s="137">
        <v>10.6</v>
      </c>
      <c r="E1189" s="137">
        <v>10.23</v>
      </c>
      <c r="F1189" s="137">
        <v>0.17</v>
      </c>
    </row>
    <row r="1190" spans="2:6" ht="15" customHeight="1">
      <c r="B1190" s="137">
        <v>1936</v>
      </c>
      <c r="C1190" s="137">
        <v>32.07</v>
      </c>
      <c r="D1190" s="137">
        <v>17.600000000000001</v>
      </c>
      <c r="E1190" s="137">
        <v>34.549999999999997</v>
      </c>
      <c r="F1190" s="137">
        <v>0.18</v>
      </c>
    </row>
    <row r="1191" spans="2:6" ht="15" customHeight="1">
      <c r="B1191" s="137">
        <v>1937</v>
      </c>
      <c r="C1191" s="137">
        <v>-34.96</v>
      </c>
      <c r="D1191" s="137">
        <v>-14.14</v>
      </c>
      <c r="E1191" s="137">
        <v>-4.09</v>
      </c>
      <c r="F1191" s="137">
        <v>0.31</v>
      </c>
    </row>
    <row r="1192" spans="2:6" ht="15" customHeight="1">
      <c r="B1192" s="137">
        <v>1938</v>
      </c>
      <c r="C1192" s="137">
        <v>28.48</v>
      </c>
      <c r="D1192" s="137">
        <v>9.2799999999999994</v>
      </c>
      <c r="E1192" s="137">
        <v>-12.02</v>
      </c>
      <c r="F1192" s="137">
        <v>-0.02</v>
      </c>
    </row>
    <row r="1193" spans="2:6" ht="15" customHeight="1">
      <c r="B1193" s="137">
        <v>1939</v>
      </c>
      <c r="C1193" s="137">
        <v>2.7</v>
      </c>
      <c r="D1193" s="137">
        <v>5.86</v>
      </c>
      <c r="E1193" s="137">
        <v>-19.23</v>
      </c>
      <c r="F1193" s="137">
        <v>0.02</v>
      </c>
    </row>
    <row r="1194" spans="2:6" ht="15" customHeight="1">
      <c r="B1194" s="137">
        <v>1940</v>
      </c>
      <c r="C1194" s="137">
        <v>-7.14</v>
      </c>
      <c r="D1194" s="137">
        <v>0.76</v>
      </c>
      <c r="E1194" s="137">
        <v>-0.85</v>
      </c>
      <c r="F1194" s="137">
        <v>0</v>
      </c>
    </row>
    <row r="1195" spans="2:6" ht="15" customHeight="1">
      <c r="B1195" s="137">
        <v>1941</v>
      </c>
      <c r="C1195" s="137">
        <v>-10.53</v>
      </c>
      <c r="D1195" s="137">
        <v>-4.04</v>
      </c>
      <c r="E1195" s="137">
        <v>11.13</v>
      </c>
      <c r="F1195" s="137">
        <v>0.06</v>
      </c>
    </row>
    <row r="1196" spans="2:6" ht="15" customHeight="1">
      <c r="B1196" s="137">
        <v>1942</v>
      </c>
      <c r="C1196" s="137">
        <v>16.2</v>
      </c>
      <c r="D1196" s="137">
        <v>4.96</v>
      </c>
      <c r="E1196" s="137">
        <v>19.82</v>
      </c>
      <c r="F1196" s="137">
        <v>0.27</v>
      </c>
    </row>
    <row r="1197" spans="2:6" ht="15" customHeight="1">
      <c r="B1197" s="137">
        <v>1943</v>
      </c>
      <c r="C1197" s="137">
        <v>27.96</v>
      </c>
      <c r="D1197" s="137">
        <v>33.18</v>
      </c>
      <c r="E1197" s="137">
        <v>38.71</v>
      </c>
      <c r="F1197" s="137">
        <v>0.35</v>
      </c>
    </row>
    <row r="1198" spans="2:6" ht="15" customHeight="1">
      <c r="B1198" s="137">
        <v>1944</v>
      </c>
      <c r="C1198" s="137">
        <v>20.97</v>
      </c>
      <c r="D1198" s="137">
        <v>17.899999999999999</v>
      </c>
      <c r="E1198" s="137">
        <v>15.92</v>
      </c>
      <c r="F1198" s="137">
        <v>0.33</v>
      </c>
    </row>
    <row r="1199" spans="2:6" ht="15" customHeight="1">
      <c r="B1199" s="137">
        <v>1945</v>
      </c>
      <c r="C1199" s="137">
        <v>38.380000000000003</v>
      </c>
      <c r="D1199" s="137">
        <v>25.38</v>
      </c>
      <c r="E1199" s="137">
        <v>10.8</v>
      </c>
      <c r="F1199" s="137">
        <v>0.33</v>
      </c>
    </row>
    <row r="1200" spans="2:6" ht="15" customHeight="1">
      <c r="B1200" s="137">
        <v>1946</v>
      </c>
      <c r="C1200" s="137">
        <v>-6.73</v>
      </c>
      <c r="D1200" s="137">
        <v>-3.99</v>
      </c>
      <c r="E1200" s="137">
        <v>3.11</v>
      </c>
      <c r="F1200" s="137">
        <v>0.35</v>
      </c>
    </row>
    <row r="1201" spans="2:6" ht="15" customHeight="1">
      <c r="B1201" s="137">
        <v>1947</v>
      </c>
      <c r="C1201" s="137">
        <v>2.95</v>
      </c>
      <c r="D1201" s="137">
        <v>-6.99</v>
      </c>
      <c r="E1201" s="137">
        <v>9.8699999999999992</v>
      </c>
      <c r="F1201" s="137">
        <v>0.5</v>
      </c>
    </row>
    <row r="1202" spans="2:6" ht="15" customHeight="1">
      <c r="B1202" s="137">
        <v>1948</v>
      </c>
      <c r="C1202" s="137">
        <v>1.07</v>
      </c>
      <c r="D1202" s="137">
        <v>-9.11</v>
      </c>
      <c r="E1202" s="137">
        <v>3.74</v>
      </c>
      <c r="F1202" s="137">
        <v>0.81</v>
      </c>
    </row>
    <row r="1203" spans="2:6" ht="15" customHeight="1">
      <c r="B1203" s="137">
        <v>1949</v>
      </c>
      <c r="C1203" s="137">
        <v>19.12</v>
      </c>
      <c r="D1203" s="137">
        <v>3.75</v>
      </c>
      <c r="E1203" s="137">
        <v>-4.25</v>
      </c>
      <c r="F1203" s="137">
        <v>1.1000000000000001</v>
      </c>
    </row>
    <row r="1204" spans="2:6" ht="15" customHeight="1">
      <c r="B1204" s="137">
        <v>1950</v>
      </c>
      <c r="C1204" s="137">
        <v>28.82</v>
      </c>
      <c r="D1204" s="137">
        <v>1.08</v>
      </c>
      <c r="E1204" s="137">
        <v>27.02</v>
      </c>
      <c r="F1204" s="137">
        <v>1.2</v>
      </c>
    </row>
    <row r="1205" spans="2:6" ht="15" customHeight="1">
      <c r="B1205" s="137">
        <v>1951</v>
      </c>
      <c r="C1205" s="137">
        <v>19.22</v>
      </c>
      <c r="D1205" s="137">
        <v>-5.22</v>
      </c>
      <c r="E1205" s="137">
        <v>-5.67</v>
      </c>
      <c r="F1205" s="137">
        <v>1.49</v>
      </c>
    </row>
    <row r="1206" spans="2:6" ht="15" customHeight="1">
      <c r="B1206" s="137">
        <v>1952</v>
      </c>
      <c r="C1206" s="137">
        <v>11.8</v>
      </c>
      <c r="D1206" s="137">
        <v>-6.76</v>
      </c>
      <c r="E1206" s="137">
        <v>3.31</v>
      </c>
      <c r="F1206" s="137">
        <v>1.66</v>
      </c>
    </row>
    <row r="1207" spans="2:6" ht="15" customHeight="1">
      <c r="B1207" s="137">
        <v>1953</v>
      </c>
      <c r="C1207" s="137">
        <v>-1.05</v>
      </c>
      <c r="D1207" s="137">
        <v>-1.1499999999999999</v>
      </c>
      <c r="E1207" s="137">
        <v>-7.75</v>
      </c>
      <c r="F1207" s="137">
        <v>1.82</v>
      </c>
    </row>
    <row r="1208" spans="2:6" ht="15" customHeight="1">
      <c r="B1208" s="137">
        <v>1954</v>
      </c>
      <c r="C1208" s="137">
        <v>49.35</v>
      </c>
      <c r="D1208" s="137">
        <v>-2.14</v>
      </c>
      <c r="E1208" s="137">
        <v>26.05</v>
      </c>
      <c r="F1208" s="137">
        <v>0.86</v>
      </c>
    </row>
    <row r="1209" spans="2:6" ht="15" customHeight="1">
      <c r="B1209" s="137">
        <v>1955</v>
      </c>
      <c r="C1209" s="137">
        <v>23.75</v>
      </c>
      <c r="D1209" s="137">
        <v>-5.88</v>
      </c>
      <c r="E1209" s="137">
        <v>4.82</v>
      </c>
      <c r="F1209" s="137">
        <v>1.57</v>
      </c>
    </row>
    <row r="1210" spans="2:6" ht="15" customHeight="1">
      <c r="B1210" s="137">
        <v>1956</v>
      </c>
      <c r="C1210" s="137">
        <v>5.9</v>
      </c>
      <c r="D1210" s="137">
        <v>-0.95</v>
      </c>
      <c r="E1210" s="137">
        <v>-1.99</v>
      </c>
      <c r="F1210" s="137">
        <v>2.46</v>
      </c>
    </row>
    <row r="1211" spans="2:6" ht="15" customHeight="1">
      <c r="B1211" s="137">
        <v>1957</v>
      </c>
      <c r="C1211" s="137">
        <v>-13.16</v>
      </c>
      <c r="D1211" s="137">
        <v>-2.77</v>
      </c>
      <c r="E1211" s="137">
        <v>-6.11</v>
      </c>
      <c r="F1211" s="137">
        <v>3.14</v>
      </c>
    </row>
    <row r="1212" spans="2:6" ht="15" customHeight="1">
      <c r="B1212" s="137">
        <v>1958</v>
      </c>
      <c r="C1212" s="137">
        <v>43.45</v>
      </c>
      <c r="D1212" s="137">
        <v>14.5</v>
      </c>
      <c r="E1212" s="137">
        <v>13.48</v>
      </c>
      <c r="F1212" s="137">
        <v>1.54</v>
      </c>
    </row>
    <row r="1213" spans="2:6" ht="15" customHeight="1">
      <c r="B1213" s="137">
        <v>1959</v>
      </c>
      <c r="C1213" s="137">
        <v>9.76</v>
      </c>
      <c r="D1213" s="137">
        <v>5.44</v>
      </c>
      <c r="E1213" s="137">
        <v>1.7</v>
      </c>
      <c r="F1213" s="137">
        <v>2.95</v>
      </c>
    </row>
    <row r="1214" spans="2:6" ht="15" customHeight="1">
      <c r="B1214" s="137">
        <v>1960</v>
      </c>
      <c r="C1214" s="137">
        <v>-1.46</v>
      </c>
      <c r="D1214" s="137">
        <v>-2.78</v>
      </c>
      <c r="E1214" s="137">
        <v>-4.62</v>
      </c>
      <c r="F1214" s="137">
        <v>2.66</v>
      </c>
    </row>
    <row r="1215" spans="2:6" ht="15" customHeight="1">
      <c r="B1215" s="137">
        <v>1961</v>
      </c>
      <c r="C1215" s="137">
        <v>24.81</v>
      </c>
      <c r="D1215" s="137">
        <v>1.28</v>
      </c>
      <c r="E1215" s="137">
        <v>5.42</v>
      </c>
      <c r="F1215" s="137">
        <v>2.13</v>
      </c>
    </row>
    <row r="1216" spans="2:6" ht="15" customHeight="1">
      <c r="B1216" s="137">
        <v>1962</v>
      </c>
      <c r="C1216" s="137">
        <v>-12.9</v>
      </c>
      <c r="D1216" s="137">
        <v>-8.2899999999999991</v>
      </c>
      <c r="E1216" s="137">
        <v>8.92</v>
      </c>
      <c r="F1216" s="137">
        <v>2.73</v>
      </c>
    </row>
    <row r="1217" spans="2:6" ht="15" customHeight="1">
      <c r="B1217" s="137">
        <v>1963</v>
      </c>
      <c r="C1217" s="137">
        <v>17.84</v>
      </c>
      <c r="D1217" s="137">
        <v>-6.18</v>
      </c>
      <c r="E1217" s="137">
        <v>15.69</v>
      </c>
      <c r="F1217" s="137">
        <v>3.12</v>
      </c>
    </row>
    <row r="1218" spans="2:6" ht="15" customHeight="1">
      <c r="B1218" s="137">
        <v>1964</v>
      </c>
      <c r="C1218" s="137">
        <v>12.54</v>
      </c>
      <c r="D1218" s="137">
        <v>-0.82</v>
      </c>
      <c r="E1218" s="137">
        <v>9.7200000000000006</v>
      </c>
      <c r="F1218" s="137">
        <v>3.54</v>
      </c>
    </row>
    <row r="1219" spans="2:6" ht="15" customHeight="1">
      <c r="B1219" s="137">
        <v>1965</v>
      </c>
      <c r="C1219" s="137">
        <v>10.52</v>
      </c>
      <c r="D1219" s="137">
        <v>22.08</v>
      </c>
      <c r="E1219" s="137">
        <v>7.11</v>
      </c>
      <c r="F1219" s="137">
        <v>3.93</v>
      </c>
    </row>
    <row r="1220" spans="2:6" ht="15" customHeight="1">
      <c r="B1220" s="137">
        <v>1966</v>
      </c>
      <c r="C1220" s="137">
        <v>-13.51</v>
      </c>
      <c r="D1220" s="137">
        <v>2.83</v>
      </c>
      <c r="E1220" s="137">
        <v>-0.86</v>
      </c>
      <c r="F1220" s="137">
        <v>4.76</v>
      </c>
    </row>
    <row r="1221" spans="2:6" ht="15" customHeight="1">
      <c r="B1221" s="137">
        <v>1967</v>
      </c>
      <c r="C1221" s="137">
        <v>24.49</v>
      </c>
      <c r="D1221" s="137">
        <v>50.49</v>
      </c>
      <c r="E1221" s="137">
        <v>-8.14</v>
      </c>
      <c r="F1221" s="137">
        <v>4.21</v>
      </c>
    </row>
    <row r="1222" spans="2:6" ht="15" customHeight="1">
      <c r="B1222" s="137">
        <v>1968</v>
      </c>
      <c r="C1222" s="137">
        <v>8.7899999999999991</v>
      </c>
      <c r="D1222" s="137">
        <v>24.18</v>
      </c>
      <c r="E1222" s="137">
        <v>18.559999999999999</v>
      </c>
      <c r="F1222" s="137">
        <v>5.21</v>
      </c>
    </row>
    <row r="1223" spans="2:6" ht="15" customHeight="1">
      <c r="B1223" s="137">
        <v>1969</v>
      </c>
      <c r="C1223" s="137">
        <v>-17.54</v>
      </c>
      <c r="D1223" s="137">
        <v>-13.99</v>
      </c>
      <c r="E1223" s="137">
        <v>-10.050000000000001</v>
      </c>
      <c r="F1223" s="137">
        <v>6.58</v>
      </c>
    </row>
    <row r="1224" spans="2:6" ht="15" customHeight="1">
      <c r="B1224" s="137">
        <v>1970</v>
      </c>
      <c r="C1224" s="137">
        <v>-6.49</v>
      </c>
      <c r="D1224" s="137">
        <v>-11.87</v>
      </c>
      <c r="E1224" s="137">
        <v>21.52</v>
      </c>
      <c r="F1224" s="137">
        <v>6.52</v>
      </c>
    </row>
    <row r="1225" spans="2:6" ht="15" customHeight="1">
      <c r="B1225" s="137">
        <v>1971</v>
      </c>
      <c r="C1225" s="137">
        <v>11.78</v>
      </c>
      <c r="D1225" s="137">
        <v>5.98</v>
      </c>
      <c r="E1225" s="137">
        <v>-11.3</v>
      </c>
      <c r="F1225" s="137">
        <v>4.3899999999999997</v>
      </c>
    </row>
    <row r="1226" spans="2:6" ht="15" customHeight="1">
      <c r="B1226" s="137">
        <v>1972</v>
      </c>
      <c r="C1226" s="137">
        <v>13.05</v>
      </c>
      <c r="D1226" s="137">
        <v>-12.16</v>
      </c>
      <c r="E1226" s="137">
        <v>1.8</v>
      </c>
      <c r="F1226" s="137">
        <v>3.84</v>
      </c>
    </row>
    <row r="1227" spans="2:6" ht="15" customHeight="1">
      <c r="B1227" s="137">
        <v>1973</v>
      </c>
      <c r="C1227" s="137">
        <v>-26.18</v>
      </c>
      <c r="D1227" s="137">
        <v>-23.51</v>
      </c>
      <c r="E1227" s="137">
        <v>17.47</v>
      </c>
      <c r="F1227" s="137">
        <v>6.93</v>
      </c>
    </row>
    <row r="1228" spans="2:6" ht="15" customHeight="1">
      <c r="B1228" s="137">
        <v>1974</v>
      </c>
      <c r="C1228" s="137">
        <v>-35.75</v>
      </c>
      <c r="D1228" s="137">
        <v>-0.81</v>
      </c>
      <c r="E1228" s="137">
        <v>9.9600000000000009</v>
      </c>
      <c r="F1228" s="137">
        <v>8</v>
      </c>
    </row>
    <row r="1229" spans="2:6" ht="15" customHeight="1">
      <c r="B1229" s="137">
        <v>1975</v>
      </c>
      <c r="C1229" s="137">
        <v>32.44</v>
      </c>
      <c r="D1229" s="137">
        <v>15.41</v>
      </c>
      <c r="E1229" s="137">
        <v>9.14</v>
      </c>
      <c r="F1229" s="137">
        <v>5.8</v>
      </c>
    </row>
    <row r="1230" spans="2:6" ht="15" customHeight="1">
      <c r="B1230" s="137">
        <v>1976</v>
      </c>
      <c r="C1230" s="137">
        <v>21.91</v>
      </c>
      <c r="D1230" s="137">
        <v>14.67</v>
      </c>
      <c r="E1230" s="137">
        <v>24.38</v>
      </c>
      <c r="F1230" s="137">
        <v>5.08</v>
      </c>
    </row>
    <row r="1231" spans="2:6" ht="15" customHeight="1">
      <c r="B1231" s="137">
        <v>1977</v>
      </c>
      <c r="C1231" s="137">
        <v>-8.26</v>
      </c>
      <c r="D1231" s="137">
        <v>22.62</v>
      </c>
      <c r="E1231" s="137">
        <v>7.46</v>
      </c>
      <c r="F1231" s="137">
        <v>5.12</v>
      </c>
    </row>
    <row r="1232" spans="2:6" ht="15" customHeight="1">
      <c r="B1232" s="137">
        <v>1978</v>
      </c>
      <c r="C1232" s="137">
        <v>1.03</v>
      </c>
      <c r="D1232" s="137">
        <v>14.42</v>
      </c>
      <c r="E1232" s="137">
        <v>0.67</v>
      </c>
      <c r="F1232" s="137">
        <v>7.18</v>
      </c>
    </row>
    <row r="1233" spans="2:6" ht="15" customHeight="1">
      <c r="B1233" s="137">
        <v>1979</v>
      </c>
      <c r="C1233" s="137">
        <v>13.09</v>
      </c>
      <c r="D1233" s="137">
        <v>21.27</v>
      </c>
      <c r="E1233" s="137">
        <v>-2.33</v>
      </c>
      <c r="F1233" s="137">
        <v>10.38</v>
      </c>
    </row>
    <row r="1234" spans="2:6" ht="15" customHeight="1">
      <c r="B1234" s="137">
        <v>1980</v>
      </c>
      <c r="C1234" s="137">
        <v>22.13</v>
      </c>
      <c r="D1234" s="137">
        <v>5.66</v>
      </c>
      <c r="E1234" s="137">
        <v>-24.61</v>
      </c>
      <c r="F1234" s="137">
        <v>11.24</v>
      </c>
    </row>
    <row r="1235" spans="2:6" ht="15" customHeight="1">
      <c r="B1235" s="137">
        <v>1981</v>
      </c>
      <c r="C1235" s="137">
        <v>-18.13</v>
      </c>
      <c r="D1235" s="137">
        <v>7.11</v>
      </c>
      <c r="E1235" s="137">
        <v>25.04</v>
      </c>
      <c r="F1235" s="137">
        <v>14.71</v>
      </c>
    </row>
    <row r="1236" spans="2:6" ht="15" customHeight="1">
      <c r="B1236" s="137">
        <v>1982</v>
      </c>
      <c r="C1236" s="137">
        <v>10.66</v>
      </c>
      <c r="D1236" s="137">
        <v>8.68</v>
      </c>
      <c r="E1236" s="137">
        <v>13.29</v>
      </c>
      <c r="F1236" s="137">
        <v>10.54</v>
      </c>
    </row>
    <row r="1237" spans="2:6" ht="15" customHeight="1">
      <c r="B1237" s="137">
        <v>1983</v>
      </c>
      <c r="C1237" s="137">
        <v>13.75</v>
      </c>
      <c r="D1237" s="137">
        <v>14</v>
      </c>
      <c r="E1237" s="137">
        <v>20.52</v>
      </c>
      <c r="F1237" s="137">
        <v>8.8000000000000007</v>
      </c>
    </row>
    <row r="1238" spans="2:6" ht="15" customHeight="1">
      <c r="B1238" s="137">
        <v>1984</v>
      </c>
      <c r="C1238" s="137">
        <v>-6.05</v>
      </c>
      <c r="D1238" s="137">
        <v>-8.2200000000000006</v>
      </c>
      <c r="E1238" s="137">
        <v>19.13</v>
      </c>
      <c r="F1238" s="137">
        <v>9.85</v>
      </c>
    </row>
    <row r="1239" spans="2:6" ht="15" customHeight="1">
      <c r="B1239" s="137">
        <v>1985</v>
      </c>
      <c r="C1239" s="137">
        <v>24.91</v>
      </c>
      <c r="D1239" s="137">
        <v>0.55000000000000004</v>
      </c>
      <c r="E1239" s="137">
        <v>1.29</v>
      </c>
      <c r="F1239" s="137">
        <v>7.72</v>
      </c>
    </row>
    <row r="1240" spans="2:6" ht="15" customHeight="1">
      <c r="B1240" s="137">
        <v>1986</v>
      </c>
      <c r="C1240" s="137">
        <v>10.119999999999999</v>
      </c>
      <c r="D1240" s="137">
        <v>-9.5500000000000007</v>
      </c>
      <c r="E1240" s="137">
        <v>9.34</v>
      </c>
      <c r="F1240" s="137">
        <v>6.16</v>
      </c>
    </row>
    <row r="1241" spans="2:6" ht="15" customHeight="1">
      <c r="B1241" s="137">
        <v>1987</v>
      </c>
      <c r="C1241" s="137">
        <v>-3.87</v>
      </c>
      <c r="D1241" s="137">
        <v>-10.95</v>
      </c>
      <c r="E1241" s="137">
        <v>-1.7</v>
      </c>
      <c r="F1241" s="137">
        <v>5.47</v>
      </c>
    </row>
    <row r="1242" spans="2:6" ht="15" customHeight="1">
      <c r="B1242" s="137">
        <v>1988</v>
      </c>
      <c r="C1242" s="137">
        <v>11.55</v>
      </c>
      <c r="D1242" s="137">
        <v>5.78</v>
      </c>
      <c r="E1242" s="137">
        <v>14.99</v>
      </c>
      <c r="F1242" s="137">
        <v>6.35</v>
      </c>
    </row>
    <row r="1243" spans="2:6" ht="15" customHeight="1">
      <c r="B1243" s="137">
        <v>1989</v>
      </c>
      <c r="C1243" s="137">
        <v>20.49</v>
      </c>
      <c r="D1243" s="137">
        <v>-12.86</v>
      </c>
      <c r="E1243" s="137">
        <v>-4.03</v>
      </c>
      <c r="F1243" s="137">
        <v>8.3699999999999992</v>
      </c>
    </row>
    <row r="1244" spans="2:6" ht="15" customHeight="1">
      <c r="B1244" s="137">
        <v>1990</v>
      </c>
      <c r="C1244" s="137">
        <v>-13.95</v>
      </c>
      <c r="D1244" s="137">
        <v>-13.99</v>
      </c>
      <c r="E1244" s="137">
        <v>-10.029999999999999</v>
      </c>
      <c r="F1244" s="137">
        <v>7.81</v>
      </c>
    </row>
    <row r="1245" spans="2:6" ht="15" customHeight="1">
      <c r="B1245" s="137">
        <v>1991</v>
      </c>
      <c r="C1245" s="137">
        <v>29.18</v>
      </c>
      <c r="D1245" s="137">
        <v>16.079999999999998</v>
      </c>
      <c r="E1245" s="137">
        <v>-14.72</v>
      </c>
      <c r="F1245" s="137">
        <v>5.6</v>
      </c>
    </row>
    <row r="1246" spans="2:6" ht="15" customHeight="1">
      <c r="B1246" s="137">
        <v>1992</v>
      </c>
      <c r="C1246" s="137">
        <v>6.23</v>
      </c>
      <c r="D1246" s="137">
        <v>7.74</v>
      </c>
      <c r="E1246" s="137">
        <v>24.49</v>
      </c>
      <c r="F1246" s="137">
        <v>3.51</v>
      </c>
    </row>
    <row r="1247" spans="2:6" ht="15" customHeight="1">
      <c r="B1247" s="137">
        <v>1993</v>
      </c>
      <c r="C1247" s="137">
        <v>8.2100000000000009</v>
      </c>
      <c r="D1247" s="137">
        <v>6.37</v>
      </c>
      <c r="E1247" s="137">
        <v>16.96</v>
      </c>
      <c r="F1247" s="137">
        <v>2.9</v>
      </c>
    </row>
    <row r="1248" spans="2:6" ht="15" customHeight="1">
      <c r="B1248" s="137">
        <v>1994</v>
      </c>
      <c r="C1248" s="137">
        <v>-4.0999999999999996</v>
      </c>
      <c r="D1248" s="137">
        <v>-0.46</v>
      </c>
      <c r="E1248" s="137">
        <v>-0.89</v>
      </c>
      <c r="F1248" s="137">
        <v>3.9</v>
      </c>
    </row>
    <row r="1249" spans="2:6" ht="15" customHeight="1">
      <c r="B1249" s="137">
        <v>1995</v>
      </c>
      <c r="C1249" s="137">
        <v>31.22</v>
      </c>
      <c r="D1249" s="137">
        <v>-9.75</v>
      </c>
      <c r="E1249" s="137">
        <v>5.97</v>
      </c>
      <c r="F1249" s="137">
        <v>5.6</v>
      </c>
    </row>
    <row r="1250" spans="2:6" ht="15" customHeight="1">
      <c r="B1250" s="137">
        <v>1996</v>
      </c>
      <c r="C1250" s="137">
        <v>15.96</v>
      </c>
      <c r="D1250" s="137">
        <v>-4.45</v>
      </c>
      <c r="E1250" s="137">
        <v>8.67</v>
      </c>
      <c r="F1250" s="137">
        <v>5.21</v>
      </c>
    </row>
    <row r="1251" spans="2:6" ht="15" customHeight="1">
      <c r="B1251" s="137">
        <v>1997</v>
      </c>
      <c r="C1251" s="137">
        <v>25.96</v>
      </c>
      <c r="D1251" s="137">
        <v>-7.75</v>
      </c>
      <c r="E1251" s="137">
        <v>19</v>
      </c>
      <c r="F1251" s="137">
        <v>5.26</v>
      </c>
    </row>
    <row r="1252" spans="2:6" ht="15" customHeight="1">
      <c r="B1252" s="137">
        <v>1998</v>
      </c>
      <c r="C1252" s="137">
        <v>19.46</v>
      </c>
      <c r="D1252" s="137">
        <v>-25.27</v>
      </c>
      <c r="E1252" s="137">
        <v>-10.43</v>
      </c>
      <c r="F1252" s="137">
        <v>4.8600000000000003</v>
      </c>
    </row>
    <row r="1253" spans="2:6" ht="15" customHeight="1">
      <c r="B1253" s="137">
        <v>1999</v>
      </c>
      <c r="C1253" s="137">
        <v>20.57</v>
      </c>
      <c r="D1253" s="137">
        <v>15.35</v>
      </c>
      <c r="E1253" s="137">
        <v>-31.66</v>
      </c>
      <c r="F1253" s="137">
        <v>4.68</v>
      </c>
    </row>
    <row r="1254" spans="2:6" ht="15" customHeight="1">
      <c r="B1254" s="137">
        <v>2000</v>
      </c>
      <c r="C1254" s="137">
        <v>-17.600000000000001</v>
      </c>
      <c r="D1254" s="137">
        <v>-4.5999999999999996</v>
      </c>
      <c r="E1254" s="137">
        <v>44.98</v>
      </c>
      <c r="F1254" s="137">
        <v>5.89</v>
      </c>
    </row>
    <row r="1255" spans="2:6" ht="15" customHeight="1">
      <c r="B1255" s="137">
        <v>2001</v>
      </c>
      <c r="C1255" s="137">
        <v>-15.21</v>
      </c>
      <c r="D1255" s="137">
        <v>18.16</v>
      </c>
      <c r="E1255" s="137">
        <v>18.52</v>
      </c>
      <c r="F1255" s="137">
        <v>3.83</v>
      </c>
    </row>
    <row r="1256" spans="2:6" ht="15" customHeight="1">
      <c r="B1256" s="137">
        <v>2002</v>
      </c>
      <c r="C1256" s="137">
        <v>-22.76</v>
      </c>
      <c r="D1256" s="137">
        <v>4.38</v>
      </c>
      <c r="E1256" s="137">
        <v>8.1</v>
      </c>
      <c r="F1256" s="137">
        <v>1.65</v>
      </c>
    </row>
    <row r="1257" spans="2:6" ht="15" customHeight="1">
      <c r="B1257" s="137">
        <v>2003</v>
      </c>
      <c r="C1257" s="137">
        <v>30.75</v>
      </c>
      <c r="D1257" s="137">
        <v>26.54</v>
      </c>
      <c r="E1257" s="137">
        <v>4.6100000000000003</v>
      </c>
      <c r="F1257" s="137">
        <v>1.02</v>
      </c>
    </row>
    <row r="1258" spans="2:6" ht="15" customHeight="1">
      <c r="B1258" s="137">
        <v>2004</v>
      </c>
      <c r="C1258" s="137">
        <v>10.72</v>
      </c>
      <c r="D1258" s="137">
        <v>4.46</v>
      </c>
      <c r="E1258" s="137">
        <v>7.61</v>
      </c>
      <c r="F1258" s="137">
        <v>1.2</v>
      </c>
    </row>
    <row r="1259" spans="2:6" ht="15" customHeight="1">
      <c r="B1259" s="137">
        <v>2005</v>
      </c>
      <c r="C1259" s="137">
        <v>3.09</v>
      </c>
      <c r="D1259" s="137">
        <v>-2.36</v>
      </c>
      <c r="E1259" s="137">
        <v>9.41</v>
      </c>
      <c r="F1259" s="137">
        <v>2.98</v>
      </c>
    </row>
    <row r="1260" spans="2:6" ht="15" customHeight="1">
      <c r="B1260" s="137">
        <v>2006</v>
      </c>
      <c r="C1260" s="137">
        <v>10.6</v>
      </c>
      <c r="D1260" s="137">
        <v>0.08</v>
      </c>
      <c r="E1260" s="137">
        <v>11.93</v>
      </c>
      <c r="F1260" s="137">
        <v>4.8</v>
      </c>
    </row>
    <row r="1261" spans="2:6" ht="15" customHeight="1">
      <c r="B1261" s="137">
        <v>2007</v>
      </c>
      <c r="C1261" s="137">
        <v>1.04</v>
      </c>
      <c r="D1261" s="137">
        <v>-7.44</v>
      </c>
      <c r="E1261" s="137">
        <v>-17.18</v>
      </c>
      <c r="F1261" s="137">
        <v>4.66</v>
      </c>
    </row>
    <row r="1262" spans="2:6" ht="15" customHeight="1">
      <c r="B1262" s="137">
        <v>2008</v>
      </c>
      <c r="C1262" s="137">
        <v>-38.340000000000003</v>
      </c>
      <c r="D1262" s="137">
        <v>2.4</v>
      </c>
      <c r="E1262" s="137">
        <v>1.05</v>
      </c>
      <c r="F1262" s="137">
        <v>1.6</v>
      </c>
    </row>
    <row r="1263" spans="2:6" ht="15" customHeight="1">
      <c r="B1263" s="137">
        <v>2009</v>
      </c>
      <c r="C1263" s="137">
        <v>28.26</v>
      </c>
      <c r="D1263" s="137">
        <v>9.18</v>
      </c>
      <c r="E1263" s="137">
        <v>-9.65</v>
      </c>
      <c r="F1263" s="137">
        <v>0.1</v>
      </c>
    </row>
    <row r="1264" spans="2:6" ht="15" customHeight="1">
      <c r="B1264" s="137">
        <v>2010</v>
      </c>
      <c r="C1264" s="137">
        <v>17.37</v>
      </c>
      <c r="D1264" s="137">
        <v>14.15</v>
      </c>
      <c r="E1264" s="137">
        <v>-5.17</v>
      </c>
      <c r="F1264" s="137">
        <v>0.12</v>
      </c>
    </row>
    <row r="1265" spans="2:6" ht="15" customHeight="1">
      <c r="B1265" s="137">
        <v>2011</v>
      </c>
      <c r="C1265" s="137">
        <v>0.44</v>
      </c>
      <c r="D1265" s="137">
        <v>-5.73</v>
      </c>
      <c r="E1265" s="137">
        <v>-8.41</v>
      </c>
      <c r="F1265" s="137">
        <v>0.04</v>
      </c>
    </row>
    <row r="1266" spans="2:6" ht="15" customHeight="1">
      <c r="B1266" s="137">
        <v>2012</v>
      </c>
      <c r="C1266" s="137">
        <v>16.27</v>
      </c>
      <c r="D1266" s="137">
        <v>-1.4</v>
      </c>
      <c r="E1266" s="137">
        <v>9.99</v>
      </c>
      <c r="F1266" s="137">
        <v>0.06</v>
      </c>
    </row>
    <row r="1267" spans="2:6" ht="15" customHeight="1">
      <c r="B1267" s="137">
        <v>2013</v>
      </c>
      <c r="C1267" s="137">
        <v>35.200000000000003</v>
      </c>
      <c r="D1267" s="137">
        <v>7.73</v>
      </c>
      <c r="E1267" s="137">
        <v>2.6</v>
      </c>
      <c r="F1267" s="137">
        <v>0.02</v>
      </c>
    </row>
    <row r="1268" spans="2:6" ht="15" customHeight="1">
      <c r="B1268" s="137">
        <v>2014</v>
      </c>
      <c r="C1268" s="137">
        <v>11.71</v>
      </c>
      <c r="D1268" s="137">
        <v>-7.8</v>
      </c>
      <c r="E1268" s="137">
        <v>-1.45</v>
      </c>
      <c r="F1268" s="137">
        <v>0.02</v>
      </c>
    </row>
    <row r="1269" spans="2:6" ht="15" customHeight="1">
      <c r="B1269" s="137">
        <v>2015</v>
      </c>
      <c r="C1269" s="137">
        <v>0.09</v>
      </c>
      <c r="D1269" s="137">
        <v>-4.01</v>
      </c>
      <c r="E1269" s="137">
        <v>-9.65</v>
      </c>
      <c r="F1269" s="137">
        <v>0.02</v>
      </c>
    </row>
    <row r="1270" spans="2:6" ht="15" customHeight="1">
      <c r="B1270" s="137">
        <v>2016</v>
      </c>
      <c r="C1270" s="137">
        <v>13.3</v>
      </c>
      <c r="D1270" s="137">
        <v>6.75</v>
      </c>
      <c r="E1270" s="137">
        <v>22.71</v>
      </c>
      <c r="F1270" s="137">
        <v>0.2</v>
      </c>
    </row>
    <row r="1271" spans="2:6" ht="15" customHeight="1">
      <c r="B1271" s="137">
        <v>2017</v>
      </c>
      <c r="C1271" s="137">
        <v>21.51</v>
      </c>
      <c r="D1271" s="137">
        <v>-5.09</v>
      </c>
      <c r="E1271" s="137">
        <v>-13.57</v>
      </c>
      <c r="F1271" s="137">
        <v>0.8</v>
      </c>
    </row>
    <row r="1272" spans="2:6" ht="15" customHeight="1">
      <c r="B1272" s="137">
        <v>2018</v>
      </c>
      <c r="C1272" s="137">
        <v>-6.95</v>
      </c>
      <c r="D1272" s="137">
        <v>-3.16</v>
      </c>
      <c r="E1272" s="137">
        <v>-9.67</v>
      </c>
      <c r="F1272" s="137">
        <v>1.83</v>
      </c>
    </row>
    <row r="1273" spans="2:6" ht="15" customHeight="1">
      <c r="B1273" s="137">
        <v>2019</v>
      </c>
      <c r="C1273" s="137">
        <v>28.28</v>
      </c>
      <c r="D1273" s="137">
        <v>-6.14</v>
      </c>
      <c r="E1273" s="137">
        <v>-10.46</v>
      </c>
      <c r="F1273" s="137">
        <v>2.15</v>
      </c>
    </row>
    <row r="1274" spans="2:6" ht="15" customHeight="1">
      <c r="B1274" s="137">
        <v>2020</v>
      </c>
      <c r="C1274" s="137">
        <v>23.66</v>
      </c>
      <c r="D1274" s="137">
        <v>13.18</v>
      </c>
      <c r="E1274" s="137">
        <v>-46.67</v>
      </c>
      <c r="F1274" s="137">
        <v>0.45</v>
      </c>
    </row>
    <row r="1275" spans="2:6" ht="15" customHeight="1">
      <c r="B1275" s="137">
        <v>2021</v>
      </c>
      <c r="C1275" s="137">
        <v>23.56</v>
      </c>
      <c r="D1275" s="137">
        <v>-3.89</v>
      </c>
      <c r="E1275" s="137">
        <v>25.49</v>
      </c>
      <c r="F1275" s="137">
        <v>0.04</v>
      </c>
    </row>
    <row r="1276" spans="2:6" ht="15" customHeight="1">
      <c r="B1276" s="137">
        <v>2022</v>
      </c>
      <c r="C1276" s="137">
        <v>-21.6</v>
      </c>
      <c r="D1276" s="137">
        <v>-6.95</v>
      </c>
      <c r="E1276" s="137">
        <v>25.81</v>
      </c>
      <c r="F1276" s="137">
        <v>1.43</v>
      </c>
    </row>
    <row r="1277" spans="2:6" ht="15" customHeight="1">
      <c r="B1277" s="137">
        <v>2023</v>
      </c>
      <c r="C1277" s="137">
        <v>21.7</v>
      </c>
      <c r="D1277" s="137">
        <v>-3.23</v>
      </c>
      <c r="E1277" s="137">
        <v>-13.58</v>
      </c>
      <c r="F1277" s="137">
        <v>4.95</v>
      </c>
    </row>
    <row r="1278" spans="2:6" ht="15.75" customHeight="1"/>
    <row r="1279" spans="2:6" ht="15" customHeight="1">
      <c r="B1279" s="137" t="s">
        <v>769</v>
      </c>
    </row>
  </sheetData>
  <mergeCells count="1">
    <mergeCell ref="H4:I4"/>
  </mergeCells>
  <pageMargins left="0.7" right="0.7" top="0.75" bottom="0.75" header="0" footer="0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E1000"/>
  <sheetViews>
    <sheetView zoomScale="85" zoomScaleNormal="85" workbookViewId="0"/>
  </sheetViews>
  <sheetFormatPr defaultColWidth="12.5703125" defaultRowHeight="15" customHeight="1"/>
  <cols>
    <col min="1" max="1" width="5.7109375" customWidth="1"/>
    <col min="2" max="2" width="30.7109375" customWidth="1"/>
    <col min="3" max="3" width="4.5703125" customWidth="1"/>
    <col min="4" max="5" width="11.7109375" customWidth="1"/>
    <col min="6" max="6" width="17" customWidth="1"/>
    <col min="7" max="10" width="11.7109375" customWidth="1"/>
    <col min="11" max="11" width="0.85546875" customWidth="1"/>
    <col min="12" max="19" width="11.7109375" customWidth="1"/>
    <col min="20" max="20" width="0.85546875" customWidth="1"/>
    <col min="21" max="28" width="11.7109375" customWidth="1"/>
    <col min="29" max="29" width="0.85546875" customWidth="1"/>
    <col min="30" max="31" width="11.7109375" customWidth="1"/>
  </cols>
  <sheetData>
    <row r="1" spans="1:31" ht="13.5" customHeight="1">
      <c r="A1" s="2"/>
      <c r="B1" s="15" t="s">
        <v>770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ht="13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ht="13.5" customHeight="1">
      <c r="A3" s="15"/>
      <c r="B3" s="15"/>
      <c r="C3" s="15"/>
      <c r="D3" s="1206" t="s">
        <v>771</v>
      </c>
      <c r="E3" s="1207"/>
      <c r="F3" s="1207"/>
      <c r="G3" s="1207"/>
      <c r="H3" s="1207"/>
      <c r="I3" s="1207"/>
      <c r="J3" s="1207"/>
      <c r="K3" s="15"/>
      <c r="L3" s="1206" t="s">
        <v>772</v>
      </c>
      <c r="M3" s="1207"/>
      <c r="N3" s="1207"/>
      <c r="O3" s="1207"/>
      <c r="P3" s="1207"/>
      <c r="Q3" s="1207"/>
      <c r="R3" s="1207"/>
      <c r="S3" s="1207"/>
      <c r="T3" s="15"/>
      <c r="U3" s="1206" t="s">
        <v>773</v>
      </c>
      <c r="V3" s="1207"/>
      <c r="W3" s="1207"/>
      <c r="X3" s="1207"/>
      <c r="Y3" s="1207"/>
      <c r="Z3" s="1207"/>
      <c r="AA3" s="1207"/>
      <c r="AB3" s="1207"/>
      <c r="AC3" s="15"/>
      <c r="AD3" s="1206" t="s">
        <v>774</v>
      </c>
      <c r="AE3" s="1207"/>
    </row>
    <row r="4" spans="1:31" ht="13.5" customHeight="1">
      <c r="A4" s="239"/>
      <c r="B4" s="305"/>
      <c r="C4" s="305"/>
      <c r="D4" s="306" t="s">
        <v>775</v>
      </c>
      <c r="E4" s="306"/>
      <c r="F4" s="306" t="s">
        <v>776</v>
      </c>
      <c r="G4" s="239"/>
      <c r="H4" s="306"/>
      <c r="I4" s="305"/>
      <c r="J4" s="306" t="s">
        <v>777</v>
      </c>
      <c r="K4" s="305"/>
      <c r="L4" s="1206" t="s">
        <v>234</v>
      </c>
      <c r="M4" s="1207"/>
      <c r="N4" s="1206" t="s">
        <v>267</v>
      </c>
      <c r="O4" s="1207"/>
      <c r="P4" s="1206" t="s">
        <v>778</v>
      </c>
      <c r="Q4" s="1207"/>
      <c r="R4" s="1206" t="s">
        <v>779</v>
      </c>
      <c r="S4" s="1207"/>
      <c r="T4" s="305"/>
      <c r="U4" s="1206" t="s">
        <v>780</v>
      </c>
      <c r="V4" s="1207"/>
      <c r="W4" s="1206" t="s">
        <v>781</v>
      </c>
      <c r="X4" s="1207"/>
      <c r="Y4" s="1206" t="s">
        <v>782</v>
      </c>
      <c r="Z4" s="1207"/>
      <c r="AA4" s="1206" t="s">
        <v>783</v>
      </c>
      <c r="AB4" s="1207"/>
      <c r="AC4" s="305"/>
      <c r="AD4" s="1206" t="s">
        <v>649</v>
      </c>
      <c r="AE4" s="1207"/>
    </row>
    <row r="5" spans="1:31" ht="13.5" customHeight="1">
      <c r="A5" s="239"/>
      <c r="B5" s="307" t="s">
        <v>784</v>
      </c>
      <c r="C5" s="306"/>
      <c r="D5" s="304" t="s">
        <v>785</v>
      </c>
      <c r="E5" s="304" t="s">
        <v>786</v>
      </c>
      <c r="F5" s="304" t="s">
        <v>787</v>
      </c>
      <c r="G5" s="304" t="s">
        <v>670</v>
      </c>
      <c r="H5" s="304" t="s">
        <v>788</v>
      </c>
      <c r="I5" s="304" t="s">
        <v>789</v>
      </c>
      <c r="J5" s="304" t="s">
        <v>790</v>
      </c>
      <c r="K5" s="306"/>
      <c r="L5" s="304" t="s">
        <v>791</v>
      </c>
      <c r="M5" s="304" t="s">
        <v>792</v>
      </c>
      <c r="N5" s="304" t="s">
        <v>791</v>
      </c>
      <c r="O5" s="304" t="s">
        <v>792</v>
      </c>
      <c r="P5" s="304" t="s">
        <v>791</v>
      </c>
      <c r="Q5" s="304" t="s">
        <v>792</v>
      </c>
      <c r="R5" s="304" t="s">
        <v>791</v>
      </c>
      <c r="S5" s="304" t="s">
        <v>792</v>
      </c>
      <c r="T5" s="306"/>
      <c r="U5" s="304" t="s">
        <v>791</v>
      </c>
      <c r="V5" s="304" t="s">
        <v>792</v>
      </c>
      <c r="W5" s="304" t="s">
        <v>791</v>
      </c>
      <c r="X5" s="304" t="s">
        <v>792</v>
      </c>
      <c r="Y5" s="304" t="s">
        <v>791</v>
      </c>
      <c r="Z5" s="304" t="s">
        <v>792</v>
      </c>
      <c r="AA5" s="304" t="s">
        <v>791</v>
      </c>
      <c r="AB5" s="304" t="s">
        <v>792</v>
      </c>
      <c r="AC5" s="306"/>
      <c r="AD5" s="304" t="s">
        <v>658</v>
      </c>
      <c r="AE5" s="304" t="s">
        <v>793</v>
      </c>
    </row>
    <row r="6" spans="1:31" ht="13.5" customHeight="1">
      <c r="A6" s="308"/>
      <c r="B6" s="308"/>
      <c r="C6" s="309"/>
      <c r="D6" s="310" t="s">
        <v>794</v>
      </c>
      <c r="E6" s="311" t="s">
        <v>795</v>
      </c>
      <c r="F6" s="310" t="s">
        <v>796</v>
      </c>
      <c r="G6" s="310"/>
      <c r="H6" s="310"/>
      <c r="I6" s="310" t="s">
        <v>796</v>
      </c>
      <c r="J6" s="310" t="s">
        <v>796</v>
      </c>
      <c r="K6" s="309"/>
      <c r="L6" s="310" t="s">
        <v>796</v>
      </c>
      <c r="M6" s="310" t="s">
        <v>796</v>
      </c>
      <c r="N6" s="310" t="s">
        <v>796</v>
      </c>
      <c r="O6" s="310" t="s">
        <v>796</v>
      </c>
      <c r="P6" s="310" t="s">
        <v>796</v>
      </c>
      <c r="Q6" s="310" t="s">
        <v>796</v>
      </c>
      <c r="R6" s="310" t="s">
        <v>796</v>
      </c>
      <c r="S6" s="310" t="s">
        <v>796</v>
      </c>
      <c r="T6" s="312"/>
      <c r="U6" s="310" t="s">
        <v>797</v>
      </c>
      <c r="V6" s="310" t="s">
        <v>797</v>
      </c>
      <c r="W6" s="310" t="s">
        <v>797</v>
      </c>
      <c r="X6" s="310" t="s">
        <v>797</v>
      </c>
      <c r="Y6" s="310" t="s">
        <v>797</v>
      </c>
      <c r="Z6" s="310" t="s">
        <v>797</v>
      </c>
      <c r="AA6" s="310" t="s">
        <v>797</v>
      </c>
      <c r="AB6" s="310" t="s">
        <v>797</v>
      </c>
      <c r="AC6" s="309"/>
      <c r="AD6" s="310" t="s">
        <v>797</v>
      </c>
      <c r="AE6" s="310" t="s">
        <v>798</v>
      </c>
    </row>
    <row r="7" spans="1:31" ht="13.5" customHeight="1">
      <c r="A7" s="308"/>
      <c r="B7" s="308"/>
      <c r="C7" s="309"/>
      <c r="D7" s="310"/>
      <c r="E7" s="310"/>
      <c r="F7" s="310"/>
      <c r="G7" s="310"/>
      <c r="H7" s="310"/>
      <c r="I7" s="310"/>
      <c r="J7" s="310"/>
      <c r="K7" s="309"/>
      <c r="L7" s="310"/>
      <c r="M7" s="310"/>
      <c r="N7" s="310"/>
      <c r="O7" s="310"/>
      <c r="P7" s="310"/>
      <c r="Q7" s="310"/>
      <c r="R7" s="310"/>
      <c r="S7" s="310"/>
      <c r="T7" s="312"/>
      <c r="U7" s="310"/>
      <c r="V7" s="310"/>
      <c r="W7" s="310"/>
      <c r="X7" s="310"/>
      <c r="Y7" s="310"/>
      <c r="Z7" s="310"/>
      <c r="AA7" s="310"/>
      <c r="AB7" s="310"/>
      <c r="AC7" s="309"/>
      <c r="AD7" s="310"/>
      <c r="AE7" s="310"/>
    </row>
    <row r="8" spans="1:31" ht="13.5" customHeight="1">
      <c r="A8" s="2"/>
      <c r="B8" s="313" t="s">
        <v>799</v>
      </c>
      <c r="C8" s="253"/>
      <c r="D8" s="253">
        <v>3074.96</v>
      </c>
      <c r="E8" s="313">
        <v>518.20000000000005</v>
      </c>
      <c r="F8" s="253">
        <f>+D8*E8</f>
        <v>1593444.2720000001</v>
      </c>
      <c r="G8" s="253">
        <v>101229</v>
      </c>
      <c r="H8" s="253">
        <v>42122</v>
      </c>
      <c r="I8" s="253">
        <v>59107</v>
      </c>
      <c r="J8" s="253">
        <f>+F8+I8</f>
        <v>1652551.2720000001</v>
      </c>
      <c r="K8" s="253"/>
      <c r="L8" s="253">
        <v>472903.18890000001</v>
      </c>
      <c r="M8" s="253">
        <v>557294.06279</v>
      </c>
      <c r="N8" s="253">
        <v>72595.857380000001</v>
      </c>
      <c r="O8" s="253">
        <v>90109.997310000006</v>
      </c>
      <c r="P8" s="253">
        <v>24840.682000000001</v>
      </c>
      <c r="Q8" s="253">
        <v>35107.151360000003</v>
      </c>
      <c r="R8" s="253">
        <v>71886.194589999999</v>
      </c>
      <c r="S8" s="253">
        <v>89037.85656</v>
      </c>
      <c r="T8" s="37"/>
      <c r="U8" s="223">
        <f t="shared" ref="U8:X8" si="0">+$J8/L8</f>
        <v>3.4944811343817102</v>
      </c>
      <c r="V8" s="223">
        <f t="shared" si="0"/>
        <v>2.9653128973360618</v>
      </c>
      <c r="W8" s="223">
        <f t="shared" si="0"/>
        <v>22.763713132414555</v>
      </c>
      <c r="X8" s="223">
        <f t="shared" si="0"/>
        <v>18.339266688853929</v>
      </c>
      <c r="Y8" s="223">
        <f t="shared" ref="Y8:AB8" si="1">+$F8/P8</f>
        <v>64.146558939082269</v>
      </c>
      <c r="Z8" s="223">
        <f t="shared" si="1"/>
        <v>45.388025239083369</v>
      </c>
      <c r="AA8" s="223">
        <f t="shared" si="1"/>
        <v>22.166207031658097</v>
      </c>
      <c r="AB8" s="223">
        <f t="shared" si="1"/>
        <v>17.896255969798922</v>
      </c>
      <c r="AC8" s="253"/>
      <c r="AD8" s="314">
        <v>1.0837758554237507</v>
      </c>
      <c r="AE8" s="34">
        <v>0.5201019354374643</v>
      </c>
    </row>
    <row r="9" spans="1:31" ht="13.5" customHeight="1">
      <c r="A9" s="2"/>
      <c r="B9" s="313"/>
      <c r="C9" s="253"/>
      <c r="D9" s="315"/>
      <c r="E9" s="313"/>
      <c r="F9" s="253"/>
      <c r="G9" s="253"/>
      <c r="H9" s="253"/>
      <c r="I9" s="253"/>
      <c r="J9" s="253"/>
      <c r="K9" s="253"/>
      <c r="L9" s="253"/>
      <c r="M9" s="253"/>
      <c r="N9" s="253"/>
      <c r="O9" s="253"/>
      <c r="P9" s="253"/>
      <c r="Q9" s="253"/>
      <c r="R9" s="253"/>
      <c r="S9" s="253"/>
      <c r="T9" s="37"/>
      <c r="U9" s="223"/>
      <c r="V9" s="223"/>
      <c r="W9" s="223"/>
      <c r="X9" s="223"/>
      <c r="Y9" s="223"/>
      <c r="Z9" s="223"/>
      <c r="AA9" s="223"/>
      <c r="AB9" s="223"/>
      <c r="AC9" s="253"/>
      <c r="AD9" s="314"/>
      <c r="AE9" s="34"/>
    </row>
    <row r="10" spans="1:31" ht="13.5" customHeight="1">
      <c r="A10" s="2"/>
      <c r="B10" s="316" t="s">
        <v>800</v>
      </c>
      <c r="C10" s="317"/>
      <c r="D10" s="318"/>
      <c r="E10" s="316"/>
      <c r="F10" s="317"/>
      <c r="G10" s="317"/>
      <c r="H10" s="317"/>
      <c r="I10" s="317"/>
      <c r="J10" s="317"/>
      <c r="K10" s="317"/>
      <c r="L10" s="317"/>
      <c r="M10" s="317"/>
      <c r="N10" s="317"/>
      <c r="O10" s="317"/>
      <c r="P10" s="317"/>
      <c r="Q10" s="317"/>
      <c r="R10" s="317"/>
      <c r="S10" s="317"/>
      <c r="T10" s="319"/>
      <c r="U10" s="320"/>
      <c r="V10" s="320"/>
      <c r="W10" s="320"/>
      <c r="X10" s="320"/>
      <c r="Y10" s="320"/>
      <c r="Z10" s="320"/>
      <c r="AA10" s="320"/>
      <c r="AB10" s="320"/>
      <c r="AC10" s="317"/>
      <c r="AD10" s="321"/>
      <c r="AE10" s="67"/>
    </row>
    <row r="11" spans="1:31" ht="13.5" customHeight="1">
      <c r="A11" s="2"/>
      <c r="B11" s="313" t="s">
        <v>801</v>
      </c>
      <c r="C11" s="253"/>
      <c r="D11" s="253">
        <v>131.74</v>
      </c>
      <c r="E11" s="313">
        <v>2850.306</v>
      </c>
      <c r="F11" s="253">
        <f t="shared" ref="F11:F14" si="2">+D11*E11</f>
        <v>375499.31244000001</v>
      </c>
      <c r="G11" s="253">
        <v>63702</v>
      </c>
      <c r="H11" s="253">
        <v>17741</v>
      </c>
      <c r="I11" s="253">
        <v>45961</v>
      </c>
      <c r="J11" s="253">
        <f t="shared" ref="J11:J14" si="3">+F11+I11</f>
        <v>421460.31244000001</v>
      </c>
      <c r="K11" s="253"/>
      <c r="L11" s="253">
        <v>552181.35774000001</v>
      </c>
      <c r="M11" s="253">
        <v>549416.58513999998</v>
      </c>
      <c r="N11" s="253">
        <v>35135.367689999999</v>
      </c>
      <c r="O11" s="253">
        <v>34222.162709999997</v>
      </c>
      <c r="P11" s="253">
        <v>18621.81494</v>
      </c>
      <c r="Q11" s="253">
        <v>15511.63768</v>
      </c>
      <c r="R11" s="253">
        <v>30037.416669999999</v>
      </c>
      <c r="S11" s="253">
        <v>26304.909090000001</v>
      </c>
      <c r="T11" s="37"/>
      <c r="U11" s="223">
        <f t="shared" ref="U11:X11" si="4">+$J11/L11</f>
        <v>0.76326429085722358</v>
      </c>
      <c r="V11" s="223">
        <f t="shared" si="4"/>
        <v>0.76710518728262511</v>
      </c>
      <c r="W11" s="223">
        <f t="shared" si="4"/>
        <v>11.995329497005757</v>
      </c>
      <c r="X11" s="223">
        <f t="shared" si="4"/>
        <v>12.315420156565553</v>
      </c>
      <c r="Y11" s="223">
        <f t="shared" ref="Y11:AB11" si="5">+$F11/P11</f>
        <v>20.164485236797226</v>
      </c>
      <c r="Z11" s="223">
        <f t="shared" si="5"/>
        <v>24.20758659958592</v>
      </c>
      <c r="AA11" s="223">
        <f t="shared" si="5"/>
        <v>12.501052156560174</v>
      </c>
      <c r="AB11" s="223">
        <f t="shared" si="5"/>
        <v>14.274875885533806</v>
      </c>
      <c r="AC11" s="253"/>
      <c r="AD11" s="314">
        <v>0.72776502039277513</v>
      </c>
      <c r="AE11" s="34">
        <v>0.42121759139870268</v>
      </c>
    </row>
    <row r="12" spans="1:31" ht="13.5" customHeight="1">
      <c r="A12" s="2"/>
      <c r="B12" s="313" t="s">
        <v>802</v>
      </c>
      <c r="C12" s="253"/>
      <c r="D12" s="253">
        <v>289.10000000000002</v>
      </c>
      <c r="E12" s="313">
        <v>1077.2231162919404</v>
      </c>
      <c r="F12" s="253">
        <f t="shared" si="2"/>
        <v>311425.20292000001</v>
      </c>
      <c r="G12" s="253">
        <v>43422</v>
      </c>
      <c r="H12" s="253">
        <v>7895</v>
      </c>
      <c r="I12" s="253">
        <v>35527</v>
      </c>
      <c r="J12" s="253">
        <f t="shared" si="3"/>
        <v>346952.20292000001</v>
      </c>
      <c r="K12" s="253"/>
      <c r="L12" s="253">
        <v>130345.63876</v>
      </c>
      <c r="M12" s="253">
        <v>135501.82561999999</v>
      </c>
      <c r="N12" s="253">
        <v>20628.049360000001</v>
      </c>
      <c r="O12" s="253">
        <v>21809.92035</v>
      </c>
      <c r="P12" s="253">
        <v>12803.230390000001</v>
      </c>
      <c r="Q12" s="253">
        <v>13494.422629999999</v>
      </c>
      <c r="R12" s="253">
        <v>16602.2</v>
      </c>
      <c r="S12" s="253">
        <v>16511.545450000001</v>
      </c>
      <c r="T12" s="37"/>
      <c r="U12" s="223">
        <f t="shared" ref="U12:X12" si="6">+$J12/L12</f>
        <v>2.6617860499255266</v>
      </c>
      <c r="V12" s="223">
        <f t="shared" si="6"/>
        <v>2.560498364745206</v>
      </c>
      <c r="W12" s="223">
        <f t="shared" si="6"/>
        <v>16.819438273828137</v>
      </c>
      <c r="X12" s="223">
        <f t="shared" si="6"/>
        <v>15.907999541135418</v>
      </c>
      <c r="Y12" s="223">
        <f t="shared" ref="Y12:AB12" si="7">+$F12/P12</f>
        <v>24.323955238924665</v>
      </c>
      <c r="Z12" s="223">
        <f t="shared" si="7"/>
        <v>23.078067988448648</v>
      </c>
      <c r="AA12" s="223">
        <f t="shared" si="7"/>
        <v>18.758068383708181</v>
      </c>
      <c r="AB12" s="223">
        <f t="shared" si="7"/>
        <v>18.861057183475214</v>
      </c>
      <c r="AC12" s="253"/>
      <c r="AD12" s="314">
        <v>13.162170354652925</v>
      </c>
      <c r="AE12" s="34">
        <v>0.92938935382376231</v>
      </c>
    </row>
    <row r="13" spans="1:31" ht="13.5" customHeight="1">
      <c r="A13" s="2"/>
      <c r="B13" s="313" t="s">
        <v>803</v>
      </c>
      <c r="C13" s="253"/>
      <c r="D13" s="253">
        <v>179.49</v>
      </c>
      <c r="E13" s="313">
        <v>735.39225539027245</v>
      </c>
      <c r="F13" s="253">
        <f t="shared" si="2"/>
        <v>131995.55592000001</v>
      </c>
      <c r="G13" s="253">
        <v>26211</v>
      </c>
      <c r="H13" s="253">
        <v>4690</v>
      </c>
      <c r="I13" s="253">
        <v>21521</v>
      </c>
      <c r="J13" s="253">
        <f t="shared" si="3"/>
        <v>153516.55592000001</v>
      </c>
      <c r="K13" s="253"/>
      <c r="L13" s="253">
        <v>88607.103929999997</v>
      </c>
      <c r="M13" s="253">
        <v>86709.025899999993</v>
      </c>
      <c r="N13" s="253">
        <v>11134.244769999999</v>
      </c>
      <c r="O13" s="253">
        <v>11558.8452</v>
      </c>
      <c r="P13" s="253">
        <v>6024.8232500000004</v>
      </c>
      <c r="Q13" s="253">
        <v>6736.84627</v>
      </c>
      <c r="R13" s="253">
        <v>9679.0833299999995</v>
      </c>
      <c r="S13" s="253">
        <v>8934.2727300000006</v>
      </c>
      <c r="T13" s="37"/>
      <c r="U13" s="223">
        <f t="shared" ref="U13:X13" si="8">+$J13/L13</f>
        <v>1.7325535889456309</v>
      </c>
      <c r="V13" s="223">
        <f t="shared" si="8"/>
        <v>1.7704795357411578</v>
      </c>
      <c r="W13" s="223">
        <f t="shared" si="8"/>
        <v>13.787783463646635</v>
      </c>
      <c r="X13" s="223">
        <f t="shared" si="8"/>
        <v>13.281305637694674</v>
      </c>
      <c r="Y13" s="223">
        <f t="shared" ref="Y13:AB13" si="9">+$F13/P13</f>
        <v>21.908618799729936</v>
      </c>
      <c r="Z13" s="223">
        <f t="shared" si="9"/>
        <v>19.593078219372817</v>
      </c>
      <c r="AA13" s="223">
        <f t="shared" si="9"/>
        <v>13.637195943017057</v>
      </c>
      <c r="AB13" s="223">
        <f t="shared" si="9"/>
        <v>14.774068344340771</v>
      </c>
      <c r="AC13" s="253"/>
      <c r="AD13" s="314">
        <v>18.240083507306888</v>
      </c>
      <c r="AE13" s="34">
        <v>0.94802517361111116</v>
      </c>
    </row>
    <row r="14" spans="1:31" ht="13.5" customHeight="1">
      <c r="A14" s="2"/>
      <c r="B14" s="322" t="s">
        <v>804</v>
      </c>
      <c r="C14" s="323"/>
      <c r="D14" s="323">
        <v>187.55</v>
      </c>
      <c r="E14" s="322">
        <v>510.50993079978679</v>
      </c>
      <c r="F14" s="323">
        <f t="shared" si="2"/>
        <v>95746.137521500015</v>
      </c>
      <c r="G14" s="323">
        <v>15109</v>
      </c>
      <c r="H14" s="323">
        <v>8511</v>
      </c>
      <c r="I14" s="323">
        <v>6598</v>
      </c>
      <c r="J14" s="323">
        <f t="shared" si="3"/>
        <v>102344.13752150002</v>
      </c>
      <c r="K14" s="323"/>
      <c r="L14" s="323">
        <v>92600.040420000005</v>
      </c>
      <c r="M14" s="323">
        <v>89625.535659999994</v>
      </c>
      <c r="N14" s="323">
        <v>8872.8074300000007</v>
      </c>
      <c r="O14" s="323">
        <v>8462.5085899999995</v>
      </c>
      <c r="P14" s="323">
        <v>4417.3888900000002</v>
      </c>
      <c r="Q14" s="323">
        <v>4389.3666700000003</v>
      </c>
      <c r="R14" s="323">
        <v>7645.15</v>
      </c>
      <c r="S14" s="323">
        <v>6808.4888899999996</v>
      </c>
      <c r="T14" s="324"/>
      <c r="U14" s="325">
        <f t="shared" ref="U14:X14" si="10">+$J14/L14</f>
        <v>1.105227784537721</v>
      </c>
      <c r="V14" s="325">
        <f t="shared" si="10"/>
        <v>1.1419082381805652</v>
      </c>
      <c r="W14" s="325">
        <f t="shared" si="10"/>
        <v>11.534583425699346</v>
      </c>
      <c r="X14" s="325">
        <f t="shared" si="10"/>
        <v>12.093829676278062</v>
      </c>
      <c r="Y14" s="325">
        <f t="shared" ref="Y14:AB14" si="11">+$F14/P14</f>
        <v>21.674826442889888</v>
      </c>
      <c r="Z14" s="325">
        <f t="shared" si="11"/>
        <v>21.813201019613157</v>
      </c>
      <c r="AA14" s="325">
        <f t="shared" si="11"/>
        <v>12.523774879694972</v>
      </c>
      <c r="AB14" s="325">
        <f t="shared" si="11"/>
        <v>14.062758868877294</v>
      </c>
      <c r="AC14" s="323"/>
      <c r="AD14" s="326">
        <v>1.0463296398891966</v>
      </c>
      <c r="AE14" s="327">
        <v>0.51132018003993362</v>
      </c>
    </row>
    <row r="15" spans="1:31" ht="13.5" customHeight="1">
      <c r="A15" s="15"/>
      <c r="B15" s="319" t="s">
        <v>805</v>
      </c>
      <c r="C15" s="319"/>
      <c r="D15" s="319"/>
      <c r="E15" s="319"/>
      <c r="F15" s="319"/>
      <c r="G15" s="319"/>
      <c r="H15" s="319"/>
      <c r="I15" s="319"/>
      <c r="J15" s="319"/>
      <c r="K15" s="319"/>
      <c r="L15" s="319"/>
      <c r="M15" s="319"/>
      <c r="N15" s="319"/>
      <c r="O15" s="319"/>
      <c r="P15" s="319"/>
      <c r="Q15" s="319"/>
      <c r="R15" s="319"/>
      <c r="S15" s="319"/>
      <c r="T15" s="319"/>
      <c r="U15" s="320">
        <f t="shared" ref="U15:AB15" si="12">+AVERAGE(U11:U14)</f>
        <v>1.5657079285665256</v>
      </c>
      <c r="V15" s="320">
        <f t="shared" si="12"/>
        <v>1.5599978314873886</v>
      </c>
      <c r="W15" s="320">
        <f t="shared" si="12"/>
        <v>13.534283665044969</v>
      </c>
      <c r="X15" s="320">
        <f t="shared" si="12"/>
        <v>13.399638752918426</v>
      </c>
      <c r="Y15" s="320">
        <f t="shared" si="12"/>
        <v>22.01797142958543</v>
      </c>
      <c r="Z15" s="320">
        <f t="shared" si="12"/>
        <v>22.172983456755137</v>
      </c>
      <c r="AA15" s="320">
        <f t="shared" si="12"/>
        <v>14.355022840745097</v>
      </c>
      <c r="AB15" s="320">
        <f t="shared" si="12"/>
        <v>15.493190070556771</v>
      </c>
      <c r="AC15" s="319"/>
      <c r="AD15" s="320">
        <f t="shared" ref="AD15:AE15" si="13">+AVERAGE(AD11:AD14)</f>
        <v>8.2940871305604453</v>
      </c>
      <c r="AE15" s="328">
        <f t="shared" si="13"/>
        <v>0.70248807471837749</v>
      </c>
    </row>
    <row r="16" spans="1:31" ht="13.5" customHeight="1">
      <c r="A16" s="15"/>
      <c r="B16" s="319" t="s">
        <v>806</v>
      </c>
      <c r="C16" s="319"/>
      <c r="D16" s="319"/>
      <c r="E16" s="319"/>
      <c r="F16" s="319"/>
      <c r="G16" s="319"/>
      <c r="H16" s="319"/>
      <c r="I16" s="319"/>
      <c r="J16" s="319"/>
      <c r="K16" s="319"/>
      <c r="L16" s="319"/>
      <c r="M16" s="319"/>
      <c r="N16" s="319"/>
      <c r="O16" s="319"/>
      <c r="P16" s="319"/>
      <c r="Q16" s="319"/>
      <c r="R16" s="319"/>
      <c r="S16" s="319"/>
      <c r="T16" s="319"/>
      <c r="U16" s="320">
        <f t="shared" ref="U16:AB16" si="14">+MEDIAN(U11:U14)</f>
        <v>1.418890686741676</v>
      </c>
      <c r="V16" s="320">
        <f t="shared" si="14"/>
        <v>1.4561938869608615</v>
      </c>
      <c r="W16" s="320">
        <f t="shared" si="14"/>
        <v>12.891556480326196</v>
      </c>
      <c r="X16" s="320">
        <f t="shared" si="14"/>
        <v>12.798362897130113</v>
      </c>
      <c r="Y16" s="320">
        <f t="shared" si="14"/>
        <v>21.791722621309912</v>
      </c>
      <c r="Z16" s="320">
        <f t="shared" si="14"/>
        <v>22.445634504030902</v>
      </c>
      <c r="AA16" s="320">
        <f t="shared" si="14"/>
        <v>13.080485411356015</v>
      </c>
      <c r="AB16" s="320">
        <f t="shared" si="14"/>
        <v>14.524472114937289</v>
      </c>
      <c r="AC16" s="319"/>
      <c r="AD16" s="320">
        <f t="shared" ref="AD16:AE16" si="15">+MEDIAN(AD11:AD14)</f>
        <v>7.1042499972710615</v>
      </c>
      <c r="AE16" s="328">
        <f t="shared" si="15"/>
        <v>0.72035476693184797</v>
      </c>
    </row>
    <row r="17" spans="1:31" ht="13.5" customHeight="1">
      <c r="A17" s="15"/>
      <c r="B17" s="319" t="s">
        <v>807</v>
      </c>
      <c r="C17" s="319"/>
      <c r="D17" s="319"/>
      <c r="E17" s="319"/>
      <c r="F17" s="319"/>
      <c r="G17" s="319"/>
      <c r="H17" s="319"/>
      <c r="I17" s="319"/>
      <c r="J17" s="319"/>
      <c r="K17" s="319"/>
      <c r="L17" s="319"/>
      <c r="M17" s="319"/>
      <c r="N17" s="319"/>
      <c r="O17" s="319"/>
      <c r="P17" s="319"/>
      <c r="Q17" s="319"/>
      <c r="R17" s="319"/>
      <c r="S17" s="319"/>
      <c r="T17" s="319"/>
      <c r="U17" s="320">
        <f t="shared" ref="U17:AE17" si="16">+MIN(U11:U14)</f>
        <v>0.76326429085722358</v>
      </c>
      <c r="V17" s="320">
        <f t="shared" si="16"/>
        <v>0.76710518728262511</v>
      </c>
      <c r="W17" s="320">
        <f t="shared" si="16"/>
        <v>11.534583425699346</v>
      </c>
      <c r="X17" s="320">
        <f t="shared" si="16"/>
        <v>12.093829676278062</v>
      </c>
      <c r="Y17" s="320">
        <f t="shared" si="16"/>
        <v>20.164485236797226</v>
      </c>
      <c r="Z17" s="320">
        <f t="shared" si="16"/>
        <v>19.593078219372817</v>
      </c>
      <c r="AA17" s="320">
        <f t="shared" si="16"/>
        <v>12.501052156560174</v>
      </c>
      <c r="AB17" s="320">
        <f t="shared" si="16"/>
        <v>14.062758868877294</v>
      </c>
      <c r="AC17" s="317">
        <f t="shared" si="16"/>
        <v>0</v>
      </c>
      <c r="AD17" s="320">
        <f t="shared" si="16"/>
        <v>0.72776502039277513</v>
      </c>
      <c r="AE17" s="328">
        <f t="shared" si="16"/>
        <v>0.42121759139870268</v>
      </c>
    </row>
    <row r="18" spans="1:31" ht="13.5" customHeight="1">
      <c r="A18" s="2"/>
      <c r="B18" s="319" t="s">
        <v>808</v>
      </c>
      <c r="C18" s="319"/>
      <c r="D18" s="319"/>
      <c r="E18" s="319"/>
      <c r="F18" s="319"/>
      <c r="G18" s="319"/>
      <c r="H18" s="319"/>
      <c r="I18" s="319"/>
      <c r="J18" s="319"/>
      <c r="K18" s="319"/>
      <c r="L18" s="319"/>
      <c r="M18" s="319"/>
      <c r="N18" s="319"/>
      <c r="O18" s="319"/>
      <c r="P18" s="319"/>
      <c r="Q18" s="319"/>
      <c r="R18" s="319"/>
      <c r="S18" s="319"/>
      <c r="T18" s="319"/>
      <c r="U18" s="320">
        <f t="shared" ref="U18:AE18" si="17">+MAX(U11:U14)</f>
        <v>2.6617860499255266</v>
      </c>
      <c r="V18" s="320">
        <f t="shared" si="17"/>
        <v>2.560498364745206</v>
      </c>
      <c r="W18" s="320">
        <f t="shared" si="17"/>
        <v>16.819438273828137</v>
      </c>
      <c r="X18" s="320">
        <f t="shared" si="17"/>
        <v>15.907999541135418</v>
      </c>
      <c r="Y18" s="320">
        <f t="shared" si="17"/>
        <v>24.323955238924665</v>
      </c>
      <c r="Z18" s="320">
        <f t="shared" si="17"/>
        <v>24.20758659958592</v>
      </c>
      <c r="AA18" s="320">
        <f t="shared" si="17"/>
        <v>18.758068383708181</v>
      </c>
      <c r="AB18" s="320">
        <f t="shared" si="17"/>
        <v>18.861057183475214</v>
      </c>
      <c r="AC18" s="317">
        <f t="shared" si="17"/>
        <v>0</v>
      </c>
      <c r="AD18" s="320">
        <f t="shared" si="17"/>
        <v>18.240083507306888</v>
      </c>
      <c r="AE18" s="328">
        <f t="shared" si="17"/>
        <v>0.94802517361111116</v>
      </c>
    </row>
    <row r="19" spans="1:31" ht="13.5" customHeight="1">
      <c r="A19" s="2"/>
      <c r="B19" s="313"/>
      <c r="C19" s="253"/>
      <c r="D19" s="315"/>
      <c r="E19" s="313"/>
      <c r="F19" s="253"/>
      <c r="G19" s="253"/>
      <c r="H19" s="253"/>
      <c r="I19" s="253"/>
      <c r="J19" s="253"/>
      <c r="K19" s="253"/>
      <c r="L19" s="253"/>
      <c r="M19" s="253"/>
      <c r="N19" s="253"/>
      <c r="O19" s="253"/>
      <c r="P19" s="253"/>
      <c r="Q19" s="253"/>
      <c r="R19" s="253"/>
      <c r="S19" s="253"/>
      <c r="T19" s="37"/>
      <c r="U19" s="223"/>
      <c r="V19" s="223"/>
      <c r="W19" s="223"/>
      <c r="X19" s="223"/>
      <c r="Y19" s="223"/>
      <c r="Z19" s="223"/>
      <c r="AA19" s="223"/>
      <c r="AB19" s="223"/>
      <c r="AC19" s="253"/>
      <c r="AD19" s="314"/>
      <c r="AE19" s="34"/>
    </row>
    <row r="20" spans="1:31" ht="13.5" customHeight="1">
      <c r="A20" s="2"/>
      <c r="B20" s="316" t="s">
        <v>809</v>
      </c>
      <c r="C20" s="317"/>
      <c r="D20" s="318"/>
      <c r="E20" s="316"/>
      <c r="F20" s="317"/>
      <c r="G20" s="317"/>
      <c r="H20" s="317"/>
      <c r="I20" s="317"/>
      <c r="J20" s="317"/>
      <c r="K20" s="317"/>
      <c r="L20" s="317"/>
      <c r="M20" s="317"/>
      <c r="N20" s="317"/>
      <c r="O20" s="317"/>
      <c r="P20" s="317"/>
      <c r="Q20" s="317"/>
      <c r="R20" s="317"/>
      <c r="S20" s="317"/>
      <c r="T20" s="319"/>
      <c r="U20" s="320"/>
      <c r="V20" s="320"/>
      <c r="W20" s="320"/>
      <c r="X20" s="320"/>
      <c r="Y20" s="320"/>
      <c r="Z20" s="320"/>
      <c r="AA20" s="320"/>
      <c r="AB20" s="320"/>
      <c r="AC20" s="317"/>
      <c r="AD20" s="321"/>
      <c r="AE20" s="67"/>
    </row>
    <row r="21" spans="1:31" ht="13.5" customHeight="1">
      <c r="A21" s="2"/>
      <c r="B21" s="313" t="s">
        <v>810</v>
      </c>
      <c r="C21" s="253"/>
      <c r="D21" s="253">
        <v>239.79</v>
      </c>
      <c r="E21" s="313">
        <v>2779.6848480195172</v>
      </c>
      <c r="F21" s="253">
        <f t="shared" ref="F21:F23" si="18">+D21*E21</f>
        <v>666540.62970659998</v>
      </c>
      <c r="G21" s="253">
        <v>22676.377759999999</v>
      </c>
      <c r="H21" s="253">
        <v>47810.709739999998</v>
      </c>
      <c r="I21" s="253">
        <v>-25134.331979999999</v>
      </c>
      <c r="J21" s="253">
        <f t="shared" ref="J21:J23" si="19">+F21+I21</f>
        <v>641406.29772659997</v>
      </c>
      <c r="K21" s="253"/>
      <c r="L21" s="253">
        <v>109347.02148</v>
      </c>
      <c r="M21" s="253">
        <v>142802.19070000001</v>
      </c>
      <c r="N21" s="253">
        <v>31910.3796</v>
      </c>
      <c r="O21" s="253">
        <v>39825.065390000003</v>
      </c>
      <c r="P21" s="253">
        <v>26265.21184</v>
      </c>
      <c r="Q21" s="253">
        <v>26230.71586</v>
      </c>
      <c r="R21" s="253">
        <v>40281.82632</v>
      </c>
      <c r="S21" s="253">
        <v>44889.683920000003</v>
      </c>
      <c r="T21" s="37"/>
      <c r="U21" s="223">
        <f t="shared" ref="U21:X21" si="20">+$J21/L21</f>
        <v>5.8657866400495937</v>
      </c>
      <c r="V21" s="223">
        <f t="shared" si="20"/>
        <v>4.4915718350152725</v>
      </c>
      <c r="W21" s="223">
        <f t="shared" si="20"/>
        <v>20.10024029067332</v>
      </c>
      <c r="X21" s="223">
        <f t="shared" si="20"/>
        <v>16.105593084290476</v>
      </c>
      <c r="Y21" s="223">
        <f t="shared" ref="Y21:AB21" si="21">+$F21/P21</f>
        <v>25.37731786695538</v>
      </c>
      <c r="Z21" s="223">
        <f t="shared" si="21"/>
        <v>25.410691544374799</v>
      </c>
      <c r="AA21" s="223">
        <f t="shared" si="21"/>
        <v>16.546931720810814</v>
      </c>
      <c r="AB21" s="223">
        <f t="shared" si="21"/>
        <v>14.848414412863166</v>
      </c>
      <c r="AC21" s="253"/>
      <c r="AD21" s="314">
        <v>0.1378559303512687</v>
      </c>
      <c r="AE21" s="34">
        <v>0.12115411685617444</v>
      </c>
    </row>
    <row r="22" spans="1:31" ht="13.5" customHeight="1">
      <c r="A22" s="2"/>
      <c r="B22" s="313" t="s">
        <v>811</v>
      </c>
      <c r="C22" s="253"/>
      <c r="D22" s="253">
        <v>59.73</v>
      </c>
      <c r="E22" s="313">
        <v>714</v>
      </c>
      <c r="F22" s="253">
        <f t="shared" si="18"/>
        <v>42647.22</v>
      </c>
      <c r="G22" s="253">
        <v>8317</v>
      </c>
      <c r="H22" s="253">
        <v>1428</v>
      </c>
      <c r="I22" s="253">
        <v>6889</v>
      </c>
      <c r="J22" s="253">
        <f t="shared" si="19"/>
        <v>49536.22</v>
      </c>
      <c r="K22" s="253"/>
      <c r="L22" s="253">
        <v>11917.06796</v>
      </c>
      <c r="M22" s="253">
        <v>12740.373869999999</v>
      </c>
      <c r="N22" s="253">
        <v>4203.6440599999996</v>
      </c>
      <c r="O22" s="253">
        <v>4595.6410699999997</v>
      </c>
      <c r="P22" s="253">
        <v>2285.2234600000002</v>
      </c>
      <c r="Q22" s="253">
        <v>2605.4357100000002</v>
      </c>
      <c r="R22" s="253">
        <v>3661.7280000000001</v>
      </c>
      <c r="S22" s="253">
        <v>3978.1798899999999</v>
      </c>
      <c r="T22" s="37"/>
      <c r="U22" s="223">
        <f t="shared" ref="U22:X22" si="22">+$J22/L22</f>
        <v>4.1567456161423113</v>
      </c>
      <c r="V22" s="223">
        <f t="shared" si="22"/>
        <v>3.8881292264620178</v>
      </c>
      <c r="W22" s="223">
        <f t="shared" si="22"/>
        <v>11.784113805296828</v>
      </c>
      <c r="X22" s="223">
        <f t="shared" si="22"/>
        <v>10.778957548135935</v>
      </c>
      <c r="Y22" s="223">
        <f t="shared" ref="Y22:AB22" si="23">+$F22/P22</f>
        <v>18.662166193585286</v>
      </c>
      <c r="Z22" s="223">
        <f t="shared" si="23"/>
        <v>16.368555875823166</v>
      </c>
      <c r="AA22" s="223">
        <f t="shared" si="23"/>
        <v>11.646747109561387</v>
      </c>
      <c r="AB22" s="223">
        <f t="shared" si="23"/>
        <v>10.72028444646328</v>
      </c>
      <c r="AC22" s="253"/>
      <c r="AD22" s="314">
        <v>2.335579893288402</v>
      </c>
      <c r="AE22" s="34">
        <v>0.70020205421788184</v>
      </c>
    </row>
    <row r="23" spans="1:31" ht="13.5" customHeight="1">
      <c r="A23" s="2"/>
      <c r="B23" s="322" t="s">
        <v>812</v>
      </c>
      <c r="C23" s="323"/>
      <c r="D23" s="323">
        <v>215.41</v>
      </c>
      <c r="E23" s="322">
        <v>144.63449480180751</v>
      </c>
      <c r="F23" s="323">
        <f t="shared" si="18"/>
        <v>31155.716525257354</v>
      </c>
      <c r="G23" s="323">
        <v>-206.38200000000006</v>
      </c>
      <c r="H23" s="323">
        <v>1244.0989999999999</v>
      </c>
      <c r="I23" s="323">
        <v>-1450.481</v>
      </c>
      <c r="J23" s="323">
        <f t="shared" si="19"/>
        <v>29705.235525257354</v>
      </c>
      <c r="K23" s="323"/>
      <c r="L23" s="323">
        <v>2165.5370200000002</v>
      </c>
      <c r="M23" s="323">
        <v>2578.8431099999998</v>
      </c>
      <c r="N23" s="323">
        <v>649.72310000000004</v>
      </c>
      <c r="O23" s="323">
        <v>786.47409000000005</v>
      </c>
      <c r="P23" s="323">
        <v>443.44204000000002</v>
      </c>
      <c r="Q23" s="323">
        <v>547.65554999999995</v>
      </c>
      <c r="R23" s="323">
        <v>620.60207000000003</v>
      </c>
      <c r="S23" s="323">
        <v>730.79529000000002</v>
      </c>
      <c r="T23" s="324"/>
      <c r="U23" s="325">
        <f t="shared" ref="U23:X23" si="24">+$J23/L23</f>
        <v>13.71726054595795</v>
      </c>
      <c r="V23" s="325">
        <f t="shared" si="24"/>
        <v>11.518822300615781</v>
      </c>
      <c r="W23" s="325">
        <f t="shared" si="24"/>
        <v>45.719838997962903</v>
      </c>
      <c r="X23" s="325">
        <f t="shared" si="24"/>
        <v>37.770138778834216</v>
      </c>
      <c r="Y23" s="325">
        <f t="shared" ref="Y23:AB23" si="25">+$F23/P23</f>
        <v>70.258824637504716</v>
      </c>
      <c r="Z23" s="325">
        <f t="shared" si="25"/>
        <v>56.889255527963435</v>
      </c>
      <c r="AA23" s="325">
        <f t="shared" si="25"/>
        <v>50.20240510196389</v>
      </c>
      <c r="AB23" s="325">
        <f t="shared" si="25"/>
        <v>42.632618123821452</v>
      </c>
      <c r="AC23" s="323"/>
      <c r="AD23" s="326">
        <v>-0.27798400913763571</v>
      </c>
      <c r="AE23" s="327">
        <v>-0.38501087601344686</v>
      </c>
    </row>
    <row r="24" spans="1:31" ht="13.5" customHeight="1">
      <c r="A24" s="15"/>
      <c r="B24" s="319" t="s">
        <v>813</v>
      </c>
      <c r="C24" s="319"/>
      <c r="D24" s="319"/>
      <c r="E24" s="319"/>
      <c r="F24" s="319"/>
      <c r="G24" s="319"/>
      <c r="H24" s="319"/>
      <c r="I24" s="319"/>
      <c r="J24" s="319"/>
      <c r="K24" s="319"/>
      <c r="L24" s="319"/>
      <c r="M24" s="319"/>
      <c r="N24" s="319"/>
      <c r="O24" s="319"/>
      <c r="P24" s="319"/>
      <c r="Q24" s="319"/>
      <c r="R24" s="319"/>
      <c r="S24" s="319"/>
      <c r="T24" s="319"/>
      <c r="U24" s="320">
        <f t="shared" ref="U24:AB24" si="26">+AVERAGE(U21:U23)</f>
        <v>7.913264267383286</v>
      </c>
      <c r="V24" s="320">
        <f t="shared" si="26"/>
        <v>6.6328411206976909</v>
      </c>
      <c r="W24" s="320">
        <f t="shared" si="26"/>
        <v>25.868064364644351</v>
      </c>
      <c r="X24" s="320">
        <f t="shared" si="26"/>
        <v>21.551563137086873</v>
      </c>
      <c r="Y24" s="320">
        <f t="shared" si="26"/>
        <v>38.099436232681796</v>
      </c>
      <c r="Z24" s="320">
        <f t="shared" si="26"/>
        <v>32.88950098272047</v>
      </c>
      <c r="AA24" s="320">
        <f t="shared" si="26"/>
        <v>26.132027977445365</v>
      </c>
      <c r="AB24" s="320">
        <f t="shared" si="26"/>
        <v>22.733772327715968</v>
      </c>
      <c r="AC24" s="319"/>
      <c r="AD24" s="320">
        <f t="shared" ref="AD24:AE24" si="27">+AVERAGE(AD21:AD23)</f>
        <v>0.73181727150067832</v>
      </c>
      <c r="AE24" s="328">
        <f t="shared" si="27"/>
        <v>0.1454484316868698</v>
      </c>
    </row>
    <row r="25" spans="1:31" ht="13.5" customHeight="1">
      <c r="A25" s="15"/>
      <c r="B25" s="319" t="s">
        <v>814</v>
      </c>
      <c r="C25" s="319"/>
      <c r="D25" s="319"/>
      <c r="E25" s="319"/>
      <c r="F25" s="319"/>
      <c r="G25" s="319"/>
      <c r="H25" s="319"/>
      <c r="I25" s="319"/>
      <c r="J25" s="319"/>
      <c r="K25" s="319"/>
      <c r="L25" s="319"/>
      <c r="M25" s="319"/>
      <c r="N25" s="319"/>
      <c r="O25" s="319"/>
      <c r="P25" s="319"/>
      <c r="Q25" s="319"/>
      <c r="R25" s="319"/>
      <c r="S25" s="319"/>
      <c r="T25" s="319"/>
      <c r="U25" s="320">
        <f t="shared" ref="U25:AB25" si="28">+MEDIAN(U21:U23)</f>
        <v>5.8657866400495937</v>
      </c>
      <c r="V25" s="320">
        <f t="shared" si="28"/>
        <v>4.4915718350152725</v>
      </c>
      <c r="W25" s="320">
        <f t="shared" si="28"/>
        <v>20.10024029067332</v>
      </c>
      <c r="X25" s="320">
        <f t="shared" si="28"/>
        <v>16.105593084290476</v>
      </c>
      <c r="Y25" s="320">
        <f t="shared" si="28"/>
        <v>25.37731786695538</v>
      </c>
      <c r="Z25" s="320">
        <f t="shared" si="28"/>
        <v>25.410691544374799</v>
      </c>
      <c r="AA25" s="320">
        <f t="shared" si="28"/>
        <v>16.546931720810814</v>
      </c>
      <c r="AB25" s="320">
        <f t="shared" si="28"/>
        <v>14.848414412863166</v>
      </c>
      <c r="AC25" s="319"/>
      <c r="AD25" s="320">
        <f t="shared" ref="AD25:AE25" si="29">+MEDIAN(AD21:AD23)</f>
        <v>0.1378559303512687</v>
      </c>
      <c r="AE25" s="328">
        <f t="shared" si="29"/>
        <v>0.12115411685617444</v>
      </c>
    </row>
    <row r="26" spans="1:31" ht="13.5" customHeight="1">
      <c r="A26" s="15"/>
      <c r="B26" s="319" t="s">
        <v>815</v>
      </c>
      <c r="C26" s="319"/>
      <c r="D26" s="319"/>
      <c r="E26" s="319"/>
      <c r="F26" s="319"/>
      <c r="G26" s="319"/>
      <c r="H26" s="319"/>
      <c r="I26" s="319"/>
      <c r="J26" s="319"/>
      <c r="K26" s="319"/>
      <c r="L26" s="319"/>
      <c r="M26" s="319"/>
      <c r="N26" s="319"/>
      <c r="O26" s="319"/>
      <c r="P26" s="319"/>
      <c r="Q26" s="319"/>
      <c r="R26" s="319"/>
      <c r="S26" s="319"/>
      <c r="T26" s="319"/>
      <c r="U26" s="320">
        <f t="shared" ref="U26:AE26" si="30">+MIN(U21:U23)</f>
        <v>4.1567456161423113</v>
      </c>
      <c r="V26" s="320">
        <f t="shared" si="30"/>
        <v>3.8881292264620178</v>
      </c>
      <c r="W26" s="320">
        <f t="shared" si="30"/>
        <v>11.784113805296828</v>
      </c>
      <c r="X26" s="320">
        <f t="shared" si="30"/>
        <v>10.778957548135935</v>
      </c>
      <c r="Y26" s="320">
        <f t="shared" si="30"/>
        <v>18.662166193585286</v>
      </c>
      <c r="Z26" s="320">
        <f t="shared" si="30"/>
        <v>16.368555875823166</v>
      </c>
      <c r="AA26" s="320">
        <f t="shared" si="30"/>
        <v>11.646747109561387</v>
      </c>
      <c r="AB26" s="320">
        <f t="shared" si="30"/>
        <v>10.72028444646328</v>
      </c>
      <c r="AC26" s="317">
        <f t="shared" si="30"/>
        <v>0</v>
      </c>
      <c r="AD26" s="320">
        <f t="shared" si="30"/>
        <v>-0.27798400913763571</v>
      </c>
      <c r="AE26" s="328">
        <f t="shared" si="30"/>
        <v>-0.38501087601344686</v>
      </c>
    </row>
    <row r="27" spans="1:31" ht="13.5" customHeight="1">
      <c r="A27" s="2"/>
      <c r="B27" s="319" t="s">
        <v>816</v>
      </c>
      <c r="C27" s="319"/>
      <c r="D27" s="319"/>
      <c r="E27" s="319"/>
      <c r="F27" s="319"/>
      <c r="G27" s="319"/>
      <c r="H27" s="319"/>
      <c r="I27" s="319"/>
      <c r="J27" s="319"/>
      <c r="K27" s="319"/>
      <c r="L27" s="319"/>
      <c r="M27" s="319"/>
      <c r="N27" s="319"/>
      <c r="O27" s="319"/>
      <c r="P27" s="319"/>
      <c r="Q27" s="319"/>
      <c r="R27" s="319"/>
      <c r="S27" s="319"/>
      <c r="T27" s="319"/>
      <c r="U27" s="320">
        <f t="shared" ref="U27:AE27" si="31">+MAX(U21:U23)</f>
        <v>13.71726054595795</v>
      </c>
      <c r="V27" s="320">
        <f t="shared" si="31"/>
        <v>11.518822300615781</v>
      </c>
      <c r="W27" s="320">
        <f t="shared" si="31"/>
        <v>45.719838997962903</v>
      </c>
      <c r="X27" s="320">
        <f t="shared" si="31"/>
        <v>37.770138778834216</v>
      </c>
      <c r="Y27" s="320">
        <f t="shared" si="31"/>
        <v>70.258824637504716</v>
      </c>
      <c r="Z27" s="320">
        <f t="shared" si="31"/>
        <v>56.889255527963435</v>
      </c>
      <c r="AA27" s="320">
        <f t="shared" si="31"/>
        <v>50.20240510196389</v>
      </c>
      <c r="AB27" s="320">
        <f t="shared" si="31"/>
        <v>42.632618123821452</v>
      </c>
      <c r="AC27" s="317">
        <f t="shared" si="31"/>
        <v>0</v>
      </c>
      <c r="AD27" s="320">
        <f t="shared" si="31"/>
        <v>2.335579893288402</v>
      </c>
      <c r="AE27" s="328">
        <f t="shared" si="31"/>
        <v>0.70020205421788184</v>
      </c>
    </row>
    <row r="28" spans="1:31" ht="13.5" customHeight="1">
      <c r="A28" s="2"/>
      <c r="B28" s="313"/>
      <c r="C28" s="253"/>
      <c r="D28" s="315"/>
      <c r="E28" s="313"/>
      <c r="F28" s="253"/>
      <c r="G28" s="253"/>
      <c r="H28" s="253"/>
      <c r="I28" s="253"/>
      <c r="J28" s="253"/>
      <c r="K28" s="253"/>
      <c r="L28" s="253"/>
      <c r="M28" s="253"/>
      <c r="N28" s="253"/>
      <c r="O28" s="253"/>
      <c r="P28" s="253"/>
      <c r="Q28" s="253"/>
      <c r="R28" s="253"/>
      <c r="S28" s="253"/>
      <c r="T28" s="37"/>
      <c r="U28" s="223"/>
      <c r="V28" s="223"/>
      <c r="W28" s="223"/>
      <c r="X28" s="223"/>
      <c r="Y28" s="223"/>
      <c r="Z28" s="223"/>
      <c r="AA28" s="223"/>
      <c r="AB28" s="223"/>
      <c r="AC28" s="253"/>
      <c r="AD28" s="314"/>
      <c r="AE28" s="34"/>
    </row>
    <row r="29" spans="1:31" ht="13.5" customHeight="1">
      <c r="A29" s="2"/>
      <c r="B29" s="316" t="s">
        <v>817</v>
      </c>
      <c r="C29" s="317"/>
      <c r="D29" s="318"/>
      <c r="E29" s="316"/>
      <c r="F29" s="317"/>
      <c r="G29" s="317"/>
      <c r="H29" s="317"/>
      <c r="I29" s="317"/>
      <c r="J29" s="317"/>
      <c r="K29" s="317"/>
      <c r="L29" s="317"/>
      <c r="M29" s="317"/>
      <c r="N29" s="317"/>
      <c r="O29" s="317"/>
      <c r="P29" s="317"/>
      <c r="Q29" s="317"/>
      <c r="R29" s="317"/>
      <c r="S29" s="317"/>
      <c r="T29" s="319"/>
      <c r="U29" s="320"/>
      <c r="V29" s="320"/>
      <c r="W29" s="320"/>
      <c r="X29" s="320"/>
      <c r="Y29" s="320"/>
      <c r="Z29" s="320"/>
      <c r="AA29" s="320"/>
      <c r="AB29" s="320"/>
      <c r="AC29" s="317"/>
      <c r="AD29" s="321"/>
      <c r="AE29" s="67"/>
    </row>
    <row r="30" spans="1:31" ht="13.5" customHeight="1">
      <c r="A30" s="2"/>
      <c r="B30" s="313" t="s">
        <v>818</v>
      </c>
      <c r="C30" s="253"/>
      <c r="D30" s="253">
        <v>2026.96</v>
      </c>
      <c r="E30" s="313">
        <v>698.46669399999996</v>
      </c>
      <c r="F30" s="253">
        <f t="shared" ref="F30:F32" si="32">+D30*E30</f>
        <v>1415764.0500702399</v>
      </c>
      <c r="G30" s="253">
        <v>27872</v>
      </c>
      <c r="H30" s="253">
        <v>26465</v>
      </c>
      <c r="I30" s="253">
        <v>1407</v>
      </c>
      <c r="J30" s="253">
        <f t="shared" ref="J30:J32" si="33">+F30+I30</f>
        <v>1417171.0500702399</v>
      </c>
      <c r="K30" s="253"/>
      <c r="L30" s="253">
        <v>225492.86996000001</v>
      </c>
      <c r="M30" s="253">
        <v>263226.96321999998</v>
      </c>
      <c r="N30" s="253">
        <v>83040.118489999993</v>
      </c>
      <c r="O30" s="253">
        <v>97894.609710000004</v>
      </c>
      <c r="P30" s="253">
        <v>47115.029139999999</v>
      </c>
      <c r="Q30" s="253">
        <v>54858.74641</v>
      </c>
      <c r="R30" s="253">
        <v>78171.9228</v>
      </c>
      <c r="S30" s="253">
        <v>90193.719710000005</v>
      </c>
      <c r="T30" s="37"/>
      <c r="U30" s="223">
        <f t="shared" ref="U30:X30" si="34">+$J30/L30</f>
        <v>6.2847710010592825</v>
      </c>
      <c r="V30" s="223">
        <f t="shared" si="34"/>
        <v>5.3838369471511776</v>
      </c>
      <c r="W30" s="223">
        <f t="shared" si="34"/>
        <v>17.066101010451966</v>
      </c>
      <c r="X30" s="223">
        <f t="shared" si="34"/>
        <v>14.476497268526062</v>
      </c>
      <c r="Y30" s="223">
        <f t="shared" ref="Y30:AB30" si="35">+$F30/P30</f>
        <v>30.049096348075398</v>
      </c>
      <c r="Z30" s="223">
        <f t="shared" si="35"/>
        <v>25.807444440840623</v>
      </c>
      <c r="AA30" s="223">
        <f t="shared" si="35"/>
        <v>18.110902218593502</v>
      </c>
      <c r="AB30" s="223">
        <f t="shared" si="35"/>
        <v>15.696924959103008</v>
      </c>
      <c r="AC30" s="253"/>
      <c r="AD30" s="314">
        <v>0.12524264864476239</v>
      </c>
      <c r="AE30" s="34">
        <v>0.11130279215385598</v>
      </c>
    </row>
    <row r="31" spans="1:31" ht="13.5" customHeight="1">
      <c r="A31" s="2"/>
      <c r="B31" s="313" t="s">
        <v>819</v>
      </c>
      <c r="C31" s="253"/>
      <c r="D31" s="253">
        <v>290.11</v>
      </c>
      <c r="E31" s="313">
        <v>2955.2570000000001</v>
      </c>
      <c r="F31" s="253">
        <f t="shared" si="32"/>
        <v>857349.60827000008</v>
      </c>
      <c r="G31" s="253">
        <v>11177</v>
      </c>
      <c r="H31" s="253">
        <v>17576</v>
      </c>
      <c r="I31" s="253">
        <v>-6399</v>
      </c>
      <c r="J31" s="253">
        <f t="shared" si="33"/>
        <v>850950.60827000008</v>
      </c>
      <c r="K31" s="253"/>
      <c r="L31" s="253">
        <v>107640.68154000001</v>
      </c>
      <c r="M31" s="253">
        <v>128587.15763</v>
      </c>
      <c r="N31" s="253">
        <v>54305.981529999997</v>
      </c>
      <c r="O31" s="253">
        <v>65211.832920000001</v>
      </c>
      <c r="P31" s="253">
        <v>32703.955620000001</v>
      </c>
      <c r="Q31" s="253">
        <v>39218.975769999997</v>
      </c>
      <c r="R31" s="253">
        <v>51470.586669999997</v>
      </c>
      <c r="S31" s="253">
        <v>59559.92</v>
      </c>
      <c r="T31" s="37"/>
      <c r="U31" s="223">
        <f t="shared" ref="U31:X31" si="36">+$J31/L31</f>
        <v>7.9054739908329275</v>
      </c>
      <c r="V31" s="223">
        <f t="shared" si="36"/>
        <v>6.6176951412095697</v>
      </c>
      <c r="W31" s="223">
        <f t="shared" si="36"/>
        <v>15.669555807584722</v>
      </c>
      <c r="X31" s="223">
        <f t="shared" si="36"/>
        <v>13.049021476116486</v>
      </c>
      <c r="Y31" s="223">
        <f t="shared" ref="Y31:AB31" si="37">+$F31/P31</f>
        <v>26.215471248551065</v>
      </c>
      <c r="Z31" s="223">
        <f t="shared" si="37"/>
        <v>21.860581298653333</v>
      </c>
      <c r="AA31" s="223">
        <f t="shared" si="37"/>
        <v>16.657078610096988</v>
      </c>
      <c r="AB31" s="223">
        <f t="shared" si="37"/>
        <v>14.394740763083632</v>
      </c>
      <c r="AC31" s="253"/>
      <c r="AD31" s="314">
        <v>8.7122924623898979E-2</v>
      </c>
      <c r="AE31" s="34">
        <v>8.0140821843160029E-2</v>
      </c>
    </row>
    <row r="32" spans="1:31" ht="13.5" customHeight="1">
      <c r="A32" s="2"/>
      <c r="B32" s="322" t="s">
        <v>820</v>
      </c>
      <c r="C32" s="323"/>
      <c r="D32" s="323">
        <v>66.23</v>
      </c>
      <c r="E32" s="322">
        <v>885.10652969542036</v>
      </c>
      <c r="F32" s="323">
        <f t="shared" si="32"/>
        <v>58620.605461727697</v>
      </c>
      <c r="G32" s="323">
        <v>2644.4559999999997</v>
      </c>
      <c r="H32" s="323">
        <v>1988.4290000000001</v>
      </c>
      <c r="I32" s="323">
        <v>656.02699999999959</v>
      </c>
      <c r="J32" s="323">
        <f t="shared" si="33"/>
        <v>59276.632461727699</v>
      </c>
      <c r="K32" s="323"/>
      <c r="L32" s="323">
        <v>4810.4875499999998</v>
      </c>
      <c r="M32" s="323">
        <v>5807.9865900000004</v>
      </c>
      <c r="N32" s="323">
        <v>1461.8734199999999</v>
      </c>
      <c r="O32" s="323">
        <v>1874.3901800000001</v>
      </c>
      <c r="P32" s="323">
        <v>193.92546999999999</v>
      </c>
      <c r="Q32" s="323">
        <v>399.27827000000002</v>
      </c>
      <c r="R32" s="323">
        <v>1280.7209</v>
      </c>
      <c r="S32" s="323">
        <v>1788.0740900000001</v>
      </c>
      <c r="T32" s="324"/>
      <c r="U32" s="325">
        <f t="shared" ref="U32:X32" si="38">+$J32/L32</f>
        <v>12.322375194948316</v>
      </c>
      <c r="V32" s="325">
        <f t="shared" si="38"/>
        <v>10.20605532454022</v>
      </c>
      <c r="W32" s="325">
        <f t="shared" si="38"/>
        <v>40.548402926518563</v>
      </c>
      <c r="X32" s="325">
        <f t="shared" si="38"/>
        <v>31.624489444202965</v>
      </c>
      <c r="Y32" s="325">
        <f t="shared" ref="Y32:AB32" si="39">+$F32/P32</f>
        <v>302.28419950060044</v>
      </c>
      <c r="Z32" s="325">
        <f t="shared" si="39"/>
        <v>146.81641818806642</v>
      </c>
      <c r="AA32" s="325">
        <f t="shared" si="39"/>
        <v>45.771569326094152</v>
      </c>
      <c r="AB32" s="325">
        <f t="shared" si="39"/>
        <v>32.784215033129691</v>
      </c>
      <c r="AC32" s="323"/>
      <c r="AD32" s="326">
        <v>0.33179784097578913</v>
      </c>
      <c r="AE32" s="327">
        <v>0.24913528973187524</v>
      </c>
    </row>
    <row r="33" spans="1:31" ht="13.5" customHeight="1">
      <c r="A33" s="15"/>
      <c r="B33" s="319" t="s">
        <v>821</v>
      </c>
      <c r="C33" s="319"/>
      <c r="D33" s="319"/>
      <c r="E33" s="319"/>
      <c r="F33" s="319"/>
      <c r="G33" s="319"/>
      <c r="H33" s="317"/>
      <c r="I33" s="319"/>
      <c r="J33" s="319"/>
      <c r="K33" s="319"/>
      <c r="L33" s="319"/>
      <c r="M33" s="319"/>
      <c r="N33" s="319"/>
      <c r="O33" s="319"/>
      <c r="P33" s="319"/>
      <c r="Q33" s="319"/>
      <c r="R33" s="319"/>
      <c r="S33" s="319"/>
      <c r="T33" s="319"/>
      <c r="U33" s="320">
        <f t="shared" ref="U33:AB33" si="40">+AVERAGE(U30:U32)</f>
        <v>8.8375400622801763</v>
      </c>
      <c r="V33" s="320">
        <f t="shared" si="40"/>
        <v>7.4025291376336559</v>
      </c>
      <c r="W33" s="320">
        <f t="shared" si="40"/>
        <v>24.428019914851749</v>
      </c>
      <c r="X33" s="320">
        <f t="shared" si="40"/>
        <v>19.716669396281837</v>
      </c>
      <c r="Y33" s="320">
        <f t="shared" si="40"/>
        <v>119.51625569907564</v>
      </c>
      <c r="Z33" s="320">
        <f t="shared" si="40"/>
        <v>64.828147975853469</v>
      </c>
      <c r="AA33" s="320">
        <f t="shared" si="40"/>
        <v>26.846516718261551</v>
      </c>
      <c r="AB33" s="320">
        <f t="shared" si="40"/>
        <v>20.958626918438778</v>
      </c>
      <c r="AC33" s="319"/>
      <c r="AD33" s="320">
        <f t="shared" ref="AD33:AE33" si="41">+AVERAGE(AD30:AD32)</f>
        <v>0.18138780474815017</v>
      </c>
      <c r="AE33" s="328">
        <f t="shared" si="41"/>
        <v>0.14685963457629708</v>
      </c>
    </row>
    <row r="34" spans="1:31" ht="13.5" customHeight="1">
      <c r="A34" s="15"/>
      <c r="B34" s="319" t="s">
        <v>822</v>
      </c>
      <c r="C34" s="319"/>
      <c r="D34" s="319"/>
      <c r="E34" s="319"/>
      <c r="F34" s="319"/>
      <c r="G34" s="319"/>
      <c r="H34" s="317"/>
      <c r="I34" s="319"/>
      <c r="J34" s="319"/>
      <c r="K34" s="319"/>
      <c r="L34" s="319"/>
      <c r="M34" s="319"/>
      <c r="N34" s="319"/>
      <c r="O34" s="319"/>
      <c r="P34" s="319"/>
      <c r="Q34" s="319"/>
      <c r="R34" s="319"/>
      <c r="S34" s="319"/>
      <c r="T34" s="319"/>
      <c r="U34" s="320">
        <f t="shared" ref="U34:AB34" si="42">+MEDIAN(U30:U32)</f>
        <v>7.9054739908329275</v>
      </c>
      <c r="V34" s="320">
        <f t="shared" si="42"/>
        <v>6.6176951412095697</v>
      </c>
      <c r="W34" s="320">
        <f t="shared" si="42"/>
        <v>17.066101010451966</v>
      </c>
      <c r="X34" s="320">
        <f t="shared" si="42"/>
        <v>14.476497268526062</v>
      </c>
      <c r="Y34" s="320">
        <f t="shared" si="42"/>
        <v>30.049096348075398</v>
      </c>
      <c r="Z34" s="320">
        <f t="shared" si="42"/>
        <v>25.807444440840623</v>
      </c>
      <c r="AA34" s="320">
        <f t="shared" si="42"/>
        <v>18.110902218593502</v>
      </c>
      <c r="AB34" s="320">
        <f t="shared" si="42"/>
        <v>15.696924959103008</v>
      </c>
      <c r="AC34" s="319"/>
      <c r="AD34" s="320">
        <f t="shared" ref="AD34:AE34" si="43">+MEDIAN(AD30:AD32)</f>
        <v>0.12524264864476239</v>
      </c>
      <c r="AE34" s="328">
        <f t="shared" si="43"/>
        <v>0.11130279215385598</v>
      </c>
    </row>
    <row r="35" spans="1:31" ht="13.5" customHeight="1">
      <c r="A35" s="2"/>
      <c r="B35" s="319" t="s">
        <v>823</v>
      </c>
      <c r="C35" s="319"/>
      <c r="D35" s="319"/>
      <c r="E35" s="319"/>
      <c r="F35" s="319"/>
      <c r="G35" s="319"/>
      <c r="H35" s="319"/>
      <c r="I35" s="319"/>
      <c r="J35" s="319"/>
      <c r="K35" s="319"/>
      <c r="L35" s="319"/>
      <c r="M35" s="319"/>
      <c r="N35" s="319"/>
      <c r="O35" s="319"/>
      <c r="P35" s="319"/>
      <c r="Q35" s="319"/>
      <c r="R35" s="319"/>
      <c r="S35" s="319"/>
      <c r="T35" s="319"/>
      <c r="U35" s="320">
        <f t="shared" ref="U35:AE35" si="44">+MIN(U30:U32)</f>
        <v>6.2847710010592825</v>
      </c>
      <c r="V35" s="320">
        <f t="shared" si="44"/>
        <v>5.3838369471511776</v>
      </c>
      <c r="W35" s="320">
        <f t="shared" si="44"/>
        <v>15.669555807584722</v>
      </c>
      <c r="X35" s="320">
        <f t="shared" si="44"/>
        <v>13.049021476116486</v>
      </c>
      <c r="Y35" s="320">
        <f t="shared" si="44"/>
        <v>26.215471248551065</v>
      </c>
      <c r="Z35" s="320">
        <f t="shared" si="44"/>
        <v>21.860581298653333</v>
      </c>
      <c r="AA35" s="320">
        <f t="shared" si="44"/>
        <v>16.657078610096988</v>
      </c>
      <c r="AB35" s="320">
        <f t="shared" si="44"/>
        <v>14.394740763083632</v>
      </c>
      <c r="AC35" s="317">
        <f t="shared" si="44"/>
        <v>0</v>
      </c>
      <c r="AD35" s="320">
        <f t="shared" si="44"/>
        <v>8.7122924623898979E-2</v>
      </c>
      <c r="AE35" s="328">
        <f t="shared" si="44"/>
        <v>8.0140821843160029E-2</v>
      </c>
    </row>
    <row r="36" spans="1:31" ht="13.5" customHeight="1">
      <c r="A36" s="2"/>
      <c r="B36" s="319" t="s">
        <v>824</v>
      </c>
      <c r="C36" s="319"/>
      <c r="D36" s="319"/>
      <c r="E36" s="319"/>
      <c r="F36" s="319"/>
      <c r="G36" s="319"/>
      <c r="H36" s="319"/>
      <c r="I36" s="319"/>
      <c r="J36" s="319"/>
      <c r="K36" s="319"/>
      <c r="L36" s="319"/>
      <c r="M36" s="319"/>
      <c r="N36" s="319"/>
      <c r="O36" s="319"/>
      <c r="P36" s="319"/>
      <c r="Q36" s="319"/>
      <c r="R36" s="319"/>
      <c r="S36" s="319"/>
      <c r="T36" s="319"/>
      <c r="U36" s="320">
        <f t="shared" ref="U36:AE36" si="45">+MAX(U30:U32)</f>
        <v>12.322375194948316</v>
      </c>
      <c r="V36" s="320">
        <f t="shared" si="45"/>
        <v>10.20605532454022</v>
      </c>
      <c r="W36" s="320">
        <f t="shared" si="45"/>
        <v>40.548402926518563</v>
      </c>
      <c r="X36" s="320">
        <f t="shared" si="45"/>
        <v>31.624489444202965</v>
      </c>
      <c r="Y36" s="320">
        <f t="shared" si="45"/>
        <v>302.28419950060044</v>
      </c>
      <c r="Z36" s="320">
        <f t="shared" si="45"/>
        <v>146.81641818806642</v>
      </c>
      <c r="AA36" s="320">
        <f t="shared" si="45"/>
        <v>45.771569326094152</v>
      </c>
      <c r="AB36" s="320">
        <f t="shared" si="45"/>
        <v>32.784215033129691</v>
      </c>
      <c r="AC36" s="317">
        <f t="shared" si="45"/>
        <v>0</v>
      </c>
      <c r="AD36" s="320">
        <f t="shared" si="45"/>
        <v>0.33179784097578913</v>
      </c>
      <c r="AE36" s="328">
        <f t="shared" si="45"/>
        <v>0.24913528973187524</v>
      </c>
    </row>
    <row r="37" spans="1:31" ht="13.5" customHeight="1">
      <c r="A37" s="2"/>
      <c r="B37" s="313"/>
      <c r="C37" s="253"/>
      <c r="D37" s="315"/>
      <c r="E37" s="313"/>
      <c r="F37" s="253"/>
      <c r="G37" s="253"/>
      <c r="H37" s="253"/>
      <c r="I37" s="253"/>
      <c r="J37" s="253"/>
      <c r="K37" s="253"/>
      <c r="L37" s="253"/>
      <c r="M37" s="253"/>
      <c r="N37" s="253"/>
      <c r="O37" s="253"/>
      <c r="P37" s="253"/>
      <c r="Q37" s="253"/>
      <c r="R37" s="253"/>
      <c r="S37" s="253"/>
      <c r="T37" s="37"/>
      <c r="U37" s="223"/>
      <c r="V37" s="223"/>
      <c r="W37" s="223"/>
      <c r="X37" s="223"/>
      <c r="Y37" s="223"/>
      <c r="Z37" s="223"/>
      <c r="AA37" s="223"/>
      <c r="AB37" s="223"/>
      <c r="AC37" s="253"/>
      <c r="AD37" s="314"/>
      <c r="AE37" s="34"/>
    </row>
    <row r="38" spans="1:31" ht="13.5" customHeight="1">
      <c r="A38" s="2"/>
      <c r="B38" s="316" t="s">
        <v>825</v>
      </c>
      <c r="C38" s="317"/>
      <c r="D38" s="318"/>
      <c r="E38" s="316"/>
      <c r="F38" s="317"/>
      <c r="G38" s="317"/>
      <c r="H38" s="317"/>
      <c r="I38" s="317"/>
      <c r="J38" s="317"/>
      <c r="K38" s="317"/>
      <c r="L38" s="317"/>
      <c r="M38" s="317"/>
      <c r="N38" s="317"/>
      <c r="O38" s="317"/>
      <c r="P38" s="317"/>
      <c r="Q38" s="317"/>
      <c r="R38" s="317"/>
      <c r="S38" s="317"/>
      <c r="T38" s="319"/>
      <c r="U38" s="320"/>
      <c r="V38" s="320"/>
      <c r="W38" s="320"/>
      <c r="X38" s="320"/>
      <c r="Y38" s="320"/>
      <c r="Z38" s="320"/>
      <c r="AA38" s="320"/>
      <c r="AB38" s="320"/>
      <c r="AC38" s="317"/>
      <c r="AD38" s="321"/>
      <c r="AE38" s="67"/>
    </row>
    <row r="39" spans="1:31" ht="13.5" customHeight="1">
      <c r="A39" s="2"/>
      <c r="B39" s="313" t="s">
        <v>826</v>
      </c>
      <c r="C39" s="253"/>
      <c r="D39" s="253">
        <v>212.2</v>
      </c>
      <c r="E39" s="313">
        <v>963.81903864278979</v>
      </c>
      <c r="F39" s="253">
        <f t="shared" ref="F39:F42" si="46">+D39*E39</f>
        <v>204522.4</v>
      </c>
      <c r="G39" s="253">
        <v>6413</v>
      </c>
      <c r="H39" s="253">
        <v>6195</v>
      </c>
      <c r="I39" s="253">
        <v>218</v>
      </c>
      <c r="J39" s="253">
        <f t="shared" ref="J39:J42" si="47">+F39+I39</f>
        <v>204740.4</v>
      </c>
      <c r="K39" s="253"/>
      <c r="L39" s="253">
        <v>21116.503550000001</v>
      </c>
      <c r="M39" s="253">
        <v>25701.604480000002</v>
      </c>
      <c r="N39" s="253">
        <v>6337.2324500000004</v>
      </c>
      <c r="O39" s="253">
        <v>7651.0971499999996</v>
      </c>
      <c r="P39" s="253">
        <v>3853.5125200000002</v>
      </c>
      <c r="Q39" s="253">
        <v>134.87329</v>
      </c>
      <c r="R39" s="253">
        <v>4850.5675700000002</v>
      </c>
      <c r="S39" s="253">
        <v>5465.7944600000001</v>
      </c>
      <c r="T39" s="37"/>
      <c r="U39" s="223">
        <f t="shared" ref="U39:X39" si="48">+$J39/L39</f>
        <v>9.6957528747698376</v>
      </c>
      <c r="V39" s="223">
        <f t="shared" si="48"/>
        <v>7.9660551993678483</v>
      </c>
      <c r="W39" s="223">
        <f t="shared" si="48"/>
        <v>32.307541441059179</v>
      </c>
      <c r="X39" s="223">
        <f t="shared" si="48"/>
        <v>26.759613162146294</v>
      </c>
      <c r="Y39" s="223">
        <f t="shared" ref="Y39:AB39" si="49">+$F39/P39</f>
        <v>53.074279359030079</v>
      </c>
      <c r="Z39" s="223">
        <f t="shared" si="49"/>
        <v>1516.4040263272291</v>
      </c>
      <c r="AA39" s="223">
        <f t="shared" si="49"/>
        <v>42.164632705034144</v>
      </c>
      <c r="AB39" s="223">
        <f t="shared" si="49"/>
        <v>37.418604284655082</v>
      </c>
      <c r="AC39" s="253"/>
      <c r="AD39" s="314">
        <v>0.15455619020075675</v>
      </c>
      <c r="AE39" s="34">
        <v>0.13386632154636163</v>
      </c>
    </row>
    <row r="40" spans="1:31" ht="13.5" customHeight="1">
      <c r="A40" s="2"/>
      <c r="B40" s="313" t="s">
        <v>827</v>
      </c>
      <c r="C40" s="253"/>
      <c r="D40" s="253">
        <v>66.260000000000005</v>
      </c>
      <c r="E40" s="313">
        <v>2917</v>
      </c>
      <c r="F40" s="253">
        <f t="shared" si="46"/>
        <v>193280.42</v>
      </c>
      <c r="G40" s="253">
        <v>69299</v>
      </c>
      <c r="H40" s="253">
        <v>22321</v>
      </c>
      <c r="I40" s="253">
        <v>46978</v>
      </c>
      <c r="J40" s="253">
        <f t="shared" si="47"/>
        <v>240258.42</v>
      </c>
      <c r="K40" s="253"/>
      <c r="L40" s="253">
        <v>40012.432399999998</v>
      </c>
      <c r="M40" s="253">
        <v>41013.555549999997</v>
      </c>
      <c r="N40" s="253">
        <v>20306.649720000001</v>
      </c>
      <c r="O40" s="253">
        <v>20590.603650000001</v>
      </c>
      <c r="P40" s="253">
        <v>10368.871419999999</v>
      </c>
      <c r="Q40" s="253">
        <v>10794.986150000001</v>
      </c>
      <c r="R40" s="253">
        <v>14197.866669999999</v>
      </c>
      <c r="S40" s="253">
        <v>14954.488240000001</v>
      </c>
      <c r="T40" s="37"/>
      <c r="U40" s="223">
        <f t="shared" ref="U40:X40" si="50">+$J40/L40</f>
        <v>6.0045942120729459</v>
      </c>
      <c r="V40" s="223">
        <f t="shared" si="50"/>
        <v>5.8580246647257583</v>
      </c>
      <c r="W40" s="223">
        <f t="shared" si="50"/>
        <v>11.831514470029475</v>
      </c>
      <c r="X40" s="223">
        <f t="shared" si="50"/>
        <v>11.668352423460883</v>
      </c>
      <c r="Y40" s="223">
        <f t="shared" ref="Y40:AB40" si="51">+$F40/P40</f>
        <v>18.640449106851786</v>
      </c>
      <c r="Z40" s="223">
        <f t="shared" si="51"/>
        <v>17.904647334818488</v>
      </c>
      <c r="AA40" s="223">
        <f t="shared" si="51"/>
        <v>13.61334237687978</v>
      </c>
      <c r="AB40" s="223">
        <f t="shared" si="51"/>
        <v>12.924576013441701</v>
      </c>
      <c r="AC40" s="253"/>
      <c r="AD40" s="314">
        <v>7.1909307875894992</v>
      </c>
      <c r="AE40" s="34">
        <v>0.87791375291375295</v>
      </c>
    </row>
    <row r="41" spans="1:31" ht="13.5" customHeight="1">
      <c r="A41" s="2"/>
      <c r="B41" s="313" t="s">
        <v>828</v>
      </c>
      <c r="C41" s="253"/>
      <c r="D41" s="253">
        <v>123.30398</v>
      </c>
      <c r="E41" s="313">
        <v>1196.7125659154813</v>
      </c>
      <c r="F41" s="253">
        <f t="shared" si="46"/>
        <v>147559.42229339117</v>
      </c>
      <c r="G41" s="253">
        <v>18914.984710000001</v>
      </c>
      <c r="H41" s="253">
        <v>6496.6360800000002</v>
      </c>
      <c r="I41" s="253">
        <v>12418.34863</v>
      </c>
      <c r="J41" s="253">
        <f t="shared" si="47"/>
        <v>159977.77092339116</v>
      </c>
      <c r="K41" s="253"/>
      <c r="L41" s="253">
        <v>32812.765039999998</v>
      </c>
      <c r="M41" s="253">
        <v>34043.374669999997</v>
      </c>
      <c r="N41" s="253">
        <v>11490.18958</v>
      </c>
      <c r="O41" s="253">
        <v>11755.686960000001</v>
      </c>
      <c r="P41" s="253">
        <v>4983.72606</v>
      </c>
      <c r="Q41" s="253">
        <v>5375.7334499999997</v>
      </c>
      <c r="R41" s="253">
        <v>6956.5965999999999</v>
      </c>
      <c r="S41" s="253">
        <v>7754.1807600000002</v>
      </c>
      <c r="T41" s="37"/>
      <c r="U41" s="223">
        <f t="shared" ref="U41:X41" si="52">+$J41/L41</f>
        <v>4.8754736374204439</v>
      </c>
      <c r="V41" s="223">
        <f t="shared" si="52"/>
        <v>4.6992336239911072</v>
      </c>
      <c r="W41" s="223">
        <f t="shared" si="52"/>
        <v>13.922987937627322</v>
      </c>
      <c r="X41" s="223">
        <f t="shared" si="52"/>
        <v>13.608542951826879</v>
      </c>
      <c r="Y41" s="223">
        <f t="shared" ref="Y41:AB41" si="53">+$F41/P41</f>
        <v>29.608253045391336</v>
      </c>
      <c r="Z41" s="223">
        <f t="shared" si="53"/>
        <v>27.449170176655834</v>
      </c>
      <c r="AA41" s="223">
        <f t="shared" si="53"/>
        <v>21.211438693080346</v>
      </c>
      <c r="AB41" s="223">
        <f t="shared" si="53"/>
        <v>19.029659851957224</v>
      </c>
      <c r="AC41" s="253"/>
      <c r="AD41" s="314">
        <v>0.51667334941321708</v>
      </c>
      <c r="AE41" s="34">
        <v>0.34066224583764976</v>
      </c>
    </row>
    <row r="42" spans="1:31" ht="13.5" customHeight="1">
      <c r="A42" s="2"/>
      <c r="B42" s="322" t="s">
        <v>829</v>
      </c>
      <c r="C42" s="323"/>
      <c r="D42" s="323">
        <v>145.97999999999999</v>
      </c>
      <c r="E42" s="322">
        <v>439.51199999999994</v>
      </c>
      <c r="F42" s="323">
        <f t="shared" si="46"/>
        <v>64159.961759999984</v>
      </c>
      <c r="G42" s="323">
        <v>5878</v>
      </c>
      <c r="H42" s="323">
        <v>4692</v>
      </c>
      <c r="I42" s="323">
        <v>1186</v>
      </c>
      <c r="J42" s="323">
        <f t="shared" si="47"/>
        <v>65345.961759999984</v>
      </c>
      <c r="K42" s="323"/>
      <c r="L42" s="323">
        <v>11705.82042</v>
      </c>
      <c r="M42" s="323">
        <v>12729.34497</v>
      </c>
      <c r="N42" s="323">
        <v>4617.1655099999998</v>
      </c>
      <c r="O42" s="323">
        <v>4414.49694</v>
      </c>
      <c r="P42" s="323">
        <v>1699.7864500000001</v>
      </c>
      <c r="Q42" s="323">
        <v>1596.44451</v>
      </c>
      <c r="R42" s="323">
        <v>3755.3091800000002</v>
      </c>
      <c r="S42" s="323">
        <v>3921.2601300000001</v>
      </c>
      <c r="T42" s="324"/>
      <c r="U42" s="325">
        <f t="shared" ref="U42:X42" si="54">+$J42/L42</f>
        <v>5.5823478761345955</v>
      </c>
      <c r="V42" s="325">
        <f t="shared" si="54"/>
        <v>5.1334897368250036</v>
      </c>
      <c r="W42" s="325">
        <f t="shared" si="54"/>
        <v>14.152830696337759</v>
      </c>
      <c r="X42" s="325">
        <f t="shared" si="54"/>
        <v>14.802583997260623</v>
      </c>
      <c r="Y42" s="325">
        <f t="shared" ref="Y42:AB42" si="55">+$F42/P42</f>
        <v>37.745895527052816</v>
      </c>
      <c r="Z42" s="325">
        <f t="shared" si="55"/>
        <v>40.189283973296376</v>
      </c>
      <c r="AA42" s="325">
        <f t="shared" si="55"/>
        <v>17.08513432174977</v>
      </c>
      <c r="AB42" s="325">
        <f t="shared" si="55"/>
        <v>16.362077401888659</v>
      </c>
      <c r="AC42" s="323"/>
      <c r="AD42" s="326">
        <v>0.64943100209921556</v>
      </c>
      <c r="AE42" s="327">
        <v>0.39373032353138188</v>
      </c>
    </row>
    <row r="43" spans="1:31" ht="13.5" customHeight="1">
      <c r="A43" s="15"/>
      <c r="B43" s="319" t="s">
        <v>830</v>
      </c>
      <c r="C43" s="319"/>
      <c r="D43" s="319"/>
      <c r="E43" s="319"/>
      <c r="F43" s="319"/>
      <c r="G43" s="319"/>
      <c r="H43" s="319"/>
      <c r="I43" s="319"/>
      <c r="J43" s="319"/>
      <c r="K43" s="319"/>
      <c r="L43" s="319"/>
      <c r="M43" s="319"/>
      <c r="N43" s="319"/>
      <c r="O43" s="319"/>
      <c r="P43" s="319"/>
      <c r="Q43" s="319"/>
      <c r="R43" s="319"/>
      <c r="S43" s="319"/>
      <c r="T43" s="319"/>
      <c r="U43" s="320">
        <f t="shared" ref="U43:AB43" si="56">+AVERAGE(U39:U42)</f>
        <v>6.5395421500994555</v>
      </c>
      <c r="V43" s="320">
        <f t="shared" si="56"/>
        <v>5.9142008062274289</v>
      </c>
      <c r="W43" s="320">
        <f t="shared" si="56"/>
        <v>18.053718636263433</v>
      </c>
      <c r="X43" s="320">
        <f t="shared" si="56"/>
        <v>16.709773133673668</v>
      </c>
      <c r="Y43" s="320">
        <f t="shared" si="56"/>
        <v>34.767219259581502</v>
      </c>
      <c r="Z43" s="320">
        <f t="shared" si="56"/>
        <v>400.48678195299993</v>
      </c>
      <c r="AA43" s="320">
        <f t="shared" si="56"/>
        <v>23.518637024186006</v>
      </c>
      <c r="AB43" s="320">
        <f t="shared" si="56"/>
        <v>21.433729387985665</v>
      </c>
      <c r="AC43" s="319"/>
      <c r="AD43" s="320">
        <f t="shared" ref="AD43:AE43" si="57">+AVERAGE(AD39:AD42)</f>
        <v>2.1278978323256723</v>
      </c>
      <c r="AE43" s="328">
        <f t="shared" si="57"/>
        <v>0.43654316095728657</v>
      </c>
    </row>
    <row r="44" spans="1:31" ht="13.5" customHeight="1">
      <c r="A44" s="15"/>
      <c r="B44" s="319" t="s">
        <v>831</v>
      </c>
      <c r="C44" s="319"/>
      <c r="D44" s="319"/>
      <c r="E44" s="319"/>
      <c r="F44" s="319"/>
      <c r="G44" s="319"/>
      <c r="H44" s="319"/>
      <c r="I44" s="317"/>
      <c r="J44" s="319"/>
      <c r="K44" s="319"/>
      <c r="L44" s="319"/>
      <c r="M44" s="319"/>
      <c r="N44" s="319"/>
      <c r="O44" s="319"/>
      <c r="P44" s="319"/>
      <c r="Q44" s="319"/>
      <c r="R44" s="319"/>
      <c r="S44" s="319"/>
      <c r="T44" s="319"/>
      <c r="U44" s="320">
        <f t="shared" ref="U44:AB44" si="58">+MEDIAN(U39:U42)</f>
        <v>5.7934710441037707</v>
      </c>
      <c r="V44" s="320">
        <f t="shared" si="58"/>
        <v>5.4957572007753814</v>
      </c>
      <c r="W44" s="320">
        <f t="shared" si="58"/>
        <v>14.037909316982541</v>
      </c>
      <c r="X44" s="320">
        <f t="shared" si="58"/>
        <v>14.205563474543752</v>
      </c>
      <c r="Y44" s="320">
        <f t="shared" si="58"/>
        <v>33.67707428622208</v>
      </c>
      <c r="Z44" s="320">
        <f t="shared" si="58"/>
        <v>33.819227074976105</v>
      </c>
      <c r="AA44" s="320">
        <f t="shared" si="58"/>
        <v>19.148286507415058</v>
      </c>
      <c r="AB44" s="320">
        <f t="shared" si="58"/>
        <v>17.695868626922941</v>
      </c>
      <c r="AC44" s="319"/>
      <c r="AD44" s="320">
        <f t="shared" ref="AD44:AE44" si="59">+MEDIAN(AD39:AD42)</f>
        <v>0.58305217575621637</v>
      </c>
      <c r="AE44" s="328">
        <f t="shared" si="59"/>
        <v>0.36719628468451582</v>
      </c>
    </row>
    <row r="45" spans="1:31" ht="13.5" customHeight="1">
      <c r="A45" s="15"/>
      <c r="B45" s="319" t="s">
        <v>832</v>
      </c>
      <c r="C45" s="319"/>
      <c r="D45" s="319"/>
      <c r="E45" s="319"/>
      <c r="F45" s="319"/>
      <c r="G45" s="319"/>
      <c r="H45" s="319"/>
      <c r="I45" s="319"/>
      <c r="J45" s="319"/>
      <c r="K45" s="319"/>
      <c r="L45" s="319"/>
      <c r="M45" s="319"/>
      <c r="N45" s="319"/>
      <c r="O45" s="319"/>
      <c r="P45" s="319"/>
      <c r="Q45" s="319"/>
      <c r="R45" s="319"/>
      <c r="S45" s="319"/>
      <c r="T45" s="319"/>
      <c r="U45" s="320">
        <f t="shared" ref="U45:AE45" si="60">+MIN(U39:U42)</f>
        <v>4.8754736374204439</v>
      </c>
      <c r="V45" s="320">
        <f t="shared" si="60"/>
        <v>4.6992336239911072</v>
      </c>
      <c r="W45" s="320">
        <f t="shared" si="60"/>
        <v>11.831514470029475</v>
      </c>
      <c r="X45" s="320">
        <f t="shared" si="60"/>
        <v>11.668352423460883</v>
      </c>
      <c r="Y45" s="320">
        <f t="shared" si="60"/>
        <v>18.640449106851786</v>
      </c>
      <c r="Z45" s="320">
        <f t="shared" si="60"/>
        <v>17.904647334818488</v>
      </c>
      <c r="AA45" s="320">
        <f t="shared" si="60"/>
        <v>13.61334237687978</v>
      </c>
      <c r="AB45" s="320">
        <f t="shared" si="60"/>
        <v>12.924576013441701</v>
      </c>
      <c r="AC45" s="317">
        <f t="shared" si="60"/>
        <v>0</v>
      </c>
      <c r="AD45" s="320">
        <f t="shared" si="60"/>
        <v>0.15455619020075675</v>
      </c>
      <c r="AE45" s="328">
        <f t="shared" si="60"/>
        <v>0.13386632154636163</v>
      </c>
    </row>
    <row r="46" spans="1:31" ht="13.5" customHeight="1">
      <c r="A46" s="15"/>
      <c r="B46" s="319" t="s">
        <v>833</v>
      </c>
      <c r="C46" s="319"/>
      <c r="D46" s="319"/>
      <c r="E46" s="319"/>
      <c r="F46" s="319"/>
      <c r="G46" s="319"/>
      <c r="H46" s="319"/>
      <c r="I46" s="319"/>
      <c r="J46" s="319"/>
      <c r="K46" s="319"/>
      <c r="L46" s="319"/>
      <c r="M46" s="319"/>
      <c r="N46" s="319"/>
      <c r="O46" s="319"/>
      <c r="P46" s="319"/>
      <c r="Q46" s="319"/>
      <c r="R46" s="319"/>
      <c r="S46" s="319"/>
      <c r="T46" s="319"/>
      <c r="U46" s="320">
        <f t="shared" ref="U46:AE46" si="61">+MAX(U39:U42)</f>
        <v>9.6957528747698376</v>
      </c>
      <c r="V46" s="320">
        <f t="shared" si="61"/>
        <v>7.9660551993678483</v>
      </c>
      <c r="W46" s="320">
        <f t="shared" si="61"/>
        <v>32.307541441059179</v>
      </c>
      <c r="X46" s="320">
        <f t="shared" si="61"/>
        <v>26.759613162146294</v>
      </c>
      <c r="Y46" s="320">
        <f t="shared" si="61"/>
        <v>53.074279359030079</v>
      </c>
      <c r="Z46" s="320">
        <f t="shared" si="61"/>
        <v>1516.4040263272291</v>
      </c>
      <c r="AA46" s="320">
        <f t="shared" si="61"/>
        <v>42.164632705034144</v>
      </c>
      <c r="AB46" s="320">
        <f t="shared" si="61"/>
        <v>37.418604284655082</v>
      </c>
      <c r="AC46" s="317">
        <f t="shared" si="61"/>
        <v>0</v>
      </c>
      <c r="AD46" s="320">
        <f t="shared" si="61"/>
        <v>7.1909307875894992</v>
      </c>
      <c r="AE46" s="328">
        <f t="shared" si="61"/>
        <v>0.87791375291375295</v>
      </c>
    </row>
    <row r="47" spans="1:31" ht="13.5" customHeight="1">
      <c r="A47" s="2"/>
      <c r="B47" s="313"/>
      <c r="C47" s="253"/>
      <c r="D47" s="315"/>
      <c r="E47" s="313"/>
      <c r="F47" s="253"/>
      <c r="G47" s="253"/>
      <c r="H47" s="253"/>
      <c r="I47" s="253"/>
      <c r="J47" s="253"/>
      <c r="K47" s="253"/>
      <c r="L47" s="253"/>
      <c r="M47" s="253"/>
      <c r="N47" s="253"/>
      <c r="O47" s="253"/>
      <c r="P47" s="253"/>
      <c r="Q47" s="253"/>
      <c r="R47" s="253"/>
      <c r="S47" s="253"/>
      <c r="T47" s="37"/>
      <c r="U47" s="223"/>
      <c r="V47" s="223"/>
      <c r="W47" s="223"/>
      <c r="X47" s="223"/>
      <c r="Y47" s="223"/>
      <c r="Z47" s="223"/>
      <c r="AA47" s="223"/>
      <c r="AB47" s="223"/>
      <c r="AC47" s="253"/>
      <c r="AD47" s="314"/>
      <c r="AE47" s="34"/>
    </row>
    <row r="48" spans="1:31" ht="13.5" customHeight="1">
      <c r="A48" s="2"/>
      <c r="B48" s="316" t="s">
        <v>834</v>
      </c>
      <c r="C48" s="317"/>
      <c r="D48" s="318"/>
      <c r="E48" s="316"/>
      <c r="F48" s="317"/>
      <c r="G48" s="317"/>
      <c r="H48" s="317"/>
      <c r="I48" s="317"/>
      <c r="J48" s="317"/>
      <c r="K48" s="317"/>
      <c r="L48" s="317"/>
      <c r="M48" s="317"/>
      <c r="N48" s="317"/>
      <c r="O48" s="317"/>
      <c r="P48" s="317"/>
      <c r="Q48" s="317"/>
      <c r="R48" s="317"/>
      <c r="S48" s="317"/>
      <c r="T48" s="319"/>
      <c r="U48" s="320"/>
      <c r="V48" s="320"/>
      <c r="W48" s="320"/>
      <c r="X48" s="320"/>
      <c r="Y48" s="320"/>
      <c r="Z48" s="320"/>
      <c r="AA48" s="320"/>
      <c r="AB48" s="320"/>
      <c r="AC48" s="317"/>
      <c r="AD48" s="321"/>
      <c r="AE48" s="67"/>
    </row>
    <row r="49" spans="1:31" ht="13.5" customHeight="1">
      <c r="A49" s="2"/>
      <c r="B49" s="313" t="s">
        <v>835</v>
      </c>
      <c r="C49" s="253"/>
      <c r="D49" s="253">
        <v>512.17999999999995</v>
      </c>
      <c r="E49" s="313">
        <v>456.39056490347144</v>
      </c>
      <c r="F49" s="253">
        <f t="shared" ref="F49:F52" si="62">+D49*E49</f>
        <v>233754.11953225997</v>
      </c>
      <c r="G49" s="253">
        <v>18510.826000000001</v>
      </c>
      <c r="H49" s="253">
        <v>8205.5499999999993</v>
      </c>
      <c r="I49" s="253">
        <v>10305.276000000002</v>
      </c>
      <c r="J49" s="253">
        <f t="shared" ref="J49:J52" si="63">+F49+I49</f>
        <v>244059.39553225998</v>
      </c>
      <c r="K49" s="253"/>
      <c r="L49" s="253">
        <v>30009.294730000001</v>
      </c>
      <c r="M49" s="253">
        <v>34701.41001</v>
      </c>
      <c r="N49" s="253">
        <v>6669.4741400000003</v>
      </c>
      <c r="O49" s="253">
        <v>8404.0180299999993</v>
      </c>
      <c r="P49" s="253">
        <v>4513.9276099999997</v>
      </c>
      <c r="Q49" s="253">
        <v>5881.9483899999996</v>
      </c>
      <c r="R49" s="253">
        <v>500.69011999999998</v>
      </c>
      <c r="S49" s="253">
        <v>1538.0186900000001</v>
      </c>
      <c r="T49" s="37"/>
      <c r="U49" s="223">
        <f t="shared" ref="U49:X49" si="64">+$J49/L49</f>
        <v>8.1327934471007808</v>
      </c>
      <c r="V49" s="223">
        <f t="shared" si="64"/>
        <v>7.0331261888761496</v>
      </c>
      <c r="W49" s="223">
        <f t="shared" si="64"/>
        <v>36.593499038930226</v>
      </c>
      <c r="X49" s="223">
        <f t="shared" si="64"/>
        <v>29.040798658574509</v>
      </c>
      <c r="Y49" s="223">
        <f t="shared" ref="Y49:AB49" si="65">+$F49/P49</f>
        <v>51.78508379585201</v>
      </c>
      <c r="Z49" s="223">
        <f t="shared" si="65"/>
        <v>39.740933451519112</v>
      </c>
      <c r="AA49" s="223">
        <f t="shared" si="65"/>
        <v>466.86385489743634</v>
      </c>
      <c r="AB49" s="223">
        <f t="shared" si="65"/>
        <v>151.98392649718707</v>
      </c>
      <c r="AC49" s="253"/>
      <c r="AD49" s="314">
        <v>1.6728806605188864</v>
      </c>
      <c r="AE49" s="34">
        <v>0.6258718113490821</v>
      </c>
    </row>
    <row r="50" spans="1:31" ht="13.5" customHeight="1">
      <c r="A50" s="2"/>
      <c r="B50" s="313" t="s">
        <v>836</v>
      </c>
      <c r="C50" s="253"/>
      <c r="D50" s="253">
        <v>272.11</v>
      </c>
      <c r="E50" s="313">
        <v>198.39905316952704</v>
      </c>
      <c r="F50" s="253">
        <f t="shared" si="62"/>
        <v>53986.366357960003</v>
      </c>
      <c r="G50" s="253">
        <v>743.73089000000004</v>
      </c>
      <c r="H50" s="253">
        <v>1407.9510700000001</v>
      </c>
      <c r="I50" s="253">
        <v>-664.22018000000003</v>
      </c>
      <c r="J50" s="253">
        <f t="shared" si="63"/>
        <v>53322.146177960007</v>
      </c>
      <c r="K50" s="253"/>
      <c r="L50" s="253">
        <v>11340.61673</v>
      </c>
      <c r="M50" s="253">
        <v>13579.68958</v>
      </c>
      <c r="N50" s="253">
        <v>-69.601590000000002</v>
      </c>
      <c r="O50" s="253">
        <v>149.45739</v>
      </c>
      <c r="P50" s="253">
        <v>-343.20850000000002</v>
      </c>
      <c r="Q50" s="253">
        <v>-181.57317</v>
      </c>
      <c r="R50" s="253">
        <v>417.85843</v>
      </c>
      <c r="S50" s="253">
        <v>819.78107</v>
      </c>
      <c r="T50" s="37"/>
      <c r="U50" s="223">
        <f t="shared" ref="U50:X50" si="66">+$J50/L50</f>
        <v>4.7018735794944728</v>
      </c>
      <c r="V50" s="223">
        <f t="shared" si="66"/>
        <v>3.9266100939812505</v>
      </c>
      <c r="W50" s="223">
        <f t="shared" si="66"/>
        <v>-766.10528836999276</v>
      </c>
      <c r="X50" s="223">
        <f t="shared" si="66"/>
        <v>356.77155996073532</v>
      </c>
      <c r="Y50" s="223">
        <f t="shared" ref="Y50:AB50" si="67">+$F50/P50</f>
        <v>-157.29903646896858</v>
      </c>
      <c r="Z50" s="223">
        <f t="shared" si="67"/>
        <v>-297.32568064962464</v>
      </c>
      <c r="AA50" s="223">
        <f t="shared" si="67"/>
        <v>129.19774373813638</v>
      </c>
      <c r="AB50" s="223">
        <f t="shared" si="67"/>
        <v>65.854614522826196</v>
      </c>
      <c r="AC50" s="253"/>
      <c r="AD50" s="314">
        <v>0.21675579417915869</v>
      </c>
      <c r="AE50" s="34">
        <v>0.17814239736198281</v>
      </c>
    </row>
    <row r="51" spans="1:31" ht="13.5" customHeight="1">
      <c r="A51" s="2"/>
      <c r="B51" s="313" t="s">
        <v>837</v>
      </c>
      <c r="C51" s="253"/>
      <c r="D51" s="253">
        <v>347.51</v>
      </c>
      <c r="E51" s="313">
        <v>141.54353552415756</v>
      </c>
      <c r="F51" s="253">
        <f t="shared" si="62"/>
        <v>49187.79402999999</v>
      </c>
      <c r="G51" s="253">
        <v>438.32499999999999</v>
      </c>
      <c r="H51" s="253">
        <v>1092.8150000000001</v>
      </c>
      <c r="I51" s="253">
        <v>-654.49</v>
      </c>
      <c r="J51" s="253">
        <f t="shared" si="63"/>
        <v>48533.304029999992</v>
      </c>
      <c r="K51" s="253"/>
      <c r="L51" s="253">
        <v>2529.8315299999999</v>
      </c>
      <c r="M51" s="253">
        <v>3501.87878</v>
      </c>
      <c r="N51" s="253">
        <v>175.32220000000001</v>
      </c>
      <c r="O51" s="253">
        <v>333.93792999999999</v>
      </c>
      <c r="P51" s="253">
        <v>-31.402370000000001</v>
      </c>
      <c r="Q51" s="253">
        <v>79.201099999999997</v>
      </c>
      <c r="R51" s="253">
        <v>181.988</v>
      </c>
      <c r="S51" s="253">
        <v>371.19450000000001</v>
      </c>
      <c r="T51" s="37"/>
      <c r="U51" s="223">
        <f t="shared" ref="U51:X51" si="68">+$J51/L51</f>
        <v>19.184401591358139</v>
      </c>
      <c r="V51" s="223">
        <f t="shared" si="68"/>
        <v>13.859218744859007</v>
      </c>
      <c r="W51" s="223">
        <f t="shared" si="68"/>
        <v>276.82349428651929</v>
      </c>
      <c r="X51" s="223">
        <f t="shared" si="68"/>
        <v>145.33630255778368</v>
      </c>
      <c r="Y51" s="223">
        <f t="shared" ref="Y51:AB51" si="69">+$F51/P51</f>
        <v>-1566.3720295633734</v>
      </c>
      <c r="Z51" s="223">
        <f t="shared" si="69"/>
        <v>621.04937974346308</v>
      </c>
      <c r="AA51" s="223">
        <f t="shared" si="69"/>
        <v>270.28042524781847</v>
      </c>
      <c r="AB51" s="223">
        <f t="shared" si="69"/>
        <v>132.51218439389589</v>
      </c>
      <c r="AC51" s="253"/>
      <c r="AD51" s="314">
        <v>0.33006027793360765</v>
      </c>
      <c r="AE51" s="34">
        <v>0.24815437571475477</v>
      </c>
    </row>
    <row r="52" spans="1:31" ht="13.5" customHeight="1">
      <c r="A52" s="2"/>
      <c r="B52" s="322" t="s">
        <v>838</v>
      </c>
      <c r="C52" s="323"/>
      <c r="D52" s="323">
        <v>6.08</v>
      </c>
      <c r="E52" s="322">
        <v>4173.1233881578946</v>
      </c>
      <c r="F52" s="323">
        <f t="shared" si="62"/>
        <v>25372.590199999999</v>
      </c>
      <c r="G52" s="323">
        <v>8968</v>
      </c>
      <c r="H52" s="323">
        <v>71</v>
      </c>
      <c r="I52" s="323">
        <v>8897</v>
      </c>
      <c r="J52" s="323">
        <f t="shared" si="63"/>
        <v>34269.590199999999</v>
      </c>
      <c r="K52" s="323"/>
      <c r="L52" s="323">
        <v>8407.1327700000002</v>
      </c>
      <c r="M52" s="323">
        <v>8808.2873099999997</v>
      </c>
      <c r="N52" s="323">
        <v>2577.86537</v>
      </c>
      <c r="O52" s="323">
        <v>2753.5601499999998</v>
      </c>
      <c r="P52" s="323">
        <v>1124.9599700000001</v>
      </c>
      <c r="Q52" s="323">
        <v>1251.4385500000001</v>
      </c>
      <c r="R52" s="323">
        <v>1972.0833299999999</v>
      </c>
      <c r="S52" s="323">
        <v>2046.79333</v>
      </c>
      <c r="T52" s="324"/>
      <c r="U52" s="325">
        <f t="shared" ref="U52:X52" si="70">+$J52/L52</f>
        <v>4.0762518134943164</v>
      </c>
      <c r="V52" s="325">
        <f t="shared" si="70"/>
        <v>3.8906076736500093</v>
      </c>
      <c r="W52" s="325">
        <f t="shared" si="70"/>
        <v>13.293785858180794</v>
      </c>
      <c r="X52" s="325">
        <f t="shared" si="70"/>
        <v>12.445557145355986</v>
      </c>
      <c r="Y52" s="325">
        <f t="shared" ref="Y52:AB52" si="71">+$F52/P52</f>
        <v>22.554216040238298</v>
      </c>
      <c r="Z52" s="325">
        <f t="shared" si="71"/>
        <v>20.274739179163049</v>
      </c>
      <c r="AA52" s="325">
        <f t="shared" si="71"/>
        <v>12.865881382405885</v>
      </c>
      <c r="AB52" s="325">
        <f t="shared" si="71"/>
        <v>12.396263867051003</v>
      </c>
      <c r="AC52" s="323"/>
      <c r="AD52" s="326">
        <v>-3.9247264770240702</v>
      </c>
      <c r="AE52" s="327">
        <v>1.3419123148286698</v>
      </c>
    </row>
    <row r="53" spans="1:31" ht="13.5" customHeight="1">
      <c r="A53" s="15"/>
      <c r="B53" s="319" t="s">
        <v>839</v>
      </c>
      <c r="C53" s="319"/>
      <c r="D53" s="319"/>
      <c r="E53" s="319"/>
      <c r="F53" s="319"/>
      <c r="G53" s="319"/>
      <c r="H53" s="319"/>
      <c r="I53" s="319"/>
      <c r="J53" s="319"/>
      <c r="K53" s="319"/>
      <c r="L53" s="319"/>
      <c r="M53" s="319"/>
      <c r="N53" s="319"/>
      <c r="O53" s="319"/>
      <c r="P53" s="319"/>
      <c r="Q53" s="319"/>
      <c r="R53" s="319"/>
      <c r="S53" s="319"/>
      <c r="T53" s="319"/>
      <c r="U53" s="320">
        <f t="shared" ref="U53:AB53" si="72">+AVERAGE(U49:U52)</f>
        <v>9.0238301078619276</v>
      </c>
      <c r="V53" s="320">
        <f t="shared" si="72"/>
        <v>7.1773906753416039</v>
      </c>
      <c r="W53" s="320">
        <f t="shared" si="72"/>
        <v>-109.84862729659062</v>
      </c>
      <c r="X53" s="320">
        <f t="shared" si="72"/>
        <v>135.89855458061237</v>
      </c>
      <c r="Y53" s="320">
        <f t="shared" si="72"/>
        <v>-412.33294154906292</v>
      </c>
      <c r="Z53" s="320">
        <f t="shared" si="72"/>
        <v>95.934842931130135</v>
      </c>
      <c r="AA53" s="320">
        <f t="shared" si="72"/>
        <v>219.80197631644927</v>
      </c>
      <c r="AB53" s="320">
        <f t="shared" si="72"/>
        <v>90.686747320240045</v>
      </c>
      <c r="AC53" s="319"/>
      <c r="AD53" s="320">
        <f t="shared" ref="AD53:AE53" si="73">+AVERAGE(AD49:AD52)</f>
        <v>-0.4262574360981044</v>
      </c>
      <c r="AE53" s="328">
        <f t="shared" si="73"/>
        <v>0.59852022481362233</v>
      </c>
    </row>
    <row r="54" spans="1:31" ht="13.5" customHeight="1">
      <c r="A54" s="15"/>
      <c r="B54" s="319" t="s">
        <v>840</v>
      </c>
      <c r="C54" s="319"/>
      <c r="D54" s="318"/>
      <c r="E54" s="318"/>
      <c r="F54" s="318"/>
      <c r="G54" s="318"/>
      <c r="H54" s="318"/>
      <c r="I54" s="318"/>
      <c r="J54" s="318"/>
      <c r="K54" s="318"/>
      <c r="L54" s="318"/>
      <c r="M54" s="318"/>
      <c r="N54" s="318"/>
      <c r="O54" s="318"/>
      <c r="P54" s="318"/>
      <c r="Q54" s="318"/>
      <c r="R54" s="318"/>
      <c r="S54" s="318"/>
      <c r="T54" s="319"/>
      <c r="U54" s="320">
        <f t="shared" ref="U54:AB54" si="74">+MEDIAN(U49:U52)</f>
        <v>6.4173335132976268</v>
      </c>
      <c r="V54" s="320">
        <f t="shared" si="74"/>
        <v>5.4798681414286996</v>
      </c>
      <c r="W54" s="320">
        <f t="shared" si="74"/>
        <v>24.943642448555508</v>
      </c>
      <c r="X54" s="320">
        <f t="shared" si="74"/>
        <v>87.188550608179099</v>
      </c>
      <c r="Y54" s="320">
        <f t="shared" si="74"/>
        <v>-67.372410214365146</v>
      </c>
      <c r="Z54" s="320">
        <f t="shared" si="74"/>
        <v>30.007836315341081</v>
      </c>
      <c r="AA54" s="320">
        <f t="shared" si="74"/>
        <v>199.73908449297744</v>
      </c>
      <c r="AB54" s="320">
        <f t="shared" si="74"/>
        <v>99.183399458361038</v>
      </c>
      <c r="AC54" s="319"/>
      <c r="AD54" s="320">
        <f t="shared" ref="AD54:AE54" si="75">+MEDIAN(AD49:AD52)</f>
        <v>0.2734080360563832</v>
      </c>
      <c r="AE54" s="328">
        <f t="shared" si="75"/>
        <v>0.43701309353191842</v>
      </c>
    </row>
    <row r="55" spans="1:31" ht="13.5" customHeight="1">
      <c r="A55" s="15"/>
      <c r="B55" s="319" t="s">
        <v>841</v>
      </c>
      <c r="C55" s="319"/>
      <c r="D55" s="329"/>
      <c r="E55" s="329"/>
      <c r="F55" s="329"/>
      <c r="G55" s="329"/>
      <c r="H55" s="329"/>
      <c r="I55" s="329"/>
      <c r="J55" s="329"/>
      <c r="K55" s="329"/>
      <c r="L55" s="329"/>
      <c r="M55" s="329"/>
      <c r="N55" s="329"/>
      <c r="O55" s="329"/>
      <c r="P55" s="329"/>
      <c r="Q55" s="329"/>
      <c r="R55" s="329"/>
      <c r="S55" s="329"/>
      <c r="T55" s="319"/>
      <c r="U55" s="320">
        <f t="shared" ref="U55:AE55" si="76">+MIN(U49:U52)</f>
        <v>4.0762518134943164</v>
      </c>
      <c r="V55" s="320">
        <f t="shared" si="76"/>
        <v>3.8906076736500093</v>
      </c>
      <c r="W55" s="320">
        <f t="shared" si="76"/>
        <v>-766.10528836999276</v>
      </c>
      <c r="X55" s="320">
        <f t="shared" si="76"/>
        <v>12.445557145355986</v>
      </c>
      <c r="Y55" s="320">
        <f t="shared" si="76"/>
        <v>-1566.3720295633734</v>
      </c>
      <c r="Z55" s="320">
        <f t="shared" si="76"/>
        <v>-297.32568064962464</v>
      </c>
      <c r="AA55" s="320">
        <f t="shared" si="76"/>
        <v>12.865881382405885</v>
      </c>
      <c r="AB55" s="320">
        <f t="shared" si="76"/>
        <v>12.396263867051003</v>
      </c>
      <c r="AC55" s="317">
        <f t="shared" si="76"/>
        <v>0</v>
      </c>
      <c r="AD55" s="320">
        <f t="shared" si="76"/>
        <v>-3.9247264770240702</v>
      </c>
      <c r="AE55" s="328">
        <f t="shared" si="76"/>
        <v>0.17814239736198281</v>
      </c>
    </row>
    <row r="56" spans="1:31" ht="13.5" customHeight="1">
      <c r="A56" s="15"/>
      <c r="B56" s="319" t="s">
        <v>842</v>
      </c>
      <c r="C56" s="319"/>
      <c r="D56" s="319"/>
      <c r="E56" s="319"/>
      <c r="F56" s="319"/>
      <c r="G56" s="319"/>
      <c r="H56" s="319"/>
      <c r="I56" s="319"/>
      <c r="J56" s="319"/>
      <c r="K56" s="319"/>
      <c r="L56" s="319"/>
      <c r="M56" s="319"/>
      <c r="N56" s="319"/>
      <c r="O56" s="319"/>
      <c r="P56" s="319"/>
      <c r="Q56" s="319"/>
      <c r="R56" s="319"/>
      <c r="S56" s="319"/>
      <c r="T56" s="319"/>
      <c r="U56" s="320">
        <f t="shared" ref="U56:AE56" si="77">+MAX(U49:U52)</f>
        <v>19.184401591358139</v>
      </c>
      <c r="V56" s="320">
        <f t="shared" si="77"/>
        <v>13.859218744859007</v>
      </c>
      <c r="W56" s="320">
        <f t="shared" si="77"/>
        <v>276.82349428651929</v>
      </c>
      <c r="X56" s="320">
        <f t="shared" si="77"/>
        <v>356.77155996073532</v>
      </c>
      <c r="Y56" s="320">
        <f t="shared" si="77"/>
        <v>51.78508379585201</v>
      </c>
      <c r="Z56" s="320">
        <f t="shared" si="77"/>
        <v>621.04937974346308</v>
      </c>
      <c r="AA56" s="320">
        <f t="shared" si="77"/>
        <v>466.86385489743634</v>
      </c>
      <c r="AB56" s="320">
        <f t="shared" si="77"/>
        <v>151.98392649718707</v>
      </c>
      <c r="AC56" s="317">
        <f t="shared" si="77"/>
        <v>0</v>
      </c>
      <c r="AD56" s="320">
        <f t="shared" si="77"/>
        <v>1.6728806605188864</v>
      </c>
      <c r="AE56" s="328">
        <f t="shared" si="77"/>
        <v>1.3419123148286698</v>
      </c>
    </row>
    <row r="57" spans="1:31" ht="13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 ht="13.5" customHeight="1">
      <c r="A58" s="2"/>
      <c r="B58" s="2"/>
      <c r="C58" s="253"/>
      <c r="D58" s="330"/>
      <c r="E58" s="331"/>
      <c r="F58" s="253"/>
      <c r="G58" s="253"/>
      <c r="H58" s="253"/>
      <c r="I58" s="332"/>
      <c r="J58" s="253"/>
      <c r="K58" s="253"/>
      <c r="L58" s="332"/>
      <c r="M58" s="332"/>
      <c r="N58" s="332"/>
      <c r="O58" s="332"/>
      <c r="P58" s="332"/>
      <c r="Q58" s="332"/>
      <c r="R58" s="332"/>
      <c r="S58" s="332"/>
      <c r="T58" s="37"/>
      <c r="U58" s="223"/>
      <c r="V58" s="223"/>
      <c r="W58" s="223"/>
      <c r="X58" s="223"/>
      <c r="Y58" s="223"/>
      <c r="Z58" s="223"/>
      <c r="AA58" s="223"/>
      <c r="AB58" s="223"/>
      <c r="AC58" s="223"/>
      <c r="AD58" s="223"/>
      <c r="AE58" s="223"/>
    </row>
    <row r="59" spans="1:31" ht="13.5" customHeight="1">
      <c r="A59" s="2"/>
      <c r="B59" s="2" t="s">
        <v>680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333"/>
      <c r="V59" s="333"/>
      <c r="W59" s="333"/>
      <c r="X59" s="333"/>
      <c r="Y59" s="333"/>
      <c r="Z59" s="333"/>
      <c r="AA59" s="333"/>
      <c r="AB59" s="333"/>
      <c r="AC59" s="333"/>
      <c r="AD59" s="333"/>
      <c r="AE59" s="333"/>
    </row>
    <row r="60" spans="1:31" ht="13.5" customHeight="1">
      <c r="A60" s="2"/>
      <c r="B60" s="2" t="s">
        <v>843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 ht="13.5" customHeight="1">
      <c r="A61" s="2"/>
      <c r="B61" s="2" t="s">
        <v>844</v>
      </c>
      <c r="C61" s="2"/>
      <c r="D61" s="330"/>
      <c r="E61" s="313"/>
      <c r="F61" s="253"/>
      <c r="G61" s="253"/>
      <c r="H61" s="253"/>
      <c r="I61" s="253"/>
      <c r="J61" s="334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 ht="13.5" customHeight="1">
      <c r="A62" s="2"/>
      <c r="B62" s="2" t="s">
        <v>845</v>
      </c>
      <c r="C62" s="2"/>
      <c r="D62" s="330"/>
      <c r="E62" s="313"/>
      <c r="F62" s="253"/>
      <c r="G62" s="253"/>
      <c r="H62" s="253"/>
      <c r="I62" s="253"/>
      <c r="J62" s="334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 ht="13.5" customHeight="1">
      <c r="A63" s="2"/>
      <c r="B63" s="2" t="s">
        <v>846</v>
      </c>
      <c r="C63" s="2"/>
      <c r="D63" s="330"/>
      <c r="E63" s="313"/>
      <c r="F63" s="334"/>
      <c r="G63" s="334"/>
      <c r="H63" s="334"/>
      <c r="I63" s="253"/>
      <c r="J63" s="334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 ht="13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 ht="13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 ht="13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 ht="13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 ht="13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 ht="13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 ht="13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 ht="13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 ht="13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 ht="13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 ht="13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 ht="13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 ht="13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 ht="13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 ht="13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 ht="13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 ht="13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 ht="13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 ht="13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 ht="13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 ht="13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 ht="13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 ht="13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 ht="13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 ht="13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 ht="13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 ht="13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 ht="13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 ht="13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 ht="13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 ht="13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 ht="13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 ht="13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 ht="13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 ht="13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 ht="13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 spans="1:31" ht="13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 spans="1:31" ht="13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 spans="1:31" ht="13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 spans="1:31" ht="13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 spans="1:31" ht="13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 spans="1:31" ht="13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 spans="1:31" ht="13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 spans="1:31" ht="13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 spans="1:31" ht="13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 spans="1:31" ht="13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 spans="1:31" ht="13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 spans="1:31" ht="13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 spans="1:31" ht="13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 spans="1:31" ht="13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 spans="1:31" ht="13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 spans="1:31" ht="13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 spans="1:31" ht="1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 spans="1:31" ht="1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 spans="1:31" ht="1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 spans="1:31" ht="1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 spans="1:31" ht="1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 spans="1:31" ht="1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 spans="1:31" ht="1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 spans="1:31" ht="1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 spans="1:31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 spans="1:31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 spans="1:31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 spans="1:31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 spans="1:31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 spans="1:31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 spans="1:31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 spans="1:31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 spans="1:31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 spans="1:31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 spans="1:31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 spans="1:31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 spans="1:31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 spans="1:31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 spans="1:31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 spans="1:31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 spans="1:31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 spans="1:31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 spans="1:31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 spans="1:31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 spans="1:31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 spans="1:31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 spans="1:31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 spans="1:31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 spans="1:31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 spans="1:31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 spans="1:31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 spans="1:31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  <row r="154" spans="1:31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</row>
    <row r="155" spans="1:31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</row>
    <row r="156" spans="1:31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</row>
    <row r="157" spans="1:31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</row>
    <row r="158" spans="1:31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</row>
    <row r="159" spans="1:31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</row>
    <row r="160" spans="1:31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</row>
    <row r="161" spans="1:31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</row>
    <row r="162" spans="1:31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</row>
    <row r="163" spans="1:31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</row>
    <row r="164" spans="1:31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</row>
    <row r="165" spans="1:31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</row>
    <row r="166" spans="1:31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</row>
    <row r="167" spans="1:31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</row>
    <row r="168" spans="1:31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</row>
    <row r="169" spans="1:31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</row>
    <row r="170" spans="1:31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</row>
    <row r="171" spans="1:31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</row>
    <row r="172" spans="1:31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</row>
    <row r="173" spans="1:31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</row>
    <row r="174" spans="1:31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</row>
    <row r="175" spans="1:31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</row>
    <row r="176" spans="1:31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</row>
    <row r="177" spans="1:31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</row>
    <row r="178" spans="1:31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</row>
    <row r="179" spans="1:31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</row>
    <row r="180" spans="1:31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</row>
    <row r="181" spans="1:31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</row>
    <row r="182" spans="1:31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</row>
    <row r="183" spans="1:31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</row>
    <row r="184" spans="1:31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</row>
    <row r="185" spans="1:31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</row>
    <row r="186" spans="1:31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</row>
    <row r="187" spans="1:31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</row>
    <row r="188" spans="1:31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</row>
    <row r="189" spans="1:31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</row>
    <row r="190" spans="1:31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</row>
    <row r="191" spans="1:31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</row>
    <row r="192" spans="1:31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</row>
    <row r="193" spans="1:31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</row>
    <row r="194" spans="1:31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</row>
    <row r="195" spans="1:31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</row>
    <row r="196" spans="1:31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</row>
    <row r="197" spans="1:31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</row>
    <row r="198" spans="1:31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</row>
    <row r="199" spans="1:31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</row>
    <row r="200" spans="1:31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</row>
    <row r="201" spans="1:31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</row>
    <row r="202" spans="1:31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</row>
    <row r="203" spans="1:31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</row>
    <row r="204" spans="1:31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</row>
    <row r="205" spans="1:31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</row>
    <row r="206" spans="1:31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</row>
    <row r="207" spans="1:31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</row>
    <row r="208" spans="1:31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</row>
    <row r="209" spans="1:31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</row>
    <row r="210" spans="1:31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</row>
    <row r="211" spans="1:31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</row>
    <row r="212" spans="1:31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</row>
    <row r="213" spans="1:31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</row>
    <row r="214" spans="1:31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</row>
    <row r="215" spans="1:31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</row>
    <row r="216" spans="1:31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</row>
    <row r="217" spans="1:31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</row>
    <row r="218" spans="1:31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</row>
    <row r="219" spans="1:31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</row>
    <row r="220" spans="1:31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</row>
    <row r="221" spans="1:31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</row>
    <row r="222" spans="1:31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</row>
    <row r="223" spans="1:31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</row>
    <row r="224" spans="1:31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</row>
    <row r="225" spans="1:31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</row>
    <row r="226" spans="1:31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</row>
    <row r="227" spans="1:31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</row>
    <row r="228" spans="1:31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</row>
    <row r="229" spans="1:31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</row>
    <row r="230" spans="1:31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</row>
    <row r="231" spans="1:31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</row>
    <row r="232" spans="1:31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</row>
    <row r="233" spans="1:31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</row>
    <row r="234" spans="1:31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</row>
    <row r="235" spans="1:31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</row>
    <row r="236" spans="1:31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</row>
    <row r="237" spans="1:31" ht="13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</row>
    <row r="238" spans="1:31" ht="13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</row>
    <row r="239" spans="1:31" ht="13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</row>
    <row r="240" spans="1:31" ht="13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</row>
    <row r="241" spans="1:31" ht="13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</row>
    <row r="242" spans="1:31" ht="13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</row>
    <row r="243" spans="1:31" ht="13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</row>
    <row r="244" spans="1:31" ht="13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</row>
    <row r="245" spans="1:31" ht="13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</row>
    <row r="246" spans="1:31" ht="13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</row>
    <row r="247" spans="1:31" ht="13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</row>
    <row r="248" spans="1:31" ht="13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</row>
    <row r="249" spans="1:31" ht="13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</row>
    <row r="250" spans="1:31" ht="13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</row>
    <row r="251" spans="1:31" ht="13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</row>
    <row r="252" spans="1:31" ht="13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</row>
    <row r="253" spans="1:31" ht="13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</row>
    <row r="254" spans="1:31" ht="13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</row>
    <row r="255" spans="1:31" ht="13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</row>
    <row r="256" spans="1:31" ht="13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</row>
    <row r="257" spans="1:31" ht="13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</row>
    <row r="258" spans="1:31" ht="13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</row>
    <row r="259" spans="1:31" ht="13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</row>
    <row r="260" spans="1:31" ht="13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</row>
    <row r="261" spans="1:31" ht="13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</row>
    <row r="262" spans="1:31" ht="13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</row>
    <row r="263" spans="1:31" ht="13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</row>
    <row r="264" spans="1:31" ht="15.75" customHeight="1"/>
    <row r="265" spans="1:31" ht="15.75" customHeight="1"/>
    <row r="266" spans="1:31" ht="15.75" customHeight="1"/>
    <row r="267" spans="1:31" ht="15.75" customHeight="1"/>
    <row r="268" spans="1:31" ht="15.75" customHeight="1"/>
    <row r="269" spans="1:31" ht="15.75" customHeight="1"/>
    <row r="270" spans="1:31" ht="15.75" customHeight="1"/>
    <row r="271" spans="1:31" ht="15.75" customHeight="1"/>
    <row r="272" spans="1:3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AD3:AE3"/>
    <mergeCell ref="AD4:AE4"/>
    <mergeCell ref="D3:J3"/>
    <mergeCell ref="L3:S3"/>
    <mergeCell ref="U3:AB3"/>
    <mergeCell ref="L4:M4"/>
    <mergeCell ref="N4:O4"/>
    <mergeCell ref="P4:Q4"/>
    <mergeCell ref="AA4:AB4"/>
    <mergeCell ref="R4:S4"/>
    <mergeCell ref="U4:V4"/>
    <mergeCell ref="W4:X4"/>
    <mergeCell ref="Y4:Z4"/>
  </mergeCells>
  <pageMargins left="0.7" right="0.7" top="0.75" bottom="0.75" header="0" footer="0"/>
  <pageSetup scale="41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Z1000"/>
  <sheetViews>
    <sheetView workbookViewId="0"/>
  </sheetViews>
  <sheetFormatPr defaultColWidth="12.5703125" defaultRowHeight="15" customHeight="1"/>
  <cols>
    <col min="1" max="1" width="19.42578125" customWidth="1"/>
    <col min="2" max="2" width="39" customWidth="1"/>
    <col min="3" max="3" width="7.7109375" customWidth="1"/>
    <col min="4" max="4" width="10.7109375" customWidth="1"/>
    <col min="5" max="5" width="5.5703125" customWidth="1"/>
    <col min="6" max="6" width="9.28515625" customWidth="1"/>
    <col min="7" max="7" width="5.28515625" customWidth="1"/>
    <col min="8" max="8" width="8" customWidth="1"/>
    <col min="9" max="9" width="5.85546875" customWidth="1"/>
    <col min="10" max="11" width="8.5703125" customWidth="1"/>
    <col min="12" max="12" width="9.85546875" customWidth="1"/>
    <col min="13" max="26" width="10.7109375" customWidth="1"/>
  </cols>
  <sheetData>
    <row r="1" spans="1:26" ht="13.5" customHeight="1"/>
    <row r="2" spans="1:26" ht="13.5" customHeight="1">
      <c r="B2" s="15" t="s">
        <v>847</v>
      </c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26" ht="13.5" customHeight="1">
      <c r="D3" s="4" t="s">
        <v>848</v>
      </c>
      <c r="E3" s="14"/>
      <c r="F3" s="1187" t="s">
        <v>849</v>
      </c>
      <c r="G3" s="1186"/>
      <c r="H3" s="1186"/>
      <c r="I3" s="14"/>
      <c r="J3" s="1187" t="s">
        <v>17</v>
      </c>
      <c r="K3" s="1186"/>
      <c r="L3" s="1186"/>
    </row>
    <row r="4" spans="1:26" ht="23.25" customHeight="1">
      <c r="D4" s="4" t="s">
        <v>267</v>
      </c>
      <c r="E4" s="4"/>
      <c r="F4" s="4" t="s">
        <v>1</v>
      </c>
      <c r="G4" s="4" t="s">
        <v>2</v>
      </c>
      <c r="H4" s="4" t="s">
        <v>3</v>
      </c>
      <c r="I4" s="4"/>
      <c r="J4" s="4" t="s">
        <v>1</v>
      </c>
      <c r="K4" s="4" t="s">
        <v>2</v>
      </c>
      <c r="L4" s="4" t="s">
        <v>3</v>
      </c>
    </row>
    <row r="5" spans="1:26" ht="21" customHeight="1">
      <c r="F5" s="239"/>
      <c r="G5" s="239"/>
      <c r="H5" s="239"/>
      <c r="J5" s="239"/>
      <c r="K5" s="239"/>
      <c r="L5" s="239"/>
    </row>
    <row r="6" spans="1:26" ht="24.75" customHeight="1">
      <c r="A6" s="15"/>
      <c r="B6" s="15" t="s">
        <v>850</v>
      </c>
      <c r="C6" s="15"/>
      <c r="D6" s="16" t="e">
        <f>+'Main support'!#REF!</f>
        <v>#REF!</v>
      </c>
      <c r="E6" s="107"/>
      <c r="F6" s="247">
        <f>+Precedents!K20</f>
        <v>5.7709990059642147</v>
      </c>
      <c r="G6" s="247">
        <f>Precedents!K18</f>
        <v>12.60677086430629</v>
      </c>
      <c r="H6" s="247">
        <f>+Precedents!K21</f>
        <v>20.179021479713604</v>
      </c>
      <c r="I6" s="15"/>
      <c r="J6" s="16" t="e">
        <f t="shared" ref="J6:L6" si="0">+F6*$D$6</f>
        <v>#REF!</v>
      </c>
      <c r="K6" s="16" t="e">
        <f t="shared" si="0"/>
        <v>#REF!</v>
      </c>
      <c r="L6" s="16" t="e">
        <f t="shared" si="0"/>
        <v>#REF!</v>
      </c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22.5" customHeight="1">
      <c r="J7" s="17"/>
      <c r="K7" s="17"/>
      <c r="L7" s="17"/>
    </row>
    <row r="8" spans="1:26" ht="16.5" customHeight="1">
      <c r="B8" s="59" t="s">
        <v>620</v>
      </c>
      <c r="C8" s="59"/>
      <c r="D8" s="59"/>
      <c r="E8" s="59"/>
      <c r="F8" s="59"/>
      <c r="G8" s="59"/>
      <c r="H8" s="59"/>
      <c r="I8" s="59"/>
      <c r="J8" s="120">
        <f>-Comps!$I$8</f>
        <v>-59107</v>
      </c>
      <c r="K8" s="120">
        <f t="shared" ref="K8:L8" si="1">+J8</f>
        <v>-59107</v>
      </c>
      <c r="L8" s="120">
        <f t="shared" si="1"/>
        <v>-59107</v>
      </c>
    </row>
    <row r="9" spans="1:26" ht="13.5" customHeight="1">
      <c r="B9" s="15" t="s">
        <v>851</v>
      </c>
      <c r="C9" s="15"/>
      <c r="D9" s="15"/>
      <c r="E9" s="15"/>
      <c r="F9" s="15"/>
      <c r="G9" s="15"/>
      <c r="H9" s="15"/>
      <c r="I9" s="15"/>
      <c r="J9" s="16" t="e">
        <f t="shared" ref="J9:L9" si="2">J6+J8</f>
        <v>#REF!</v>
      </c>
      <c r="K9" s="16" t="e">
        <f t="shared" si="2"/>
        <v>#REF!</v>
      </c>
      <c r="L9" s="16" t="e">
        <f t="shared" si="2"/>
        <v>#REF!</v>
      </c>
    </row>
    <row r="10" spans="1:26" ht="24" customHeight="1">
      <c r="B10" s="15"/>
      <c r="C10" s="15"/>
      <c r="D10" s="15"/>
      <c r="E10" s="15"/>
      <c r="F10" s="15"/>
      <c r="G10" s="15"/>
      <c r="H10" s="15"/>
      <c r="I10" s="15"/>
      <c r="J10" s="16"/>
      <c r="K10" s="16"/>
      <c r="L10" s="16"/>
    </row>
    <row r="11" spans="1:26" ht="13.5" customHeight="1">
      <c r="B11" s="59" t="s">
        <v>852</v>
      </c>
      <c r="C11" s="59"/>
      <c r="D11" s="59"/>
      <c r="E11" s="59"/>
      <c r="F11" s="59"/>
      <c r="G11" s="59"/>
      <c r="H11" s="59"/>
      <c r="I11" s="59"/>
      <c r="J11" s="248">
        <f>+Comps!$E$8</f>
        <v>518.20000000000005</v>
      </c>
      <c r="K11" s="249">
        <f t="shared" ref="K11:L11" si="3">+J11</f>
        <v>518.20000000000005</v>
      </c>
      <c r="L11" s="249">
        <f t="shared" si="3"/>
        <v>518.20000000000005</v>
      </c>
    </row>
    <row r="12" spans="1:26" ht="13.5" customHeight="1">
      <c r="A12" s="15"/>
      <c r="B12" s="15" t="s">
        <v>853</v>
      </c>
      <c r="C12" s="15"/>
      <c r="D12" s="15"/>
      <c r="E12" s="15"/>
      <c r="F12" s="15"/>
      <c r="G12" s="15"/>
      <c r="H12" s="15"/>
      <c r="I12" s="15"/>
      <c r="J12" s="16" t="e">
        <f t="shared" ref="J12:L12" si="4">+J9/J11</f>
        <v>#REF!</v>
      </c>
      <c r="K12" s="16" t="e">
        <f t="shared" si="4"/>
        <v>#REF!</v>
      </c>
      <c r="L12" s="16" t="e">
        <f t="shared" si="4"/>
        <v>#REF!</v>
      </c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3.5" customHeight="1"/>
    <row r="14" spans="1:26" ht="13.5" customHeight="1"/>
    <row r="15" spans="1:26" ht="13.5" customHeight="1"/>
    <row r="16" spans="1:2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F3:H3"/>
    <mergeCell ref="J3:L3"/>
  </mergeCells>
  <pageMargins left="0.7" right="0.7" top="0.75" bottom="0.75" header="0" footer="0"/>
  <pageSetup scale="82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1:R1000"/>
  <sheetViews>
    <sheetView topLeftCell="A9" zoomScale="70" zoomScaleNormal="70" workbookViewId="0">
      <selection activeCell="F38" sqref="F38"/>
    </sheetView>
  </sheetViews>
  <sheetFormatPr defaultColWidth="12.5703125" defaultRowHeight="15" customHeight="1"/>
  <cols>
    <col min="1" max="1" width="3.42578125" customWidth="1"/>
    <col min="2" max="2" width="20.140625" customWidth="1"/>
    <col min="3" max="3" width="13.140625" customWidth="1"/>
    <col min="4" max="4" width="37.28515625" customWidth="1"/>
    <col min="5" max="5" width="40.140625" customWidth="1"/>
    <col min="6" max="6" width="15.85546875" customWidth="1"/>
    <col min="7" max="17" width="13.140625" customWidth="1"/>
    <col min="18" max="18" width="28.5703125" customWidth="1"/>
  </cols>
  <sheetData>
    <row r="1" spans="2:18" ht="13.5" customHeight="1"/>
    <row r="2" spans="2:18" ht="13.5" customHeight="1">
      <c r="B2" s="65" t="s">
        <v>854</v>
      </c>
      <c r="C2" s="335"/>
      <c r="D2" s="335"/>
      <c r="E2" s="335"/>
      <c r="F2" s="335"/>
      <c r="G2" s="335"/>
      <c r="H2" s="335"/>
      <c r="I2" s="335"/>
      <c r="J2" s="335"/>
      <c r="K2" s="335"/>
      <c r="L2" s="335"/>
      <c r="M2" s="335"/>
      <c r="N2" s="335"/>
      <c r="O2" s="335"/>
      <c r="P2" s="335"/>
      <c r="Q2" s="335"/>
      <c r="R2" s="335"/>
    </row>
    <row r="3" spans="2:18" ht="13.5" customHeight="1">
      <c r="B3" s="15"/>
      <c r="C3" s="15"/>
      <c r="D3" s="14"/>
      <c r="E3" s="14"/>
      <c r="F3" s="14"/>
      <c r="G3" s="306"/>
      <c r="H3" s="306"/>
      <c r="I3" s="306"/>
      <c r="J3" s="15"/>
      <c r="K3" s="15"/>
      <c r="L3" s="15"/>
      <c r="M3" s="15"/>
      <c r="N3" s="304"/>
      <c r="O3" s="304"/>
      <c r="P3" s="304"/>
      <c r="Q3" s="304"/>
      <c r="R3" s="15"/>
    </row>
    <row r="4" spans="2:18" ht="13.5" customHeight="1">
      <c r="B4" s="239"/>
      <c r="C4" s="336" t="s">
        <v>855</v>
      </c>
      <c r="D4" s="306"/>
      <c r="E4" s="306"/>
      <c r="F4" s="306" t="s">
        <v>856</v>
      </c>
      <c r="G4" s="14" t="s">
        <v>856</v>
      </c>
      <c r="H4" s="14" t="s">
        <v>857</v>
      </c>
      <c r="I4" s="14" t="s">
        <v>858</v>
      </c>
      <c r="J4" s="1206" t="s">
        <v>859</v>
      </c>
      <c r="K4" s="1207"/>
      <c r="L4" s="1207"/>
      <c r="M4" s="1207"/>
      <c r="N4" s="1206" t="s">
        <v>860</v>
      </c>
      <c r="O4" s="1207"/>
      <c r="P4" s="1207"/>
      <c r="Q4" s="1207"/>
      <c r="R4" s="239"/>
    </row>
    <row r="5" spans="2:18" ht="13.5" customHeight="1">
      <c r="B5" s="307" t="s">
        <v>861</v>
      </c>
      <c r="C5" s="307" t="s">
        <v>686</v>
      </c>
      <c r="D5" s="304" t="s">
        <v>862</v>
      </c>
      <c r="E5" s="304" t="s">
        <v>863</v>
      </c>
      <c r="F5" s="304" t="s">
        <v>864</v>
      </c>
      <c r="G5" s="304" t="s">
        <v>865</v>
      </c>
      <c r="H5" s="304" t="s">
        <v>789</v>
      </c>
      <c r="I5" s="304" t="s">
        <v>622</v>
      </c>
      <c r="J5" s="304" t="s">
        <v>780</v>
      </c>
      <c r="K5" s="304" t="s">
        <v>781</v>
      </c>
      <c r="L5" s="304" t="s">
        <v>782</v>
      </c>
      <c r="M5" s="304" t="s">
        <v>783</v>
      </c>
      <c r="N5" s="304" t="s">
        <v>234</v>
      </c>
      <c r="O5" s="304" t="s">
        <v>267</v>
      </c>
      <c r="P5" s="304" t="s">
        <v>778</v>
      </c>
      <c r="Q5" s="304" t="s">
        <v>779</v>
      </c>
      <c r="R5" s="304" t="s">
        <v>866</v>
      </c>
    </row>
    <row r="6" spans="2:18" ht="13.5" customHeight="1">
      <c r="B6" s="308"/>
      <c r="C6" s="308"/>
      <c r="D6" s="310"/>
      <c r="E6" s="310"/>
      <c r="F6" s="310"/>
      <c r="G6" s="310" t="s">
        <v>796</v>
      </c>
      <c r="H6" s="310" t="s">
        <v>796</v>
      </c>
      <c r="I6" s="310" t="s">
        <v>796</v>
      </c>
      <c r="J6" s="310" t="s">
        <v>797</v>
      </c>
      <c r="K6" s="310" t="s">
        <v>797</v>
      </c>
      <c r="L6" s="310" t="s">
        <v>797</v>
      </c>
      <c r="M6" s="310" t="s">
        <v>797</v>
      </c>
      <c r="N6" s="310" t="s">
        <v>796</v>
      </c>
      <c r="O6" s="310" t="s">
        <v>796</v>
      </c>
      <c r="P6" s="310" t="s">
        <v>796</v>
      </c>
      <c r="Q6" s="310" t="s">
        <v>796</v>
      </c>
      <c r="R6" s="308"/>
    </row>
    <row r="7" spans="2:18" ht="13.5" customHeight="1">
      <c r="B7" s="308"/>
      <c r="C7" s="308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10"/>
      <c r="Q7" s="310"/>
      <c r="R7" s="308"/>
    </row>
    <row r="8" spans="2:18" ht="13.5" customHeight="1">
      <c r="B8" s="337">
        <v>1</v>
      </c>
      <c r="C8" s="338" t="s">
        <v>686</v>
      </c>
      <c r="D8" s="339" t="s">
        <v>655</v>
      </c>
      <c r="E8" s="339" t="s">
        <v>867</v>
      </c>
      <c r="F8" s="339" t="s">
        <v>868</v>
      </c>
      <c r="G8" s="340">
        <v>5950.65</v>
      </c>
      <c r="H8" s="340">
        <v>679.91</v>
      </c>
      <c r="I8" s="340">
        <v>5270.74</v>
      </c>
      <c r="J8" s="341">
        <f t="shared" ref="J8:J17" si="0">+G8/N8</f>
        <v>0.16047226007365814</v>
      </c>
      <c r="K8" s="341">
        <f t="shared" ref="K8:K17" si="1">+G8/O8</f>
        <v>7.2691236471134344</v>
      </c>
      <c r="L8" s="341">
        <f t="shared" ref="L8:L17" si="2">+I8/P8</f>
        <v>15.401612997486994</v>
      </c>
      <c r="M8" s="341">
        <f t="shared" ref="M8:M17" si="3">+I8/Q8</f>
        <v>13.86671928439884</v>
      </c>
      <c r="N8" s="340">
        <v>37082.11</v>
      </c>
      <c r="O8" s="340">
        <v>818.62</v>
      </c>
      <c r="P8" s="340">
        <v>342.22</v>
      </c>
      <c r="Q8" s="340">
        <v>380.1</v>
      </c>
      <c r="R8" s="342" t="s">
        <v>869</v>
      </c>
    </row>
    <row r="9" spans="2:18" ht="13.5" customHeight="1">
      <c r="B9" s="343">
        <v>2</v>
      </c>
      <c r="C9" s="344" t="s">
        <v>686</v>
      </c>
      <c r="D9" s="305" t="s">
        <v>655</v>
      </c>
      <c r="E9" s="305" t="s">
        <v>867</v>
      </c>
      <c r="F9" s="305" t="s">
        <v>868</v>
      </c>
      <c r="G9" s="345">
        <v>1527.3</v>
      </c>
      <c r="H9" s="345">
        <v>582.15</v>
      </c>
      <c r="I9" s="345">
        <v>945.15</v>
      </c>
      <c r="J9" s="223">
        <f t="shared" si="0"/>
        <v>4.1092904996367743</v>
      </c>
      <c r="K9" s="223">
        <f t="shared" si="1"/>
        <v>18.52395391146149</v>
      </c>
      <c r="L9" s="223">
        <f t="shared" si="2"/>
        <v>86.711009174311926</v>
      </c>
      <c r="M9" s="223">
        <f t="shared" si="3"/>
        <v>52.508333333333333</v>
      </c>
      <c r="N9" s="345">
        <v>371.67</v>
      </c>
      <c r="O9" s="345">
        <v>82.45</v>
      </c>
      <c r="P9" s="345">
        <v>10.9</v>
      </c>
      <c r="Q9" s="345">
        <v>18</v>
      </c>
      <c r="R9" s="346" t="s">
        <v>869</v>
      </c>
    </row>
    <row r="10" spans="2:18" ht="13.5" customHeight="1">
      <c r="B10" s="343">
        <v>3</v>
      </c>
      <c r="C10" s="344" t="s">
        <v>686</v>
      </c>
      <c r="D10" s="305" t="s">
        <v>655</v>
      </c>
      <c r="E10" s="305" t="s">
        <v>867</v>
      </c>
      <c r="F10" s="305" t="s">
        <v>868</v>
      </c>
      <c r="G10" s="345">
        <v>1340.68</v>
      </c>
      <c r="H10" s="345">
        <v>-92.55</v>
      </c>
      <c r="I10" s="345">
        <v>1433.23</v>
      </c>
      <c r="J10" s="223">
        <f t="shared" si="0"/>
        <v>1.9353572098797511</v>
      </c>
      <c r="K10" s="223">
        <f t="shared" si="1"/>
        <v>15.174646293152238</v>
      </c>
      <c r="L10" s="223">
        <f t="shared" si="2"/>
        <v>25.86124142908697</v>
      </c>
      <c r="M10" s="223">
        <f t="shared" si="3"/>
        <v>17.935552496558628</v>
      </c>
      <c r="N10" s="345">
        <v>692.73</v>
      </c>
      <c r="O10" s="345">
        <v>88.35</v>
      </c>
      <c r="P10" s="345">
        <v>55.42</v>
      </c>
      <c r="Q10" s="345">
        <v>79.91</v>
      </c>
      <c r="R10" s="346" t="s">
        <v>869</v>
      </c>
    </row>
    <row r="11" spans="2:18" ht="13.5" customHeight="1">
      <c r="B11" s="343">
        <v>4</v>
      </c>
      <c r="C11" s="344" t="s">
        <v>686</v>
      </c>
      <c r="D11" s="305" t="s">
        <v>655</v>
      </c>
      <c r="E11" s="305" t="s">
        <v>867</v>
      </c>
      <c r="F11" s="305" t="s">
        <v>868</v>
      </c>
      <c r="G11" s="345">
        <v>858.28</v>
      </c>
      <c r="H11" s="345">
        <v>32.99</v>
      </c>
      <c r="I11" s="345">
        <v>825.29</v>
      </c>
      <c r="J11" s="223">
        <f t="shared" si="0"/>
        <v>3.5181177242170847</v>
      </c>
      <c r="K11" s="223">
        <f t="shared" si="1"/>
        <v>14.437005887300252</v>
      </c>
      <c r="L11" s="223">
        <f t="shared" si="2"/>
        <v>33.562017080113868</v>
      </c>
      <c r="M11" s="223">
        <f t="shared" si="3"/>
        <v>22.548907103825133</v>
      </c>
      <c r="N11" s="345">
        <v>243.96</v>
      </c>
      <c r="O11" s="345">
        <v>59.45</v>
      </c>
      <c r="P11" s="345">
        <v>24.59</v>
      </c>
      <c r="Q11" s="345">
        <v>36.6</v>
      </c>
      <c r="R11" s="346" t="s">
        <v>869</v>
      </c>
    </row>
    <row r="12" spans="2:18" ht="13.5" customHeight="1">
      <c r="B12" s="343">
        <v>5</v>
      </c>
      <c r="C12" s="344" t="s">
        <v>686</v>
      </c>
      <c r="D12" s="305" t="s">
        <v>655</v>
      </c>
      <c r="E12" s="305" t="s">
        <v>867</v>
      </c>
      <c r="F12" s="305" t="s">
        <v>868</v>
      </c>
      <c r="G12" s="345">
        <v>684.79</v>
      </c>
      <c r="H12" s="345">
        <v>194.36</v>
      </c>
      <c r="I12" s="345">
        <v>490.42999999999995</v>
      </c>
      <c r="J12" s="223">
        <f t="shared" si="0"/>
        <v>0.19274927872774611</v>
      </c>
      <c r="K12" s="223">
        <f t="shared" si="1"/>
        <v>6.0670683086736945</v>
      </c>
      <c r="L12" s="223">
        <f t="shared" si="2"/>
        <v>133.63215258855584</v>
      </c>
      <c r="M12" s="223">
        <f t="shared" si="3"/>
        <v>4.6266981132075466</v>
      </c>
      <c r="N12" s="345">
        <v>3552.75</v>
      </c>
      <c r="O12" s="345">
        <v>112.87</v>
      </c>
      <c r="P12" s="345">
        <v>3.67</v>
      </c>
      <c r="Q12" s="345">
        <v>106</v>
      </c>
      <c r="R12" s="346" t="s">
        <v>869</v>
      </c>
    </row>
    <row r="13" spans="2:18" ht="13.5" customHeight="1">
      <c r="B13" s="343">
        <v>6</v>
      </c>
      <c r="C13" s="344" t="s">
        <v>686</v>
      </c>
      <c r="D13" s="305" t="s">
        <v>655</v>
      </c>
      <c r="E13" s="305" t="s">
        <v>867</v>
      </c>
      <c r="F13" s="305" t="s">
        <v>868</v>
      </c>
      <c r="G13" s="345">
        <v>464.45</v>
      </c>
      <c r="H13" s="345">
        <v>-93.39</v>
      </c>
      <c r="I13" s="345">
        <v>557.84</v>
      </c>
      <c r="J13" s="223">
        <f t="shared" si="0"/>
        <v>0.25256123026058208</v>
      </c>
      <c r="K13" s="223">
        <f t="shared" si="1"/>
        <v>5.7709990059642147</v>
      </c>
      <c r="L13" s="223">
        <f t="shared" si="2"/>
        <v>38.551485832757429</v>
      </c>
      <c r="M13" s="223">
        <f t="shared" si="3"/>
        <v>7.1794079794079799</v>
      </c>
      <c r="N13" s="345">
        <v>1838.96</v>
      </c>
      <c r="O13" s="345">
        <v>80.48</v>
      </c>
      <c r="P13" s="345">
        <v>14.47</v>
      </c>
      <c r="Q13" s="345">
        <v>77.7</v>
      </c>
      <c r="R13" s="346" t="s">
        <v>869</v>
      </c>
    </row>
    <row r="14" spans="2:18" ht="13.5" customHeight="1">
      <c r="B14" s="343">
        <v>7</v>
      </c>
      <c r="C14" s="344" t="s">
        <v>686</v>
      </c>
      <c r="D14" s="305" t="s">
        <v>655</v>
      </c>
      <c r="E14" s="305" t="s">
        <v>867</v>
      </c>
      <c r="F14" s="305" t="s">
        <v>868</v>
      </c>
      <c r="G14" s="345">
        <v>8455.01</v>
      </c>
      <c r="H14" s="345">
        <v>6594</v>
      </c>
      <c r="I14" s="345">
        <v>1861.0100000000002</v>
      </c>
      <c r="J14" s="223">
        <f t="shared" si="0"/>
        <v>0.90167537591980385</v>
      </c>
      <c r="K14" s="223">
        <f t="shared" si="1"/>
        <v>20.179021479713604</v>
      </c>
      <c r="L14" s="223">
        <f t="shared" si="2"/>
        <v>-3.2592119089316993</v>
      </c>
      <c r="M14" s="223">
        <f t="shared" si="3"/>
        <v>-3.9179157894736845</v>
      </c>
      <c r="N14" s="345">
        <v>9377</v>
      </c>
      <c r="O14" s="345">
        <v>419</v>
      </c>
      <c r="P14" s="345">
        <v>-571</v>
      </c>
      <c r="Q14" s="345">
        <v>-475</v>
      </c>
      <c r="R14" s="346" t="s">
        <v>869</v>
      </c>
    </row>
    <row r="15" spans="2:18" ht="13.5" customHeight="1">
      <c r="B15" s="343">
        <v>8</v>
      </c>
      <c r="C15" s="344" t="s">
        <v>686</v>
      </c>
      <c r="D15" s="305" t="s">
        <v>655</v>
      </c>
      <c r="E15" s="305" t="s">
        <v>867</v>
      </c>
      <c r="F15" s="305" t="s">
        <v>868</v>
      </c>
      <c r="G15" s="345">
        <v>77395.850000000006</v>
      </c>
      <c r="H15" s="345">
        <v>13227</v>
      </c>
      <c r="I15" s="345">
        <v>64168.850000000006</v>
      </c>
      <c r="J15" s="223">
        <f t="shared" si="0"/>
        <v>0.60350464739091114</v>
      </c>
      <c r="K15" s="223">
        <f t="shared" si="1"/>
        <v>9.1419619655090951</v>
      </c>
      <c r="L15" s="223">
        <f t="shared" si="2"/>
        <v>14.874559573481688</v>
      </c>
      <c r="M15" s="223">
        <f t="shared" si="3"/>
        <v>7.7658053975553676</v>
      </c>
      <c r="N15" s="345">
        <v>128244</v>
      </c>
      <c r="O15" s="345">
        <v>8466</v>
      </c>
      <c r="P15" s="345">
        <v>4314</v>
      </c>
      <c r="Q15" s="345">
        <v>8263</v>
      </c>
      <c r="R15" s="346" t="s">
        <v>870</v>
      </c>
    </row>
    <row r="16" spans="2:18" ht="13.5" customHeight="1">
      <c r="B16" s="343">
        <v>9</v>
      </c>
      <c r="C16" s="344" t="s">
        <v>686</v>
      </c>
      <c r="D16" s="305" t="s">
        <v>655</v>
      </c>
      <c r="E16" s="305" t="s">
        <v>867</v>
      </c>
      <c r="F16" s="305" t="s">
        <v>868</v>
      </c>
      <c r="G16" s="345">
        <v>227.67</v>
      </c>
      <c r="H16" s="345">
        <v>51.4</v>
      </c>
      <c r="I16" s="345">
        <v>176.26999999999998</v>
      </c>
      <c r="J16" s="223">
        <f t="shared" si="0"/>
        <v>2.4313327637761639</v>
      </c>
      <c r="K16" s="223">
        <f t="shared" si="1"/>
        <v>16.691348973607038</v>
      </c>
      <c r="L16" s="223">
        <f t="shared" si="2"/>
        <v>-21.009535160905838</v>
      </c>
      <c r="M16" s="223">
        <f t="shared" si="3"/>
        <v>-32.049090909090907</v>
      </c>
      <c r="N16" s="345">
        <v>93.64</v>
      </c>
      <c r="O16" s="345">
        <v>13.64</v>
      </c>
      <c r="P16" s="345">
        <v>-8.39</v>
      </c>
      <c r="Q16" s="345">
        <v>-5.5</v>
      </c>
      <c r="R16" s="346" t="s">
        <v>871</v>
      </c>
    </row>
    <row r="17" spans="2:18" ht="13.5" customHeight="1">
      <c r="B17" s="347">
        <v>10</v>
      </c>
      <c r="C17" s="348" t="s">
        <v>686</v>
      </c>
      <c r="D17" s="220" t="s">
        <v>655</v>
      </c>
      <c r="E17" s="220" t="s">
        <v>867</v>
      </c>
      <c r="F17" s="220" t="s">
        <v>868</v>
      </c>
      <c r="G17" s="349">
        <v>2326.38</v>
      </c>
      <c r="H17" s="349">
        <v>856.71</v>
      </c>
      <c r="I17" s="349">
        <v>1469.67</v>
      </c>
      <c r="J17" s="325">
        <f t="shared" si="0"/>
        <v>1.4297356097201224</v>
      </c>
      <c r="K17" s="325">
        <f t="shared" si="1"/>
        <v>12.812579170567826</v>
      </c>
      <c r="L17" s="325">
        <f t="shared" si="2"/>
        <v>24.634093194770369</v>
      </c>
      <c r="M17" s="325">
        <f t="shared" si="3"/>
        <v>12.561282051282053</v>
      </c>
      <c r="N17" s="349">
        <v>1627.14</v>
      </c>
      <c r="O17" s="349">
        <v>181.57</v>
      </c>
      <c r="P17" s="349">
        <v>59.66</v>
      </c>
      <c r="Q17" s="349">
        <v>117</v>
      </c>
      <c r="R17" s="350" t="s">
        <v>872</v>
      </c>
    </row>
    <row r="18" spans="2:18" ht="13.5" customHeight="1">
      <c r="B18" s="66"/>
      <c r="C18" s="351" t="s">
        <v>677</v>
      </c>
      <c r="D18" s="352"/>
      <c r="E18" s="352"/>
      <c r="F18" s="352"/>
      <c r="G18" s="353"/>
      <c r="H18" s="354"/>
      <c r="I18" s="354"/>
      <c r="J18" s="355">
        <f t="shared" ref="J18:M18" si="4">+AVERAGE(J8:J17)</f>
        <v>1.5534796599602598</v>
      </c>
      <c r="K18" s="356">
        <f t="shared" si="4"/>
        <v>12.60677086430629</v>
      </c>
      <c r="L18" s="356">
        <f t="shared" si="4"/>
        <v>34.895942480072748</v>
      </c>
      <c r="M18" s="357">
        <f t="shared" si="4"/>
        <v>10.302569906100429</v>
      </c>
      <c r="N18" s="358"/>
      <c r="O18" s="358"/>
      <c r="P18" s="358"/>
      <c r="Q18" s="358"/>
      <c r="R18" s="358"/>
    </row>
    <row r="19" spans="2:18" ht="13.5" customHeight="1">
      <c r="B19" s="15"/>
      <c r="C19" s="359" t="s">
        <v>678</v>
      </c>
      <c r="D19" s="319"/>
      <c r="E19" s="319"/>
      <c r="F19" s="319"/>
      <c r="G19" s="354"/>
      <c r="H19" s="354"/>
      <c r="I19" s="354"/>
      <c r="J19" s="360">
        <f t="shared" ref="J19:M19" si="5">+MEDIAN(J8:J17)</f>
        <v>1.1657054928199631</v>
      </c>
      <c r="K19" s="321">
        <f t="shared" si="5"/>
        <v>13.624792528934039</v>
      </c>
      <c r="L19" s="321">
        <f t="shared" si="5"/>
        <v>25.247667311928669</v>
      </c>
      <c r="M19" s="361">
        <f t="shared" si="5"/>
        <v>10.163543724418711</v>
      </c>
      <c r="N19" s="358"/>
      <c r="O19" s="358"/>
      <c r="P19" s="358"/>
      <c r="Q19" s="358"/>
      <c r="R19" s="358"/>
    </row>
    <row r="20" spans="2:18" ht="13.5" customHeight="1">
      <c r="C20" s="359" t="s">
        <v>1</v>
      </c>
      <c r="D20" s="319"/>
      <c r="E20" s="319"/>
      <c r="F20" s="319"/>
      <c r="G20" s="354"/>
      <c r="H20" s="354"/>
      <c r="I20" s="354"/>
      <c r="J20" s="360">
        <f t="shared" ref="J20:M20" si="6">+MIN(J8:J17)</f>
        <v>0.16047226007365814</v>
      </c>
      <c r="K20" s="321">
        <f t="shared" si="6"/>
        <v>5.7709990059642147</v>
      </c>
      <c r="L20" s="321">
        <f t="shared" si="6"/>
        <v>-21.009535160905838</v>
      </c>
      <c r="M20" s="361">
        <f t="shared" si="6"/>
        <v>-32.049090909090907</v>
      </c>
      <c r="N20" s="358"/>
      <c r="O20" s="358"/>
      <c r="P20" s="358"/>
      <c r="Q20" s="358"/>
      <c r="R20" s="358"/>
    </row>
    <row r="21" spans="2:18" ht="13.5" customHeight="1">
      <c r="C21" s="362" t="s">
        <v>3</v>
      </c>
      <c r="D21" s="319"/>
      <c r="E21" s="319"/>
      <c r="F21" s="319"/>
      <c r="G21" s="354"/>
      <c r="H21" s="354"/>
      <c r="I21" s="354"/>
      <c r="J21" s="363">
        <f t="shared" ref="J21:M21" si="7">+MAX(J8:J17)</f>
        <v>4.1092904996367743</v>
      </c>
      <c r="K21" s="364">
        <f t="shared" si="7"/>
        <v>20.179021479713604</v>
      </c>
      <c r="L21" s="364">
        <f t="shared" si="7"/>
        <v>133.63215258855584</v>
      </c>
      <c r="M21" s="365">
        <f t="shared" si="7"/>
        <v>52.508333333333333</v>
      </c>
      <c r="N21" s="358"/>
      <c r="O21" s="358"/>
      <c r="P21" s="358"/>
      <c r="Q21" s="358"/>
      <c r="R21" s="358"/>
    </row>
    <row r="22" spans="2:18" ht="13.5" customHeight="1"/>
    <row r="23" spans="2:18" ht="13.5" customHeight="1">
      <c r="B23" s="422" t="s">
        <v>1129</v>
      </c>
      <c r="C23" s="422"/>
    </row>
    <row r="24" spans="2:18" ht="13.5" customHeight="1"/>
    <row r="25" spans="2:18" ht="13.5" customHeight="1">
      <c r="C25" s="474"/>
      <c r="D25" s="474"/>
      <c r="E25" s="474"/>
      <c r="F25" s="474"/>
      <c r="G25" s="474"/>
      <c r="H25" s="474"/>
      <c r="I25" s="474"/>
      <c r="J25" s="474"/>
      <c r="K25" s="474"/>
      <c r="L25" s="474"/>
      <c r="M25" s="474"/>
      <c r="N25" s="474"/>
      <c r="O25" s="474"/>
      <c r="P25" s="474"/>
      <c r="Q25" s="474"/>
      <c r="R25" s="474"/>
    </row>
    <row r="26" spans="2:18" ht="13.5" customHeight="1">
      <c r="C26" s="696"/>
      <c r="D26" s="696"/>
      <c r="E26" s="696"/>
      <c r="F26" s="697" t="s">
        <v>775</v>
      </c>
      <c r="G26" s="697" t="s">
        <v>1095</v>
      </c>
      <c r="H26" s="697" t="s">
        <v>1096</v>
      </c>
      <c r="I26" s="697" t="s">
        <v>1097</v>
      </c>
      <c r="J26" s="697" t="s">
        <v>669</v>
      </c>
      <c r="K26" s="697" t="s">
        <v>1098</v>
      </c>
      <c r="L26" s="698" t="s">
        <v>777</v>
      </c>
      <c r="M26" s="699" t="s">
        <v>267</v>
      </c>
      <c r="N26" s="700"/>
      <c r="O26" s="700"/>
      <c r="P26" s="699" t="s">
        <v>1099</v>
      </c>
      <c r="Q26" s="700"/>
      <c r="R26" s="700"/>
    </row>
    <row r="27" spans="2:18" ht="13.5" customHeight="1">
      <c r="C27" s="701" t="s">
        <v>686</v>
      </c>
      <c r="D27" s="701" t="s">
        <v>862</v>
      </c>
      <c r="E27" s="701" t="s">
        <v>863</v>
      </c>
      <c r="F27" s="702" t="s">
        <v>785</v>
      </c>
      <c r="G27" s="702" t="s">
        <v>785</v>
      </c>
      <c r="H27" s="702" t="s">
        <v>1100</v>
      </c>
      <c r="I27" s="703" t="s">
        <v>1101</v>
      </c>
      <c r="J27" s="703" t="s">
        <v>1102</v>
      </c>
      <c r="K27" s="703" t="s">
        <v>657</v>
      </c>
      <c r="L27" s="698" t="s">
        <v>865</v>
      </c>
      <c r="M27" s="704">
        <v>2022</v>
      </c>
      <c r="N27" s="705">
        <v>2023</v>
      </c>
      <c r="O27" s="705">
        <v>2024</v>
      </c>
      <c r="P27" s="704">
        <v>2022</v>
      </c>
      <c r="Q27" s="705">
        <v>2023</v>
      </c>
      <c r="R27" s="705">
        <v>2024</v>
      </c>
    </row>
    <row r="28" spans="2:18" ht="13.5" customHeight="1">
      <c r="C28" s="706" t="s">
        <v>1103</v>
      </c>
      <c r="D28" s="707"/>
      <c r="E28" s="707"/>
      <c r="F28" s="708" t="s">
        <v>1104</v>
      </c>
      <c r="G28" s="708" t="s">
        <v>1104</v>
      </c>
      <c r="H28" s="707"/>
      <c r="I28" s="708" t="s">
        <v>1105</v>
      </c>
      <c r="J28" s="707"/>
      <c r="K28" s="707"/>
      <c r="L28" s="707"/>
      <c r="M28" s="707"/>
      <c r="N28" s="707"/>
      <c r="O28" s="707"/>
      <c r="P28" s="709" t="s">
        <v>1106</v>
      </c>
      <c r="Q28" s="709" t="s">
        <v>1106</v>
      </c>
      <c r="R28" s="709" t="s">
        <v>1106</v>
      </c>
    </row>
    <row r="29" spans="2:18" ht="13.5" customHeight="1">
      <c r="C29" s="710">
        <v>44631</v>
      </c>
      <c r="D29" s="711" t="s">
        <v>1107</v>
      </c>
      <c r="E29" s="711" t="s">
        <v>1108</v>
      </c>
      <c r="F29" s="712">
        <v>25.5</v>
      </c>
      <c r="G29" s="712">
        <v>31.11</v>
      </c>
      <c r="H29" s="713">
        <f>G29/F29-1</f>
        <v>0.21999999999999997</v>
      </c>
      <c r="I29" s="714">
        <v>129</v>
      </c>
      <c r="J29" s="715">
        <f>I29*G29</f>
        <v>4013.19</v>
      </c>
      <c r="K29" s="714">
        <v>2528.3096999999998</v>
      </c>
      <c r="L29" s="716">
        <f>J29+K29</f>
        <v>6541.4997000000003</v>
      </c>
      <c r="M29" s="717">
        <v>485</v>
      </c>
      <c r="N29" s="717">
        <v>509.25</v>
      </c>
      <c r="O29" s="717">
        <v>534.71249999999998</v>
      </c>
      <c r="P29" s="718">
        <f t="shared" ref="P29:P38" si="8">IFERROR($L29/M29,"NA")</f>
        <v>13.487628247422681</v>
      </c>
      <c r="Q29" s="718">
        <f t="shared" ref="Q29:Q38" si="9">IFERROR($L29/N29,"NA")</f>
        <v>12.845360235640648</v>
      </c>
      <c r="R29" s="718">
        <f t="shared" ref="R29:R38" si="10">IFERROR($L29/O29,"NA")</f>
        <v>12.233676414895857</v>
      </c>
    </row>
    <row r="30" spans="2:18" ht="13.5" customHeight="1">
      <c r="C30" s="710">
        <v>44626</v>
      </c>
      <c r="D30" s="711" t="s">
        <v>1109</v>
      </c>
      <c r="E30" s="711" t="s">
        <v>1110</v>
      </c>
      <c r="F30" s="712">
        <v>37.25</v>
      </c>
      <c r="G30" s="712">
        <v>46.56</v>
      </c>
      <c r="H30" s="713">
        <f t="shared" ref="H30:H38" si="11">G30/F30-1</f>
        <v>0.24993288590604035</v>
      </c>
      <c r="I30" s="714">
        <v>568</v>
      </c>
      <c r="J30" s="715">
        <f t="shared" ref="J30:J38" si="12">I30*G30</f>
        <v>26446.080000000002</v>
      </c>
      <c r="K30" s="714">
        <v>18247.7952</v>
      </c>
      <c r="L30" s="716">
        <f t="shared" ref="L30:L38" si="13">J30+K30</f>
        <v>44693.875200000002</v>
      </c>
      <c r="M30" s="717">
        <v>4382</v>
      </c>
      <c r="N30" s="717">
        <v>4688.7400000000007</v>
      </c>
      <c r="O30" s="717">
        <v>5063.8392000000013</v>
      </c>
      <c r="P30" s="718">
        <f t="shared" si="8"/>
        <v>10.199423824737563</v>
      </c>
      <c r="Q30" s="718">
        <f t="shared" si="9"/>
        <v>9.5321717988201513</v>
      </c>
      <c r="R30" s="718">
        <f t="shared" si="10"/>
        <v>8.8260849989075467</v>
      </c>
    </row>
    <row r="31" spans="2:18" ht="13.5" customHeight="1">
      <c r="C31" s="710">
        <v>44456</v>
      </c>
      <c r="D31" s="711" t="s">
        <v>1111</v>
      </c>
      <c r="E31" s="711" t="s">
        <v>1112</v>
      </c>
      <c r="F31" s="712">
        <v>16.8</v>
      </c>
      <c r="G31" s="712">
        <v>21.17</v>
      </c>
      <c r="H31" s="713">
        <f t="shared" si="11"/>
        <v>0.26011904761904758</v>
      </c>
      <c r="I31" s="714">
        <v>688</v>
      </c>
      <c r="J31" s="715">
        <f t="shared" si="12"/>
        <v>14564.960000000001</v>
      </c>
      <c r="K31" s="714">
        <v>9758.5231999999996</v>
      </c>
      <c r="L31" s="716">
        <f t="shared" si="13"/>
        <v>24323.483200000002</v>
      </c>
      <c r="M31" s="717">
        <v>1622</v>
      </c>
      <c r="N31" s="717">
        <v>1784.2</v>
      </c>
      <c r="O31" s="717">
        <v>1891.2520000000002</v>
      </c>
      <c r="P31" s="718">
        <f t="shared" si="8"/>
        <v>14.995982244143034</v>
      </c>
      <c r="Q31" s="718">
        <f t="shared" si="9"/>
        <v>13.632711131039121</v>
      </c>
      <c r="R31" s="718">
        <f t="shared" si="10"/>
        <v>12.86104823682936</v>
      </c>
    </row>
    <row r="32" spans="2:18" ht="13.5" customHeight="1">
      <c r="C32" s="710">
        <v>44148</v>
      </c>
      <c r="D32" s="711" t="s">
        <v>1113</v>
      </c>
      <c r="E32" s="711" t="s">
        <v>1114</v>
      </c>
      <c r="F32" s="712">
        <v>31.11</v>
      </c>
      <c r="G32" s="712">
        <v>37.33</v>
      </c>
      <c r="H32" s="713">
        <f t="shared" si="11"/>
        <v>0.19993571198971383</v>
      </c>
      <c r="I32" s="714">
        <v>1429</v>
      </c>
      <c r="J32" s="715">
        <f t="shared" si="12"/>
        <v>53344.57</v>
      </c>
      <c r="K32" s="714">
        <v>34673.970499999996</v>
      </c>
      <c r="L32" s="716">
        <f t="shared" si="13"/>
        <v>88018.540500000003</v>
      </c>
      <c r="M32" s="717">
        <v>8075</v>
      </c>
      <c r="N32" s="717">
        <v>8882.5</v>
      </c>
      <c r="O32" s="717">
        <v>9681.9250000000011</v>
      </c>
      <c r="P32" s="718">
        <f t="shared" si="8"/>
        <v>10.900128854489164</v>
      </c>
      <c r="Q32" s="718">
        <f t="shared" si="9"/>
        <v>9.9092080495356036</v>
      </c>
      <c r="R32" s="718">
        <f t="shared" si="10"/>
        <v>9.0910165592069756</v>
      </c>
    </row>
    <row r="33" spans="3:18" ht="13.5" customHeight="1">
      <c r="C33" s="710">
        <v>44056</v>
      </c>
      <c r="D33" s="711" t="s">
        <v>1115</v>
      </c>
      <c r="E33" s="711" t="s">
        <v>1116</v>
      </c>
      <c r="F33" s="712">
        <v>29.29</v>
      </c>
      <c r="G33" s="712">
        <v>37.200000000000003</v>
      </c>
      <c r="H33" s="713">
        <f t="shared" si="11"/>
        <v>0.27005804028678737</v>
      </c>
      <c r="I33" s="714">
        <v>1198</v>
      </c>
      <c r="J33" s="715">
        <f t="shared" si="12"/>
        <v>44565.600000000006</v>
      </c>
      <c r="K33" s="714">
        <v>27630.672000000002</v>
      </c>
      <c r="L33" s="716">
        <f t="shared" si="13"/>
        <v>72196.272000000012</v>
      </c>
      <c r="M33" s="717">
        <v>4512</v>
      </c>
      <c r="N33" s="717">
        <v>4918.08</v>
      </c>
      <c r="O33" s="717">
        <v>5311.5264000000006</v>
      </c>
      <c r="P33" s="718">
        <f t="shared" si="8"/>
        <v>16.000946808510641</v>
      </c>
      <c r="Q33" s="718">
        <f t="shared" si="9"/>
        <v>14.679767714229946</v>
      </c>
      <c r="R33" s="718">
        <f t="shared" si="10"/>
        <v>13.592377513175874</v>
      </c>
    </row>
    <row r="34" spans="3:18" ht="13.5" customHeight="1">
      <c r="C34" s="710">
        <v>43952</v>
      </c>
      <c r="D34" s="711" t="s">
        <v>1117</v>
      </c>
      <c r="E34" s="711" t="s">
        <v>1118</v>
      </c>
      <c r="F34" s="712">
        <v>12.34</v>
      </c>
      <c r="G34" s="712">
        <v>15.3</v>
      </c>
      <c r="H34" s="713">
        <f t="shared" si="11"/>
        <v>0.23987034035656407</v>
      </c>
      <c r="I34" s="714">
        <v>934</v>
      </c>
      <c r="J34" s="715">
        <f t="shared" si="12"/>
        <v>14290.2</v>
      </c>
      <c r="K34" s="714">
        <v>9145.728000000001</v>
      </c>
      <c r="L34" s="716">
        <f t="shared" si="13"/>
        <v>23435.928</v>
      </c>
      <c r="M34" s="717">
        <v>2092</v>
      </c>
      <c r="N34" s="717">
        <v>2280.2800000000002</v>
      </c>
      <c r="O34" s="717">
        <v>2485.5052000000005</v>
      </c>
      <c r="P34" s="718">
        <f t="shared" si="8"/>
        <v>11.202642447418738</v>
      </c>
      <c r="Q34" s="718">
        <f t="shared" si="9"/>
        <v>10.277653621485079</v>
      </c>
      <c r="R34" s="718">
        <f t="shared" si="10"/>
        <v>9.4290400197110813</v>
      </c>
    </row>
    <row r="35" spans="3:18" ht="13.5" customHeight="1">
      <c r="C35" s="710">
        <v>44091</v>
      </c>
      <c r="D35" s="711" t="s">
        <v>1119</v>
      </c>
      <c r="E35" s="711" t="s">
        <v>1120</v>
      </c>
      <c r="F35" s="712">
        <v>9</v>
      </c>
      <c r="G35" s="712">
        <v>8.75</v>
      </c>
      <c r="H35" s="713">
        <f t="shared" si="11"/>
        <v>-2.777777777777779E-2</v>
      </c>
      <c r="I35" s="714">
        <v>156</v>
      </c>
      <c r="J35" s="715">
        <f t="shared" si="12"/>
        <v>1365</v>
      </c>
      <c r="K35" s="714">
        <v>859.95</v>
      </c>
      <c r="L35" s="716">
        <f t="shared" si="13"/>
        <v>2224.9499999999998</v>
      </c>
      <c r="M35" s="717">
        <v>371</v>
      </c>
      <c r="N35" s="717">
        <v>404.39000000000004</v>
      </c>
      <c r="O35" s="717">
        <v>424.60950000000008</v>
      </c>
      <c r="P35" s="718">
        <f t="shared" si="8"/>
        <v>5.9971698113207541</v>
      </c>
      <c r="Q35" s="718">
        <f t="shared" si="9"/>
        <v>5.501990652587847</v>
      </c>
      <c r="R35" s="718">
        <f t="shared" si="10"/>
        <v>5.2399910977027115</v>
      </c>
    </row>
    <row r="36" spans="3:18" ht="13.5" customHeight="1">
      <c r="C36" s="710">
        <v>42264</v>
      </c>
      <c r="D36" s="711" t="s">
        <v>1119</v>
      </c>
      <c r="E36" s="711" t="s">
        <v>1121</v>
      </c>
      <c r="F36" s="712">
        <v>23.82</v>
      </c>
      <c r="G36" s="712">
        <v>30.489599999999999</v>
      </c>
      <c r="H36" s="713">
        <f t="shared" si="11"/>
        <v>0.28000000000000003</v>
      </c>
      <c r="I36" s="714">
        <v>1219</v>
      </c>
      <c r="J36" s="715">
        <f t="shared" si="12"/>
        <v>37166.822399999997</v>
      </c>
      <c r="K36" s="714">
        <v>25273.439231999997</v>
      </c>
      <c r="L36" s="716">
        <f t="shared" si="13"/>
        <v>62440.261631999994</v>
      </c>
      <c r="M36" s="717">
        <v>4995</v>
      </c>
      <c r="N36" s="717">
        <v>5144.8500000000004</v>
      </c>
      <c r="O36" s="717">
        <v>5299.1955000000007</v>
      </c>
      <c r="P36" s="718">
        <f t="shared" si="8"/>
        <v>12.500552879279278</v>
      </c>
      <c r="Q36" s="718">
        <f t="shared" si="9"/>
        <v>12.136459106096385</v>
      </c>
      <c r="R36" s="718">
        <f t="shared" si="10"/>
        <v>11.78297000591882</v>
      </c>
    </row>
    <row r="37" spans="3:18" ht="13.5" customHeight="1">
      <c r="C37" s="710">
        <v>41956</v>
      </c>
      <c r="D37" s="711" t="s">
        <v>1122</v>
      </c>
      <c r="E37" s="711" t="s">
        <v>1123</v>
      </c>
      <c r="F37" s="712">
        <v>60</v>
      </c>
      <c r="G37" s="712">
        <v>72.5</v>
      </c>
      <c r="H37" s="713">
        <f t="shared" si="11"/>
        <v>0.20833333333333326</v>
      </c>
      <c r="I37" s="714">
        <v>141</v>
      </c>
      <c r="J37" s="715">
        <f t="shared" si="12"/>
        <v>10222.5</v>
      </c>
      <c r="K37" s="714">
        <v>6337.95</v>
      </c>
      <c r="L37" s="716">
        <f t="shared" si="13"/>
        <v>16560.45</v>
      </c>
      <c r="M37" s="717">
        <v>974</v>
      </c>
      <c r="N37" s="717">
        <v>1071.4000000000001</v>
      </c>
      <c r="O37" s="717">
        <v>1178.5400000000002</v>
      </c>
      <c r="P37" s="718">
        <f t="shared" si="8"/>
        <v>17.00251540041068</v>
      </c>
      <c r="Q37" s="718">
        <f t="shared" si="9"/>
        <v>15.456832182191524</v>
      </c>
      <c r="R37" s="718">
        <f t="shared" si="10"/>
        <v>14.051665620174113</v>
      </c>
    </row>
    <row r="38" spans="3:18" ht="13.5" customHeight="1">
      <c r="C38" s="710">
        <v>41864</v>
      </c>
      <c r="D38" s="711" t="s">
        <v>1124</v>
      </c>
      <c r="E38" s="711" t="s">
        <v>1125</v>
      </c>
      <c r="F38" s="712">
        <v>14</v>
      </c>
      <c r="G38" s="712">
        <v>17.36</v>
      </c>
      <c r="H38" s="713">
        <f t="shared" si="11"/>
        <v>0.24</v>
      </c>
      <c r="I38" s="714">
        <v>1377</v>
      </c>
      <c r="J38" s="715">
        <f t="shared" si="12"/>
        <v>23904.719999999998</v>
      </c>
      <c r="K38" s="714">
        <v>14342.831999999999</v>
      </c>
      <c r="L38" s="716">
        <f t="shared" si="13"/>
        <v>38247.551999999996</v>
      </c>
      <c r="M38" s="717">
        <v>2318</v>
      </c>
      <c r="N38" s="717">
        <v>2503.44</v>
      </c>
      <c r="O38" s="717">
        <v>2728.7496000000001</v>
      </c>
      <c r="P38" s="718">
        <f t="shared" si="8"/>
        <v>16.500238136324416</v>
      </c>
      <c r="Q38" s="718">
        <f t="shared" si="9"/>
        <v>15.277998274374459</v>
      </c>
      <c r="R38" s="718">
        <f t="shared" si="10"/>
        <v>14.016512178325192</v>
      </c>
    </row>
    <row r="39" spans="3:18" ht="13.5" customHeight="1">
      <c r="C39" s="710"/>
      <c r="D39" s="719"/>
      <c r="E39" s="719"/>
      <c r="F39" s="719"/>
      <c r="G39" s="719"/>
      <c r="H39" s="719"/>
      <c r="I39" s="719"/>
      <c r="J39" s="719"/>
      <c r="K39" s="719"/>
      <c r="L39" s="720"/>
      <c r="M39" s="717"/>
      <c r="N39" s="717"/>
      <c r="O39" s="717"/>
      <c r="P39" s="718"/>
      <c r="Q39" s="718"/>
      <c r="R39" s="718"/>
    </row>
    <row r="40" spans="3:18" ht="13.5" customHeight="1">
      <c r="C40" s="710"/>
      <c r="D40" s="719"/>
      <c r="E40" s="719"/>
      <c r="F40" s="719"/>
      <c r="G40" s="719"/>
      <c r="H40" s="719"/>
      <c r="I40" s="719"/>
      <c r="J40" s="719"/>
      <c r="K40" s="719"/>
      <c r="L40" s="720"/>
      <c r="M40" s="717"/>
      <c r="N40" s="717"/>
      <c r="O40" s="717"/>
      <c r="P40" s="718"/>
      <c r="Q40" s="718"/>
      <c r="R40" s="718"/>
    </row>
    <row r="41" spans="3:18" ht="13.5" customHeight="1">
      <c r="C41" s="721" t="s">
        <v>677</v>
      </c>
      <c r="D41" s="722"/>
      <c r="E41" s="723"/>
      <c r="F41" s="723"/>
      <c r="G41" s="723"/>
      <c r="H41" s="724"/>
      <c r="I41" s="724"/>
      <c r="J41" s="724"/>
      <c r="K41" s="724"/>
      <c r="L41" s="725"/>
      <c r="M41" s="474"/>
      <c r="N41" s="726"/>
      <c r="O41" s="726"/>
      <c r="P41" s="718">
        <f>+AVERAGE(O$49:O$54)</f>
        <v>0</v>
      </c>
      <c r="Q41" s="718" t="e">
        <f>+AVERAGE(P$49:P$54)</f>
        <v>#DIV/0!</v>
      </c>
      <c r="R41" s="718">
        <f>+AVERAGE(Q$49:Q$54)</f>
        <v>1</v>
      </c>
    </row>
    <row r="42" spans="3:18" ht="13.5" customHeight="1">
      <c r="C42" s="721" t="s">
        <v>678</v>
      </c>
      <c r="D42" s="722"/>
      <c r="E42" s="723"/>
      <c r="F42" s="723"/>
      <c r="G42" s="723"/>
      <c r="H42" s="724"/>
      <c r="I42" s="724"/>
      <c r="J42" s="724"/>
      <c r="K42" s="724"/>
      <c r="L42" s="725"/>
      <c r="M42" s="725"/>
      <c r="N42" s="726"/>
      <c r="O42" s="726"/>
      <c r="P42" s="718">
        <f>+MEDIAN(O$49:O$54)</f>
        <v>0</v>
      </c>
      <c r="Q42" s="718" t="e">
        <f>+MEDIAN(P$49:P$54)</f>
        <v>#NUM!</v>
      </c>
      <c r="R42" s="718">
        <f>+MEDIAN(Q$49:Q$54)</f>
        <v>1</v>
      </c>
    </row>
    <row r="43" spans="3:18" ht="13.5" customHeight="1">
      <c r="C43" s="727" t="s">
        <v>1126</v>
      </c>
      <c r="D43" s="728"/>
      <c r="E43" s="723"/>
      <c r="F43" s="723"/>
      <c r="G43" s="723"/>
      <c r="H43" s="724"/>
      <c r="I43" s="724"/>
      <c r="J43" s="724"/>
      <c r="K43" s="724"/>
      <c r="L43" s="725"/>
      <c r="M43" s="725"/>
      <c r="N43" s="723"/>
      <c r="O43" s="729"/>
      <c r="P43" s="718">
        <f>+MAX(O$49:O$54)</f>
        <v>0</v>
      </c>
      <c r="Q43" s="718">
        <f>+MAX(P$49:P$54)</f>
        <v>0</v>
      </c>
      <c r="R43" s="718">
        <f>+MAX(Q$49:Q$54)</f>
        <v>1</v>
      </c>
    </row>
    <row r="44" spans="3:18" ht="13.5" customHeight="1">
      <c r="C44" s="727" t="s">
        <v>1127</v>
      </c>
      <c r="D44" s="728"/>
      <c r="E44" s="723"/>
      <c r="F44" s="723"/>
      <c r="G44" s="723"/>
      <c r="H44" s="724"/>
      <c r="I44" s="724"/>
      <c r="J44" s="724"/>
      <c r="K44" s="724"/>
      <c r="L44" s="725"/>
      <c r="M44" s="725"/>
      <c r="N44" s="723"/>
      <c r="O44" s="729"/>
      <c r="P44" s="718">
        <f>+MIN(O$49:O$54)</f>
        <v>0</v>
      </c>
      <c r="Q44" s="718">
        <f>+MIN(P$49:P$54)</f>
        <v>0</v>
      </c>
      <c r="R44" s="718">
        <f>+MIN(Q$49:Q$54)</f>
        <v>1</v>
      </c>
    </row>
    <row r="45" spans="3:18" ht="13.5" customHeight="1">
      <c r="C45" s="710"/>
      <c r="D45" s="719"/>
      <c r="E45" s="719"/>
      <c r="F45" s="719"/>
      <c r="G45" s="719"/>
      <c r="H45" s="719"/>
      <c r="I45" s="719"/>
      <c r="J45" s="719"/>
      <c r="K45" s="719"/>
      <c r="L45" s="720"/>
      <c r="M45" s="717"/>
      <c r="N45" s="717"/>
      <c r="O45" s="717"/>
      <c r="P45" s="718"/>
      <c r="Q45" s="718"/>
      <c r="R45" s="718"/>
    </row>
    <row r="46" spans="3:18" ht="13.5" customHeight="1">
      <c r="C46" s="730"/>
      <c r="D46" s="730"/>
      <c r="E46" s="730"/>
      <c r="F46" s="730"/>
      <c r="G46" s="730"/>
      <c r="H46" s="730"/>
      <c r="I46" s="730"/>
      <c r="J46" s="730"/>
      <c r="K46" s="730"/>
      <c r="L46" s="730"/>
      <c r="M46" s="730"/>
      <c r="N46" s="730"/>
      <c r="O46" s="731"/>
      <c r="P46" s="731"/>
      <c r="Q46" s="731"/>
      <c r="R46" s="731"/>
    </row>
    <row r="47" spans="3:18" ht="13.5" customHeight="1">
      <c r="C47" s="732" t="s">
        <v>1128</v>
      </c>
      <c r="D47" s="722"/>
      <c r="E47" s="723"/>
      <c r="F47" s="723"/>
      <c r="G47" s="723"/>
      <c r="H47" s="723"/>
      <c r="I47" s="723"/>
      <c r="J47" s="723"/>
      <c r="K47" s="723"/>
      <c r="L47" s="723"/>
      <c r="M47" s="723"/>
      <c r="N47" s="726"/>
      <c r="O47" s="726"/>
      <c r="P47" s="733"/>
      <c r="Q47" s="718"/>
      <c r="R47" s="718"/>
    </row>
    <row r="48" spans="3:18" ht="13.5" customHeight="1">
      <c r="C48" s="727" t="str">
        <f>$M$47&amp;"A EV/EBITDA"</f>
        <v>A EV/EBITDA</v>
      </c>
      <c r="D48" s="722"/>
      <c r="E48" s="723"/>
      <c r="F48" s="734">
        <v>0</v>
      </c>
      <c r="G48" s="735" t="e">
        <f>J48/I48</f>
        <v>#DIV/0!</v>
      </c>
      <c r="H48" s="736" t="e">
        <f>G48/F48-1</f>
        <v>#DIV/0!</v>
      </c>
      <c r="I48" s="737">
        <v>0</v>
      </c>
      <c r="J48" s="738">
        <f>L48-M48</f>
        <v>0</v>
      </c>
      <c r="K48" s="737">
        <v>0</v>
      </c>
      <c r="L48" s="738">
        <f>M48*P48</f>
        <v>0</v>
      </c>
      <c r="M48" s="739">
        <v>0</v>
      </c>
      <c r="N48" s="474"/>
      <c r="O48" s="474"/>
      <c r="P48" s="718">
        <v>1</v>
      </c>
      <c r="Q48" s="718"/>
      <c r="R48" s="718"/>
    </row>
    <row r="49" spans="2:18" ht="13.5" customHeight="1">
      <c r="C49" s="727" t="str">
        <f>$N$47&amp;"F EV/EBITDA"</f>
        <v>F EV/EBITDA</v>
      </c>
      <c r="D49" s="722"/>
      <c r="E49" s="723"/>
      <c r="F49" s="734">
        <v>0</v>
      </c>
      <c r="G49" s="735" t="e">
        <f>J49/I49</f>
        <v>#DIV/0!</v>
      </c>
      <c r="H49" s="736" t="e">
        <f>G49/F49-1</f>
        <v>#DIV/0!</v>
      </c>
      <c r="I49" s="738">
        <v>0</v>
      </c>
      <c r="J49" s="738">
        <f>L49-N49</f>
        <v>0</v>
      </c>
      <c r="K49" s="738">
        <v>0</v>
      </c>
      <c r="L49" s="738">
        <f>N49*Q49</f>
        <v>0</v>
      </c>
      <c r="M49" s="723"/>
      <c r="N49" s="739">
        <v>0</v>
      </c>
      <c r="O49" s="726"/>
      <c r="P49" s="733"/>
      <c r="Q49" s="718">
        <v>1</v>
      </c>
      <c r="R49" s="718"/>
    </row>
    <row r="50" spans="2:18" ht="13.5" customHeight="1">
      <c r="C50" s="727" t="str">
        <f>$O$47&amp;"F EV/EBITDA"</f>
        <v>F EV/EBITDA</v>
      </c>
      <c r="D50" s="722"/>
      <c r="E50" s="723"/>
      <c r="F50" s="734">
        <v>0</v>
      </c>
      <c r="G50" s="735" t="e">
        <f>J50/I50</f>
        <v>#DIV/0!</v>
      </c>
      <c r="H50" s="736" t="e">
        <f>G50/F50-1</f>
        <v>#DIV/0!</v>
      </c>
      <c r="I50" s="738">
        <v>0</v>
      </c>
      <c r="J50" s="738">
        <f>L50-O50</f>
        <v>0</v>
      </c>
      <c r="K50" s="738">
        <v>0</v>
      </c>
      <c r="L50" s="738">
        <f>O50*R50</f>
        <v>0</v>
      </c>
      <c r="M50" s="723"/>
      <c r="N50" s="726"/>
      <c r="O50" s="739">
        <v>0</v>
      </c>
      <c r="P50" s="733"/>
      <c r="Q50" s="718"/>
      <c r="R50" s="718">
        <v>3</v>
      </c>
    </row>
    <row r="51" spans="2:18" ht="13.5" customHeight="1">
      <c r="C51" s="474"/>
      <c r="D51" s="474"/>
      <c r="E51" s="474"/>
      <c r="F51" s="474"/>
      <c r="G51" s="474"/>
      <c r="H51" s="474"/>
      <c r="I51" s="474"/>
      <c r="J51" s="474"/>
      <c r="K51" s="474"/>
      <c r="L51" s="474"/>
      <c r="M51" s="474"/>
      <c r="N51" s="474"/>
      <c r="O51" s="474"/>
      <c r="P51" s="474"/>
      <c r="Q51" s="474"/>
      <c r="R51" s="474"/>
    </row>
    <row r="52" spans="2:18" ht="13.5" customHeight="1">
      <c r="B52" s="474"/>
      <c r="C52" s="474"/>
      <c r="D52" s="474"/>
      <c r="E52" s="474"/>
      <c r="F52" s="474"/>
      <c r="G52" s="474"/>
      <c r="H52" s="474"/>
      <c r="I52" s="474"/>
      <c r="J52" s="474"/>
      <c r="K52" s="474"/>
      <c r="L52" s="474"/>
      <c r="M52" s="474"/>
      <c r="N52" s="474"/>
      <c r="O52" s="474"/>
      <c r="P52" s="474"/>
      <c r="Q52" s="474"/>
    </row>
    <row r="53" spans="2:18" ht="13.5" customHeight="1"/>
    <row r="54" spans="2:18" ht="13.5" customHeight="1"/>
    <row r="55" spans="2:18" ht="13.5" customHeight="1"/>
    <row r="56" spans="2:18" ht="13.5" customHeight="1"/>
    <row r="57" spans="2:18" ht="13.5" customHeight="1"/>
    <row r="58" spans="2:18" ht="13.5" customHeight="1"/>
    <row r="59" spans="2:18" ht="13.5" customHeight="1"/>
    <row r="60" spans="2:18" ht="13.5" customHeight="1"/>
    <row r="61" spans="2:18" ht="13.5" customHeight="1"/>
    <row r="62" spans="2:18" ht="13.5" customHeight="1"/>
    <row r="63" spans="2:18" ht="13.5" customHeight="1"/>
    <row r="64" spans="2:18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J4:M4"/>
    <mergeCell ref="N4:Q4"/>
  </mergeCells>
  <pageMargins left="0.7" right="0.7" top="0.75" bottom="0.75" header="0" footer="0"/>
  <pageSetup scale="34" orientation="portrait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B1:T1000"/>
  <sheetViews>
    <sheetView showGridLines="0" workbookViewId="0"/>
  </sheetViews>
  <sheetFormatPr defaultColWidth="12.5703125" defaultRowHeight="15" customHeight="1"/>
  <cols>
    <col min="1" max="1" width="8.28515625" customWidth="1"/>
    <col min="2" max="2" width="33.85546875" customWidth="1"/>
    <col min="3" max="12" width="11.140625" customWidth="1"/>
    <col min="13" max="13" width="39.7109375" customWidth="1"/>
    <col min="14" max="14" width="6.28515625" customWidth="1"/>
    <col min="15" max="15" width="6.7109375" customWidth="1"/>
    <col min="16" max="17" width="6.28515625" customWidth="1"/>
    <col min="18" max="20" width="8.5703125" customWidth="1"/>
  </cols>
  <sheetData>
    <row r="1" spans="2:20" ht="18.75" customHeight="1"/>
    <row r="2" spans="2:20" ht="14.25" customHeight="1">
      <c r="B2" s="1" t="s">
        <v>873</v>
      </c>
    </row>
    <row r="3" spans="2:20" ht="23.25" customHeight="1">
      <c r="C3" s="64">
        <v>2023</v>
      </c>
      <c r="D3" s="64">
        <f t="shared" ref="D3:K3" si="0">C3+1</f>
        <v>2024</v>
      </c>
      <c r="E3" s="64">
        <f t="shared" si="0"/>
        <v>2025</v>
      </c>
      <c r="F3" s="64">
        <f t="shared" si="0"/>
        <v>2026</v>
      </c>
      <c r="G3" s="64">
        <f t="shared" si="0"/>
        <v>2027</v>
      </c>
      <c r="H3" s="64">
        <f t="shared" si="0"/>
        <v>2028</v>
      </c>
      <c r="I3" s="64">
        <f t="shared" si="0"/>
        <v>2029</v>
      </c>
      <c r="J3" s="64">
        <f t="shared" si="0"/>
        <v>2030</v>
      </c>
      <c r="K3" s="64">
        <f t="shared" si="0"/>
        <v>2031</v>
      </c>
      <c r="N3" s="54" t="s">
        <v>874</v>
      </c>
      <c r="O3" s="54" t="s">
        <v>875</v>
      </c>
      <c r="P3" s="54" t="s">
        <v>876</v>
      </c>
      <c r="Q3" s="54" t="s">
        <v>877</v>
      </c>
    </row>
    <row r="4" spans="2:20" ht="27" customHeight="1"/>
    <row r="5" spans="2:20" ht="13.5" customHeight="1">
      <c r="B5" s="65" t="s">
        <v>878</v>
      </c>
      <c r="C5" s="98"/>
      <c r="D5" s="98"/>
      <c r="E5" s="98"/>
      <c r="F5" s="98"/>
      <c r="G5" s="98"/>
      <c r="H5" s="366"/>
      <c r="I5" s="366"/>
      <c r="J5" s="366"/>
      <c r="K5" s="366"/>
      <c r="M5" s="65" t="s">
        <v>879</v>
      </c>
      <c r="N5" s="65"/>
      <c r="O5" s="65"/>
      <c r="P5" s="65"/>
      <c r="Q5" s="65"/>
    </row>
    <row r="6" spans="2:20" ht="13.5" customHeight="1">
      <c r="B6" s="2" t="s">
        <v>880</v>
      </c>
      <c r="C6" s="101">
        <v>324.5838</v>
      </c>
      <c r="D6" s="101">
        <v>372.84690000000001</v>
      </c>
      <c r="E6" s="101">
        <v>426.30779999999999</v>
      </c>
      <c r="F6" s="101">
        <v>471.52070000000003</v>
      </c>
      <c r="G6" s="101">
        <v>518.88</v>
      </c>
      <c r="H6" s="101">
        <v>592.12469999999996</v>
      </c>
      <c r="I6" s="101">
        <v>619.61790000000008</v>
      </c>
      <c r="J6" s="101">
        <v>670.84319999999991</v>
      </c>
      <c r="K6" s="101">
        <v>722.90609999999992</v>
      </c>
      <c r="M6" s="2" t="s">
        <v>881</v>
      </c>
      <c r="N6" s="68"/>
      <c r="O6" s="68"/>
      <c r="P6" s="68"/>
      <c r="Q6" s="68"/>
    </row>
    <row r="7" spans="2:20" ht="13.5" customHeight="1">
      <c r="B7" s="2" t="s">
        <v>882</v>
      </c>
      <c r="C7" s="101">
        <v>293.47000000000003</v>
      </c>
      <c r="D7" s="101">
        <v>301.93</v>
      </c>
      <c r="E7" s="101">
        <v>312.47000000000003</v>
      </c>
      <c r="F7" s="101">
        <v>332.39</v>
      </c>
      <c r="G7" s="101">
        <v>349.35</v>
      </c>
      <c r="H7" s="101">
        <v>278.39</v>
      </c>
      <c r="I7" s="101">
        <v>312.83</v>
      </c>
      <c r="J7" s="101">
        <v>336.09</v>
      </c>
      <c r="K7" s="101">
        <v>350.01</v>
      </c>
      <c r="M7" s="35" t="s">
        <v>883</v>
      </c>
      <c r="N7" s="68">
        <v>2.5000000000000001E-2</v>
      </c>
      <c r="O7" s="68">
        <v>2.4E-2</v>
      </c>
      <c r="P7" s="68">
        <v>2.5000000000000001E-2</v>
      </c>
      <c r="Q7" s="68">
        <v>2.8000000000000001E-2</v>
      </c>
      <c r="R7" s="367"/>
    </row>
    <row r="8" spans="2:20" ht="13.5" customHeight="1">
      <c r="B8" s="2" t="s">
        <v>884</v>
      </c>
      <c r="C8" s="101">
        <v>142.56049999999999</v>
      </c>
      <c r="D8" s="101">
        <v>147.10570000000001</v>
      </c>
      <c r="E8" s="101">
        <v>162.13220000000001</v>
      </c>
      <c r="F8" s="101">
        <v>176.08120000000002</v>
      </c>
      <c r="G8" s="101">
        <v>180.58089999999999</v>
      </c>
      <c r="H8" s="101">
        <v>167.00800000000001</v>
      </c>
      <c r="I8" s="101">
        <v>167.29139999999998</v>
      </c>
      <c r="J8" s="101">
        <v>178.96220000000002</v>
      </c>
      <c r="K8" s="101">
        <v>195.3485</v>
      </c>
      <c r="M8" s="35" t="s">
        <v>885</v>
      </c>
      <c r="N8" s="68">
        <v>-3.9E-2</v>
      </c>
      <c r="O8" s="68">
        <v>5.0999999999999997E-2</v>
      </c>
      <c r="P8" s="68">
        <v>4.1000000000000002E-2</v>
      </c>
      <c r="Q8" s="68">
        <v>3.4000000000000002E-2</v>
      </c>
      <c r="R8" s="367"/>
    </row>
    <row r="9" spans="2:20" ht="13.5" customHeight="1">
      <c r="B9" s="2" t="s">
        <v>886</v>
      </c>
      <c r="C9" s="101">
        <v>637.13840000000005</v>
      </c>
      <c r="D9" s="101">
        <v>640.45259999999996</v>
      </c>
      <c r="E9" s="101">
        <v>652.46990000000005</v>
      </c>
      <c r="F9" s="101">
        <v>651.70500000000004</v>
      </c>
      <c r="G9" s="101">
        <v>652.74199999999996</v>
      </c>
      <c r="H9" s="101">
        <v>656.00250000000005</v>
      </c>
      <c r="I9" s="101">
        <v>658.0693</v>
      </c>
      <c r="J9" s="101">
        <v>660.17899999999997</v>
      </c>
      <c r="K9" s="101">
        <v>665.26409999999998</v>
      </c>
      <c r="M9" s="2" t="s">
        <v>887</v>
      </c>
      <c r="N9" s="68">
        <v>0.106</v>
      </c>
      <c r="O9" s="68">
        <v>8.4000000000000005E-2</v>
      </c>
      <c r="P9" s="68">
        <v>7.0999999999999994E-2</v>
      </c>
      <c r="Q9" s="68">
        <f>((2/5)*6.3%)+((3/5*4.8%))</f>
        <v>5.3999999999999999E-2</v>
      </c>
    </row>
    <row r="10" spans="2:20" ht="13.5" customHeight="1">
      <c r="M10" s="2" t="s">
        <v>888</v>
      </c>
      <c r="N10" s="68">
        <v>-3.9E-2</v>
      </c>
      <c r="O10" s="68">
        <v>5.8999999999999997E-2</v>
      </c>
      <c r="P10" s="68">
        <v>0.05</v>
      </c>
      <c r="Q10" s="68">
        <f>((1/4)*2.6%)+((3/4*2%))</f>
        <v>2.1499999999999998E-2</v>
      </c>
    </row>
    <row r="11" spans="2:20" ht="13.5" customHeight="1">
      <c r="B11" s="65" t="s">
        <v>889</v>
      </c>
      <c r="C11" s="98"/>
      <c r="D11" s="98"/>
      <c r="E11" s="98"/>
      <c r="F11" s="98"/>
      <c r="G11" s="98"/>
      <c r="H11" s="366"/>
      <c r="I11" s="366"/>
      <c r="J11" s="366"/>
      <c r="K11" s="366"/>
      <c r="M11" s="2" t="s">
        <v>890</v>
      </c>
      <c r="N11" s="68"/>
      <c r="O11" s="68"/>
      <c r="P11" s="68"/>
      <c r="Q11" s="68"/>
    </row>
    <row r="12" spans="2:20" ht="13.5" customHeight="1">
      <c r="B12" s="2" t="s">
        <v>891</v>
      </c>
      <c r="C12" s="68">
        <v>0.13800000000000001</v>
      </c>
      <c r="D12" s="46">
        <f t="shared" ref="D12:K12" si="1">(D6-C6)/C6</f>
        <v>0.14869226375438332</v>
      </c>
      <c r="E12" s="46">
        <f t="shared" si="1"/>
        <v>0.14338566312338921</v>
      </c>
      <c r="F12" s="46">
        <f t="shared" si="1"/>
        <v>0.10605693820286669</v>
      </c>
      <c r="G12" s="46">
        <f t="shared" si="1"/>
        <v>0.10043949290031161</v>
      </c>
      <c r="H12" s="46">
        <f t="shared" si="1"/>
        <v>0.14115922756706747</v>
      </c>
      <c r="I12" s="46">
        <f t="shared" si="1"/>
        <v>4.6431435810733987E-2</v>
      </c>
      <c r="J12" s="46">
        <f t="shared" si="1"/>
        <v>8.2672401814085472E-2</v>
      </c>
      <c r="K12" s="46">
        <f t="shared" si="1"/>
        <v>7.760815045900446E-2</v>
      </c>
      <c r="M12" s="2" t="s">
        <v>892</v>
      </c>
      <c r="N12" s="68"/>
      <c r="O12" s="68"/>
      <c r="P12" s="68"/>
      <c r="Q12" s="68"/>
    </row>
    <row r="13" spans="2:20" ht="13.5" customHeight="1">
      <c r="B13" s="2" t="s">
        <v>882</v>
      </c>
      <c r="C13" s="68">
        <v>0.03</v>
      </c>
      <c r="D13" s="46">
        <f t="shared" ref="D13:K13" si="2">(D7-C7)/C7</f>
        <v>2.8827478106791083E-2</v>
      </c>
      <c r="E13" s="46">
        <f t="shared" si="2"/>
        <v>3.4908753684628951E-2</v>
      </c>
      <c r="F13" s="46">
        <f t="shared" si="2"/>
        <v>6.3750120011520972E-2</v>
      </c>
      <c r="G13" s="46">
        <f t="shared" si="2"/>
        <v>5.1024399049309659E-2</v>
      </c>
      <c r="H13" s="46">
        <f t="shared" si="2"/>
        <v>-0.20312008014884794</v>
      </c>
      <c r="I13" s="46">
        <f t="shared" si="2"/>
        <v>0.12371134020618557</v>
      </c>
      <c r="J13" s="46">
        <f t="shared" si="2"/>
        <v>7.435348272224529E-2</v>
      </c>
      <c r="K13" s="46">
        <f t="shared" si="2"/>
        <v>4.141747746139432E-2</v>
      </c>
      <c r="M13" s="2" t="s">
        <v>893</v>
      </c>
    </row>
    <row r="14" spans="2:20" ht="13.5" customHeight="1">
      <c r="B14" s="2" t="s">
        <v>884</v>
      </c>
      <c r="C14" s="68">
        <v>6.7100000000000007E-2</v>
      </c>
      <c r="D14" s="46">
        <f t="shared" ref="D14:K14" si="3">(D8-C8)/C8</f>
        <v>3.1882604227678933E-2</v>
      </c>
      <c r="E14" s="46">
        <f t="shared" si="3"/>
        <v>0.10214763941845896</v>
      </c>
      <c r="F14" s="46">
        <f t="shared" si="3"/>
        <v>8.6034729683554606E-2</v>
      </c>
      <c r="G14" s="46">
        <f t="shared" si="3"/>
        <v>2.555468726928236E-2</v>
      </c>
      <c r="H14" s="46">
        <f t="shared" si="3"/>
        <v>-7.5162434122323998E-2</v>
      </c>
      <c r="I14" s="46">
        <f t="shared" si="3"/>
        <v>1.6969246982178811E-3</v>
      </c>
      <c r="J14" s="46">
        <f t="shared" si="3"/>
        <v>6.9763299249094954E-2</v>
      </c>
      <c r="K14" s="46">
        <f t="shared" si="3"/>
        <v>9.1562911050489845E-2</v>
      </c>
      <c r="M14" s="368"/>
      <c r="P14" s="369"/>
      <c r="Q14" s="369"/>
      <c r="T14" s="370"/>
    </row>
    <row r="15" spans="2:20" ht="13.5" customHeight="1">
      <c r="B15" s="2" t="s">
        <v>886</v>
      </c>
      <c r="C15" s="68">
        <v>1.38E-2</v>
      </c>
      <c r="D15" s="46">
        <f t="shared" ref="D15:K15" si="4">(D9-C9)/C9</f>
        <v>5.201695581368058E-3</v>
      </c>
      <c r="E15" s="46">
        <f t="shared" si="4"/>
        <v>1.8763761752235986E-2</v>
      </c>
      <c r="F15" s="46">
        <f t="shared" si="4"/>
        <v>-1.1723146155861158E-3</v>
      </c>
      <c r="G15" s="46">
        <f t="shared" si="4"/>
        <v>1.5912107471937776E-3</v>
      </c>
      <c r="H15" s="46">
        <f t="shared" si="4"/>
        <v>4.9950822836589233E-3</v>
      </c>
      <c r="I15" s="46">
        <f t="shared" si="4"/>
        <v>3.1505977492462963E-3</v>
      </c>
      <c r="J15" s="46">
        <f t="shared" si="4"/>
        <v>3.2058933610791072E-3</v>
      </c>
      <c r="K15" s="46">
        <f t="shared" si="4"/>
        <v>7.7026079290616811E-3</v>
      </c>
      <c r="M15" s="1" t="s">
        <v>894</v>
      </c>
      <c r="N15" s="2"/>
      <c r="O15" s="2"/>
      <c r="P15" s="369"/>
      <c r="Q15" s="369"/>
      <c r="R15" s="2"/>
      <c r="S15" s="2"/>
      <c r="T15" s="370"/>
    </row>
    <row r="16" spans="2:20" ht="13.5" customHeight="1">
      <c r="C16" s="104"/>
      <c r="D16" s="104"/>
      <c r="E16" s="104"/>
      <c r="F16" s="104"/>
      <c r="G16" s="104"/>
      <c r="H16" s="104"/>
      <c r="I16" s="104"/>
      <c r="J16" s="104"/>
      <c r="K16" s="104"/>
      <c r="M16" s="51"/>
      <c r="N16" s="52"/>
      <c r="O16" s="52"/>
      <c r="P16" s="371"/>
      <c r="Q16" s="371"/>
      <c r="R16" s="52"/>
      <c r="S16" s="53"/>
      <c r="T16" s="370"/>
    </row>
    <row r="17" spans="2:20" ht="13.5" customHeight="1">
      <c r="J17" s="33"/>
      <c r="K17" s="33"/>
      <c r="M17" s="55"/>
      <c r="P17" s="33"/>
      <c r="Q17" s="33"/>
      <c r="S17" s="56"/>
      <c r="T17" s="370"/>
    </row>
    <row r="18" spans="2:20" ht="13.5" customHeight="1">
      <c r="B18" s="1" t="s">
        <v>895</v>
      </c>
      <c r="C18" s="2"/>
      <c r="D18" s="2"/>
      <c r="E18" s="2"/>
      <c r="F18" s="2"/>
      <c r="G18" s="2"/>
      <c r="H18" s="2"/>
      <c r="I18" s="2"/>
      <c r="J18" s="2"/>
      <c r="M18" s="55"/>
      <c r="S18" s="56"/>
      <c r="T18" s="370"/>
    </row>
    <row r="19" spans="2:20" ht="13.5" customHeight="1">
      <c r="B19" s="51"/>
      <c r="C19" s="52"/>
      <c r="D19" s="52"/>
      <c r="E19" s="52"/>
      <c r="F19" s="52"/>
      <c r="G19" s="52"/>
      <c r="H19" s="52"/>
      <c r="I19" s="52"/>
      <c r="J19" s="53"/>
      <c r="M19" s="55"/>
      <c r="S19" s="56"/>
      <c r="T19" s="370"/>
    </row>
    <row r="20" spans="2:20" ht="13.5" customHeight="1">
      <c r="B20" s="55"/>
      <c r="J20" s="56"/>
      <c r="M20" s="55"/>
      <c r="S20" s="56"/>
      <c r="T20" s="370"/>
    </row>
    <row r="21" spans="2:20" ht="13.5" customHeight="1">
      <c r="B21" s="55"/>
      <c r="J21" s="56"/>
      <c r="M21" s="55"/>
      <c r="S21" s="56"/>
      <c r="T21" s="370"/>
    </row>
    <row r="22" spans="2:20" ht="13.5" customHeight="1">
      <c r="B22" s="55"/>
      <c r="J22" s="56"/>
      <c r="M22" s="55"/>
      <c r="S22" s="56"/>
      <c r="T22" s="370"/>
    </row>
    <row r="23" spans="2:20" ht="13.5" customHeight="1">
      <c r="B23" s="55"/>
      <c r="J23" s="56"/>
      <c r="M23" s="55"/>
      <c r="S23" s="56"/>
      <c r="T23" s="370"/>
    </row>
    <row r="24" spans="2:20" ht="13.5" customHeight="1">
      <c r="B24" s="55"/>
      <c r="J24" s="56"/>
      <c r="M24" s="55"/>
      <c r="S24" s="56"/>
    </row>
    <row r="25" spans="2:20" ht="13.5" customHeight="1">
      <c r="B25" s="55"/>
      <c r="J25" s="56"/>
      <c r="M25" s="55"/>
      <c r="S25" s="56"/>
    </row>
    <row r="26" spans="2:20" ht="13.5" customHeight="1">
      <c r="B26" s="55"/>
      <c r="J26" s="56"/>
      <c r="M26" s="55"/>
      <c r="S26" s="56"/>
    </row>
    <row r="27" spans="2:20" ht="13.5" customHeight="1">
      <c r="B27" s="55"/>
      <c r="J27" s="56"/>
      <c r="M27" s="58"/>
      <c r="N27" s="59"/>
      <c r="O27" s="59"/>
      <c r="P27" s="59"/>
      <c r="Q27" s="59"/>
      <c r="R27" s="59"/>
      <c r="S27" s="60"/>
    </row>
    <row r="28" spans="2:20" ht="13.5" customHeight="1">
      <c r="B28" s="55"/>
      <c r="J28" s="56"/>
    </row>
    <row r="29" spans="2:20" ht="13.5" customHeight="1">
      <c r="B29" s="55"/>
      <c r="J29" s="56"/>
    </row>
    <row r="30" spans="2:20" ht="13.5" customHeight="1">
      <c r="B30" s="55"/>
      <c r="J30" s="56"/>
    </row>
    <row r="31" spans="2:20" ht="13.5" customHeight="1">
      <c r="B31" s="55"/>
      <c r="J31" s="56"/>
    </row>
    <row r="32" spans="2:20" ht="13.5" customHeight="1">
      <c r="B32" s="55"/>
      <c r="J32" s="56"/>
    </row>
    <row r="33" spans="2:10" ht="13.5" customHeight="1">
      <c r="B33" s="55"/>
      <c r="J33" s="56"/>
    </row>
    <row r="34" spans="2:10" ht="13.5" customHeight="1">
      <c r="B34" s="55"/>
      <c r="J34" s="56"/>
    </row>
    <row r="35" spans="2:10" ht="13.5" customHeight="1">
      <c r="B35" s="58"/>
      <c r="C35" s="59"/>
      <c r="D35" s="59"/>
      <c r="E35" s="59"/>
      <c r="F35" s="59"/>
      <c r="G35" s="59"/>
      <c r="H35" s="59"/>
      <c r="I35" s="59"/>
      <c r="J35" s="60"/>
    </row>
    <row r="36" spans="2:10" ht="13.5" customHeight="1"/>
    <row r="37" spans="2:10" ht="13.5" customHeight="1"/>
    <row r="38" spans="2:10" ht="13.5" customHeight="1"/>
    <row r="39" spans="2:10" ht="13.5" customHeight="1"/>
    <row r="40" spans="2:10" ht="13.5" customHeight="1"/>
    <row r="41" spans="2:10" ht="13.5" customHeight="1"/>
    <row r="42" spans="2:10" ht="13.5" customHeight="1"/>
    <row r="43" spans="2:10" ht="13.5" customHeight="1"/>
    <row r="44" spans="2:10" ht="13.5" customHeight="1"/>
    <row r="45" spans="2:10" ht="13.5" customHeight="1"/>
    <row r="46" spans="2:10" ht="13.5" customHeight="1"/>
    <row r="47" spans="2:10" ht="13.5" customHeight="1"/>
    <row r="48" spans="2:10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scale="44" orientation="portrait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1000"/>
  <sheetViews>
    <sheetView showGridLines="0" workbookViewId="0"/>
  </sheetViews>
  <sheetFormatPr defaultColWidth="12.5703125" defaultRowHeight="15" customHeight="1"/>
  <cols>
    <col min="1" max="1" width="6.85546875" customWidth="1"/>
    <col min="2" max="2" width="15.42578125" customWidth="1"/>
    <col min="3" max="3" width="28.140625" customWidth="1"/>
    <col min="4" max="4" width="17.5703125" customWidth="1"/>
    <col min="5" max="5" width="11.42578125" customWidth="1"/>
    <col min="6" max="6" width="18.7109375" customWidth="1"/>
  </cols>
  <sheetData>
    <row r="1" spans="1:6" ht="16.5">
      <c r="A1" s="6"/>
      <c r="B1" s="6"/>
      <c r="C1" s="6"/>
      <c r="D1" s="6"/>
      <c r="E1" s="6"/>
      <c r="F1" s="6"/>
    </row>
    <row r="2" spans="1:6" ht="16.5">
      <c r="A2" s="6"/>
      <c r="B2" s="372" t="s">
        <v>896</v>
      </c>
      <c r="C2" s="373"/>
      <c r="D2" s="373"/>
      <c r="E2" s="373"/>
      <c r="F2" s="373"/>
    </row>
    <row r="3" spans="1:6" ht="16.5">
      <c r="A3" s="6"/>
      <c r="B3" s="6"/>
      <c r="C3" s="6"/>
      <c r="D3" s="6"/>
      <c r="E3" s="6"/>
      <c r="F3" s="6"/>
    </row>
    <row r="4" spans="1:6" ht="16.5">
      <c r="A4" s="6"/>
      <c r="B4" s="374" t="s">
        <v>897</v>
      </c>
      <c r="C4" s="374" t="s">
        <v>898</v>
      </c>
      <c r="D4" s="374" t="s">
        <v>899</v>
      </c>
      <c r="E4" s="375" t="s">
        <v>900</v>
      </c>
      <c r="F4" s="375" t="s">
        <v>901</v>
      </c>
    </row>
    <row r="5" spans="1:6" ht="16.5" customHeight="1">
      <c r="A5" s="6"/>
      <c r="B5" s="6" t="s">
        <v>686</v>
      </c>
      <c r="C5" s="376" t="s">
        <v>902</v>
      </c>
      <c r="D5" s="376" t="s">
        <v>903</v>
      </c>
      <c r="E5" s="377">
        <v>4000</v>
      </c>
      <c r="F5" s="378" t="s">
        <v>65</v>
      </c>
    </row>
    <row r="6" spans="1:6" ht="16.5" customHeight="1">
      <c r="A6" s="6"/>
      <c r="B6" s="6" t="s">
        <v>686</v>
      </c>
      <c r="C6" s="376" t="s">
        <v>902</v>
      </c>
      <c r="D6" s="376" t="s">
        <v>903</v>
      </c>
      <c r="E6" s="377">
        <v>3750</v>
      </c>
      <c r="F6" s="378" t="s">
        <v>65</v>
      </c>
    </row>
    <row r="7" spans="1:6" ht="16.5" customHeight="1">
      <c r="A7" s="6"/>
      <c r="B7" s="6" t="s">
        <v>686</v>
      </c>
      <c r="C7" s="376" t="s">
        <v>902</v>
      </c>
      <c r="D7" s="376" t="s">
        <v>903</v>
      </c>
      <c r="E7" s="377">
        <v>5200</v>
      </c>
      <c r="F7" s="378" t="s">
        <v>904</v>
      </c>
    </row>
    <row r="8" spans="1:6" ht="16.5" customHeight="1">
      <c r="A8" s="6"/>
      <c r="B8" s="6" t="s">
        <v>686</v>
      </c>
      <c r="C8" s="376" t="s">
        <v>902</v>
      </c>
      <c r="D8" s="376" t="s">
        <v>903</v>
      </c>
      <c r="E8" s="377">
        <v>4500</v>
      </c>
      <c r="F8" s="378" t="s">
        <v>65</v>
      </c>
    </row>
    <row r="9" spans="1:6" ht="16.5" customHeight="1">
      <c r="A9" s="6"/>
      <c r="B9" s="6" t="s">
        <v>686</v>
      </c>
      <c r="C9" s="376" t="s">
        <v>902</v>
      </c>
      <c r="D9" s="376" t="s">
        <v>903</v>
      </c>
      <c r="E9" s="377">
        <v>4000</v>
      </c>
      <c r="F9" s="378" t="s">
        <v>65</v>
      </c>
    </row>
    <row r="10" spans="1:6" ht="16.5" customHeight="1">
      <c r="A10" s="6"/>
      <c r="B10" s="6" t="s">
        <v>686</v>
      </c>
      <c r="C10" s="376" t="s">
        <v>902</v>
      </c>
      <c r="D10" s="376" t="s">
        <v>903</v>
      </c>
      <c r="E10" s="377">
        <v>4100</v>
      </c>
      <c r="F10" s="378" t="s">
        <v>905</v>
      </c>
    </row>
    <row r="11" spans="1:6" ht="16.5" customHeight="1">
      <c r="A11" s="6"/>
      <c r="B11" s="6" t="s">
        <v>686</v>
      </c>
      <c r="C11" s="376" t="s">
        <v>902</v>
      </c>
      <c r="D11" s="376" t="s">
        <v>903</v>
      </c>
      <c r="E11" s="377">
        <v>3975</v>
      </c>
      <c r="F11" s="378" t="s">
        <v>65</v>
      </c>
    </row>
    <row r="12" spans="1:6" ht="16.5" customHeight="1">
      <c r="A12" s="6"/>
      <c r="B12" s="376"/>
      <c r="C12" s="376"/>
      <c r="D12" s="376"/>
      <c r="E12" s="377"/>
      <c r="F12" s="378"/>
    </row>
    <row r="13" spans="1:6" ht="16.5" customHeight="1">
      <c r="A13" s="6"/>
      <c r="B13" s="1" t="s">
        <v>906</v>
      </c>
      <c r="C13" s="379"/>
      <c r="D13" s="379"/>
      <c r="E13" s="380">
        <f>AVERAGE(E5:E11)</f>
        <v>4217.8571428571431</v>
      </c>
    </row>
    <row r="14" spans="1:6" ht="16.5">
      <c r="A14" s="6"/>
      <c r="B14" s="1" t="s">
        <v>678</v>
      </c>
      <c r="C14" s="1"/>
      <c r="D14" s="1"/>
      <c r="E14" s="380">
        <f>MEDIAN(E5:E11)</f>
        <v>4000</v>
      </c>
    </row>
    <row r="15" spans="1:6" ht="16.5">
      <c r="A15" s="6"/>
      <c r="B15" s="1" t="s">
        <v>907</v>
      </c>
      <c r="C15" s="1"/>
      <c r="D15" s="1"/>
      <c r="E15" s="380">
        <f>MODE(E5:E11)</f>
        <v>4000</v>
      </c>
    </row>
    <row r="16" spans="1:6" ht="16.5" customHeight="1">
      <c r="A16" s="6"/>
      <c r="B16" s="15" t="s">
        <v>1</v>
      </c>
      <c r="C16" s="15"/>
      <c r="D16" s="15"/>
      <c r="E16" s="380">
        <f>MIN(E5:E11)</f>
        <v>3750</v>
      </c>
    </row>
    <row r="17" spans="1:6" ht="16.5">
      <c r="A17" s="6"/>
      <c r="B17" s="19" t="s">
        <v>3</v>
      </c>
      <c r="C17" s="6"/>
      <c r="D17" s="15"/>
      <c r="E17" s="380">
        <f>MAX(E5:E11)</f>
        <v>5200</v>
      </c>
    </row>
    <row r="18" spans="1:6" ht="16.5">
      <c r="A18" s="6"/>
      <c r="B18" s="6"/>
      <c r="C18" s="6"/>
      <c r="D18" s="6"/>
      <c r="E18" s="6"/>
      <c r="F18" s="6"/>
    </row>
    <row r="19" spans="1:6" ht="16.5">
      <c r="A19" s="6"/>
      <c r="B19" s="6"/>
      <c r="C19" s="6"/>
      <c r="D19" s="6"/>
      <c r="E19" s="6"/>
      <c r="F19" s="6"/>
    </row>
    <row r="20" spans="1:6" ht="16.5">
      <c r="A20" s="6"/>
      <c r="B20" s="6"/>
      <c r="C20" s="6"/>
      <c r="D20" s="6"/>
      <c r="E20" s="6"/>
      <c r="F20" s="6"/>
    </row>
    <row r="21" spans="1:6" ht="15.75" customHeight="1">
      <c r="A21" s="6"/>
      <c r="B21" s="6"/>
      <c r="C21" s="6"/>
      <c r="D21" s="6"/>
      <c r="E21" s="6"/>
      <c r="F21" s="6"/>
    </row>
    <row r="22" spans="1:6" ht="15.75" customHeight="1">
      <c r="A22" s="6"/>
      <c r="B22" s="6"/>
      <c r="C22" s="6"/>
      <c r="D22" s="6"/>
      <c r="E22" s="6"/>
      <c r="F22" s="6"/>
    </row>
    <row r="23" spans="1:6" ht="15.75" customHeight="1">
      <c r="A23" s="6"/>
      <c r="B23" s="6"/>
      <c r="C23" s="6"/>
      <c r="D23" s="6"/>
      <c r="E23" s="6"/>
      <c r="F23" s="6"/>
    </row>
    <row r="24" spans="1:6" ht="15.75" customHeight="1">
      <c r="A24" s="6"/>
      <c r="B24" s="6"/>
      <c r="C24" s="6"/>
      <c r="D24" s="6"/>
      <c r="E24" s="6"/>
      <c r="F24" s="6"/>
    </row>
    <row r="25" spans="1:6" ht="15.75" customHeight="1">
      <c r="A25" s="6"/>
      <c r="B25" s="6"/>
      <c r="C25" s="6"/>
      <c r="D25" s="6"/>
      <c r="E25" s="6"/>
      <c r="F25" s="6"/>
    </row>
    <row r="26" spans="1:6" ht="15.75" customHeight="1">
      <c r="A26" s="6"/>
      <c r="B26" s="6"/>
      <c r="C26" s="6"/>
      <c r="D26" s="6"/>
      <c r="E26" s="6"/>
      <c r="F26" s="6"/>
    </row>
    <row r="27" spans="1:6" ht="15.75" customHeight="1">
      <c r="A27" s="6"/>
      <c r="B27" s="6"/>
      <c r="C27" s="6"/>
      <c r="D27" s="6"/>
      <c r="E27" s="6"/>
      <c r="F27" s="6"/>
    </row>
    <row r="28" spans="1:6" ht="15.75" customHeight="1">
      <c r="A28" s="6"/>
      <c r="B28" s="6"/>
      <c r="C28" s="6"/>
      <c r="D28" s="6"/>
      <c r="E28" s="6"/>
      <c r="F28" s="6"/>
    </row>
    <row r="29" spans="1:6" ht="15.75" customHeight="1">
      <c r="A29" s="6"/>
      <c r="B29" s="6"/>
      <c r="C29" s="6"/>
      <c r="D29" s="6"/>
      <c r="E29" s="6"/>
      <c r="F29" s="6"/>
    </row>
    <row r="30" spans="1:6" ht="15.75" customHeight="1">
      <c r="A30" s="6"/>
      <c r="B30" s="6"/>
      <c r="C30" s="6"/>
      <c r="D30" s="6"/>
      <c r="E30" s="6"/>
      <c r="F30" s="6"/>
    </row>
    <row r="31" spans="1:6" ht="15.75" customHeight="1">
      <c r="A31" s="6"/>
      <c r="B31" s="6"/>
      <c r="C31" s="6"/>
      <c r="D31" s="6"/>
      <c r="E31" s="6"/>
      <c r="F31" s="6"/>
    </row>
    <row r="32" spans="1:6" ht="15.75" customHeight="1">
      <c r="A32" s="6"/>
      <c r="B32" s="6"/>
      <c r="C32" s="6"/>
      <c r="D32" s="6"/>
      <c r="E32" s="6"/>
      <c r="F32" s="6"/>
    </row>
    <row r="33" spans="1:6" ht="15.75" customHeight="1">
      <c r="A33" s="6"/>
      <c r="B33" s="6"/>
      <c r="C33" s="6"/>
      <c r="D33" s="6"/>
      <c r="E33" s="6"/>
      <c r="F33" s="6"/>
    </row>
    <row r="34" spans="1:6" ht="15.75" customHeight="1">
      <c r="A34" s="6"/>
      <c r="B34" s="6"/>
      <c r="C34" s="6"/>
      <c r="D34" s="6"/>
      <c r="E34" s="6"/>
      <c r="F34" s="6"/>
    </row>
    <row r="35" spans="1:6" ht="15.75" customHeight="1">
      <c r="A35" s="6"/>
      <c r="B35" s="6"/>
      <c r="C35" s="6"/>
      <c r="D35" s="6"/>
      <c r="E35" s="6"/>
      <c r="F35" s="6"/>
    </row>
    <row r="36" spans="1:6" ht="15.75" customHeight="1">
      <c r="A36" s="6"/>
      <c r="B36" s="6"/>
      <c r="C36" s="6"/>
      <c r="D36" s="6"/>
      <c r="E36" s="6"/>
      <c r="F36" s="6"/>
    </row>
    <row r="37" spans="1:6" ht="15.75" customHeight="1">
      <c r="A37" s="6"/>
      <c r="B37" s="6"/>
      <c r="C37" s="6"/>
      <c r="D37" s="6"/>
      <c r="E37" s="6"/>
      <c r="F37" s="6"/>
    </row>
    <row r="38" spans="1:6" ht="15.75" customHeight="1">
      <c r="A38" s="6"/>
      <c r="B38" s="6"/>
      <c r="C38" s="6"/>
      <c r="D38" s="6"/>
      <c r="E38" s="6"/>
      <c r="F38" s="6"/>
    </row>
    <row r="39" spans="1:6" ht="15.75" customHeight="1">
      <c r="A39" s="6"/>
      <c r="B39" s="6"/>
      <c r="C39" s="6"/>
      <c r="D39" s="6"/>
      <c r="E39" s="6"/>
      <c r="F39" s="6"/>
    </row>
    <row r="40" spans="1:6" ht="15.75" customHeight="1">
      <c r="A40" s="6"/>
      <c r="B40" s="6"/>
      <c r="C40" s="6"/>
      <c r="D40" s="6"/>
      <c r="E40" s="6"/>
      <c r="F40" s="6"/>
    </row>
    <row r="41" spans="1:6" ht="15.75" customHeight="1">
      <c r="A41" s="6"/>
      <c r="B41" s="6"/>
      <c r="C41" s="6"/>
      <c r="D41" s="6"/>
      <c r="E41" s="6"/>
      <c r="F41" s="6"/>
    </row>
    <row r="42" spans="1:6" ht="15.75" customHeight="1">
      <c r="A42" s="6"/>
      <c r="B42" s="6"/>
      <c r="C42" s="6"/>
      <c r="D42" s="6"/>
      <c r="E42" s="6"/>
      <c r="F42" s="6"/>
    </row>
    <row r="43" spans="1:6" ht="15.75" customHeight="1">
      <c r="A43" s="6"/>
      <c r="B43" s="6"/>
      <c r="C43" s="6"/>
      <c r="D43" s="6"/>
      <c r="E43" s="6"/>
      <c r="F43" s="6"/>
    </row>
    <row r="44" spans="1:6" ht="15.75" customHeight="1">
      <c r="A44" s="6"/>
      <c r="B44" s="6"/>
      <c r="C44" s="6"/>
      <c r="D44" s="6"/>
      <c r="E44" s="6"/>
      <c r="F44" s="6"/>
    </row>
    <row r="45" spans="1:6" ht="15.75" customHeight="1">
      <c r="A45" s="6"/>
      <c r="B45" s="6"/>
      <c r="C45" s="6"/>
      <c r="D45" s="6"/>
      <c r="E45" s="6"/>
      <c r="F45" s="6"/>
    </row>
    <row r="46" spans="1:6" ht="15.75" customHeight="1">
      <c r="A46" s="6"/>
      <c r="B46" s="6"/>
      <c r="C46" s="6"/>
      <c r="D46" s="6"/>
      <c r="E46" s="6"/>
      <c r="F46" s="6"/>
    </row>
    <row r="47" spans="1:6" ht="15.75" customHeight="1">
      <c r="A47" s="6"/>
      <c r="B47" s="6"/>
      <c r="C47" s="6"/>
      <c r="D47" s="6"/>
      <c r="E47" s="6"/>
      <c r="F47" s="6"/>
    </row>
    <row r="48" spans="1:6" ht="15.75" customHeight="1">
      <c r="A48" s="6"/>
      <c r="B48" s="6"/>
      <c r="C48" s="6"/>
      <c r="D48" s="6"/>
      <c r="E48" s="6"/>
      <c r="F48" s="6"/>
    </row>
    <row r="49" spans="1:6" ht="15.75" customHeight="1">
      <c r="A49" s="6"/>
      <c r="B49" s="6"/>
      <c r="C49" s="6"/>
      <c r="D49" s="6"/>
      <c r="E49" s="6"/>
      <c r="F49" s="6"/>
    </row>
    <row r="50" spans="1:6" ht="15.75" customHeight="1">
      <c r="A50" s="6"/>
      <c r="B50" s="6"/>
      <c r="C50" s="6"/>
      <c r="D50" s="6"/>
      <c r="E50" s="6"/>
      <c r="F50" s="6"/>
    </row>
    <row r="51" spans="1:6" ht="15.75" customHeight="1">
      <c r="A51" s="6"/>
      <c r="B51" s="6"/>
      <c r="C51" s="6"/>
      <c r="D51" s="6"/>
      <c r="E51" s="6"/>
      <c r="F51" s="6"/>
    </row>
    <row r="52" spans="1:6" ht="15.75" customHeight="1">
      <c r="A52" s="6"/>
      <c r="B52" s="6"/>
      <c r="C52" s="6"/>
      <c r="D52" s="6"/>
      <c r="E52" s="6"/>
      <c r="F52" s="6"/>
    </row>
    <row r="53" spans="1:6" ht="15.75" customHeight="1">
      <c r="A53" s="6"/>
      <c r="B53" s="6"/>
      <c r="C53" s="6"/>
      <c r="D53" s="6"/>
      <c r="E53" s="6"/>
      <c r="F53" s="6"/>
    </row>
    <row r="54" spans="1:6" ht="15.75" customHeight="1">
      <c r="A54" s="6"/>
      <c r="B54" s="6"/>
      <c r="C54" s="6"/>
      <c r="D54" s="6"/>
      <c r="E54" s="6"/>
      <c r="F54" s="6"/>
    </row>
    <row r="55" spans="1:6" ht="15.75" customHeight="1">
      <c r="A55" s="6"/>
      <c r="B55" s="6"/>
      <c r="C55" s="6"/>
      <c r="D55" s="6"/>
      <c r="E55" s="6"/>
      <c r="F55" s="6"/>
    </row>
    <row r="56" spans="1:6" ht="15.75" customHeight="1">
      <c r="A56" s="6"/>
      <c r="B56" s="6"/>
      <c r="C56" s="6"/>
      <c r="D56" s="6"/>
      <c r="E56" s="6"/>
      <c r="F56" s="6"/>
    </row>
    <row r="57" spans="1:6" ht="15.75" customHeight="1">
      <c r="A57" s="6"/>
      <c r="B57" s="6"/>
      <c r="C57" s="6"/>
      <c r="D57" s="6"/>
      <c r="E57" s="6"/>
      <c r="F57" s="6"/>
    </row>
    <row r="58" spans="1:6" ht="15.75" customHeight="1">
      <c r="A58" s="6"/>
      <c r="B58" s="6"/>
      <c r="C58" s="6"/>
      <c r="D58" s="6"/>
      <c r="E58" s="6"/>
      <c r="F58" s="6"/>
    </row>
    <row r="59" spans="1:6" ht="15.75" customHeight="1">
      <c r="A59" s="6"/>
      <c r="B59" s="6"/>
      <c r="C59" s="6"/>
      <c r="D59" s="6"/>
      <c r="E59" s="6"/>
      <c r="F59" s="6"/>
    </row>
    <row r="60" spans="1:6" ht="15.75" customHeight="1">
      <c r="A60" s="6"/>
      <c r="B60" s="6"/>
      <c r="C60" s="6"/>
      <c r="D60" s="6"/>
      <c r="E60" s="6"/>
      <c r="F60" s="6"/>
    </row>
    <row r="61" spans="1:6" ht="15.75" customHeight="1">
      <c r="A61" s="6"/>
      <c r="B61" s="6"/>
      <c r="C61" s="6"/>
      <c r="D61" s="6"/>
      <c r="E61" s="6"/>
      <c r="F61" s="6"/>
    </row>
    <row r="62" spans="1:6" ht="15.75" customHeight="1">
      <c r="A62" s="6"/>
      <c r="B62" s="6"/>
      <c r="C62" s="6"/>
      <c r="D62" s="6"/>
      <c r="E62" s="6"/>
      <c r="F62" s="6"/>
    </row>
    <row r="63" spans="1:6" ht="15.75" customHeight="1">
      <c r="A63" s="6"/>
      <c r="B63" s="6"/>
      <c r="C63" s="6"/>
      <c r="D63" s="6"/>
      <c r="E63" s="6"/>
      <c r="F63" s="6"/>
    </row>
    <row r="64" spans="1:6" ht="15.75" customHeight="1">
      <c r="A64" s="6"/>
      <c r="B64" s="6"/>
      <c r="C64" s="6"/>
      <c r="D64" s="6"/>
      <c r="E64" s="6"/>
      <c r="F64" s="6"/>
    </row>
    <row r="65" spans="1:6" ht="15.75" customHeight="1">
      <c r="A65" s="6"/>
      <c r="B65" s="6"/>
      <c r="C65" s="6"/>
      <c r="D65" s="6"/>
      <c r="E65" s="6"/>
      <c r="F65" s="6"/>
    </row>
    <row r="66" spans="1:6" ht="15.75" customHeight="1">
      <c r="A66" s="6"/>
      <c r="B66" s="6"/>
      <c r="C66" s="6"/>
      <c r="D66" s="6"/>
      <c r="E66" s="6"/>
      <c r="F66" s="6"/>
    </row>
    <row r="67" spans="1:6" ht="15.75" customHeight="1">
      <c r="A67" s="6"/>
      <c r="B67" s="6"/>
      <c r="C67" s="6"/>
      <c r="D67" s="6"/>
      <c r="E67" s="6"/>
      <c r="F67" s="6"/>
    </row>
    <row r="68" spans="1:6" ht="15.75" customHeight="1">
      <c r="A68" s="6"/>
      <c r="B68" s="6"/>
      <c r="C68" s="6"/>
      <c r="D68" s="6"/>
      <c r="E68" s="6"/>
      <c r="F68" s="6"/>
    </row>
    <row r="69" spans="1:6" ht="15.75" customHeight="1">
      <c r="A69" s="6"/>
      <c r="B69" s="6"/>
      <c r="C69" s="6"/>
      <c r="D69" s="6"/>
      <c r="E69" s="6"/>
      <c r="F69" s="6"/>
    </row>
    <row r="70" spans="1:6" ht="15.75" customHeight="1">
      <c r="A70" s="6"/>
      <c r="B70" s="6"/>
      <c r="C70" s="6"/>
      <c r="D70" s="6"/>
      <c r="E70" s="6"/>
      <c r="F70" s="6"/>
    </row>
    <row r="71" spans="1:6" ht="15.75" customHeight="1">
      <c r="A71" s="6"/>
      <c r="B71" s="6"/>
      <c r="C71" s="6"/>
      <c r="D71" s="6"/>
      <c r="E71" s="6"/>
      <c r="F71" s="6"/>
    </row>
    <row r="72" spans="1:6" ht="15.75" customHeight="1">
      <c r="A72" s="6"/>
      <c r="B72" s="6"/>
      <c r="C72" s="6"/>
      <c r="D72" s="6"/>
      <c r="E72" s="6"/>
      <c r="F72" s="6"/>
    </row>
    <row r="73" spans="1:6" ht="15.75" customHeight="1">
      <c r="A73" s="6"/>
      <c r="B73" s="6"/>
      <c r="C73" s="6"/>
      <c r="D73" s="6"/>
      <c r="E73" s="6"/>
      <c r="F73" s="6"/>
    </row>
    <row r="74" spans="1:6" ht="15.75" customHeight="1">
      <c r="A74" s="6"/>
      <c r="B74" s="6"/>
      <c r="C74" s="6"/>
      <c r="D74" s="6"/>
      <c r="E74" s="6"/>
      <c r="F74" s="6"/>
    </row>
    <row r="75" spans="1:6" ht="15.75" customHeight="1">
      <c r="A75" s="6"/>
      <c r="B75" s="6"/>
      <c r="C75" s="6"/>
      <c r="D75" s="6"/>
      <c r="E75" s="6"/>
      <c r="F75" s="6"/>
    </row>
    <row r="76" spans="1:6" ht="15.75" customHeight="1">
      <c r="A76" s="6"/>
      <c r="B76" s="6"/>
      <c r="C76" s="6"/>
      <c r="D76" s="6"/>
      <c r="E76" s="6"/>
      <c r="F76" s="6"/>
    </row>
    <row r="77" spans="1:6" ht="15.75" customHeight="1">
      <c r="A77" s="6"/>
      <c r="B77" s="6"/>
      <c r="C77" s="6"/>
      <c r="D77" s="6"/>
      <c r="E77" s="6"/>
      <c r="F77" s="6"/>
    </row>
    <row r="78" spans="1:6" ht="15.75" customHeight="1">
      <c r="A78" s="6"/>
      <c r="B78" s="6"/>
      <c r="C78" s="6"/>
      <c r="D78" s="6"/>
      <c r="E78" s="6"/>
      <c r="F78" s="6"/>
    </row>
    <row r="79" spans="1:6" ht="15.75" customHeight="1">
      <c r="A79" s="6"/>
      <c r="B79" s="6"/>
      <c r="C79" s="6"/>
      <c r="D79" s="6"/>
      <c r="E79" s="6"/>
      <c r="F79" s="6"/>
    </row>
    <row r="80" spans="1:6" ht="15.75" customHeight="1">
      <c r="A80" s="6"/>
      <c r="B80" s="6"/>
      <c r="C80" s="6"/>
      <c r="D80" s="6"/>
      <c r="E80" s="6"/>
      <c r="F80" s="6"/>
    </row>
    <row r="81" spans="1:6" ht="15.75" customHeight="1">
      <c r="A81" s="6"/>
      <c r="B81" s="6"/>
      <c r="C81" s="6"/>
      <c r="D81" s="6"/>
      <c r="E81" s="6"/>
      <c r="F81" s="6"/>
    </row>
    <row r="82" spans="1:6" ht="15.75" customHeight="1">
      <c r="A82" s="6"/>
      <c r="B82" s="6"/>
      <c r="C82" s="6"/>
      <c r="D82" s="6"/>
      <c r="E82" s="6"/>
      <c r="F82" s="6"/>
    </row>
    <row r="83" spans="1:6" ht="15.75" customHeight="1">
      <c r="A83" s="6"/>
      <c r="B83" s="6"/>
      <c r="C83" s="6"/>
      <c r="D83" s="6"/>
      <c r="E83" s="6"/>
      <c r="F83" s="6"/>
    </row>
    <row r="84" spans="1:6" ht="15.75" customHeight="1">
      <c r="A84" s="6"/>
      <c r="B84" s="6"/>
      <c r="C84" s="6"/>
      <c r="D84" s="6"/>
      <c r="E84" s="6"/>
      <c r="F84" s="6"/>
    </row>
    <row r="85" spans="1:6" ht="15.75" customHeight="1">
      <c r="A85" s="6"/>
      <c r="B85" s="6"/>
      <c r="C85" s="6"/>
      <c r="D85" s="6"/>
      <c r="E85" s="6"/>
      <c r="F85" s="6"/>
    </row>
    <row r="86" spans="1:6" ht="15.75" customHeight="1">
      <c r="A86" s="6"/>
      <c r="B86" s="6"/>
      <c r="C86" s="6"/>
      <c r="D86" s="6"/>
      <c r="E86" s="6"/>
      <c r="F86" s="6"/>
    </row>
    <row r="87" spans="1:6" ht="15.75" customHeight="1">
      <c r="A87" s="6"/>
      <c r="B87" s="6"/>
      <c r="C87" s="6"/>
      <c r="D87" s="6"/>
      <c r="E87" s="6"/>
      <c r="F87" s="6"/>
    </row>
    <row r="88" spans="1:6" ht="15.75" customHeight="1">
      <c r="A88" s="6"/>
      <c r="B88" s="6"/>
      <c r="C88" s="6"/>
      <c r="D88" s="6"/>
      <c r="E88" s="6"/>
      <c r="F88" s="6"/>
    </row>
    <row r="89" spans="1:6" ht="15.75" customHeight="1">
      <c r="A89" s="6"/>
      <c r="B89" s="6"/>
      <c r="C89" s="6"/>
      <c r="D89" s="6"/>
      <c r="E89" s="6"/>
      <c r="F89" s="6"/>
    </row>
    <row r="90" spans="1:6" ht="15.75" customHeight="1">
      <c r="A90" s="6"/>
      <c r="B90" s="6"/>
      <c r="C90" s="6"/>
      <c r="D90" s="6"/>
      <c r="E90" s="6"/>
      <c r="F90" s="6"/>
    </row>
    <row r="91" spans="1:6" ht="15.75" customHeight="1">
      <c r="A91" s="6"/>
      <c r="B91" s="6"/>
      <c r="C91" s="6"/>
      <c r="D91" s="6"/>
      <c r="E91" s="6"/>
      <c r="F91" s="6"/>
    </row>
    <row r="92" spans="1:6" ht="15.75" customHeight="1">
      <c r="A92" s="6"/>
      <c r="B92" s="6"/>
      <c r="C92" s="6"/>
      <c r="D92" s="6"/>
      <c r="E92" s="6"/>
      <c r="F92" s="6"/>
    </row>
    <row r="93" spans="1:6" ht="15.75" customHeight="1">
      <c r="A93" s="6"/>
      <c r="B93" s="6"/>
      <c r="C93" s="6"/>
      <c r="D93" s="6"/>
      <c r="E93" s="6"/>
      <c r="F93" s="6"/>
    </row>
    <row r="94" spans="1:6" ht="15.75" customHeight="1">
      <c r="A94" s="6"/>
      <c r="B94" s="6"/>
      <c r="C94" s="6"/>
      <c r="D94" s="6"/>
      <c r="E94" s="6"/>
      <c r="F94" s="6"/>
    </row>
    <row r="95" spans="1:6" ht="15.75" customHeight="1">
      <c r="A95" s="6"/>
      <c r="B95" s="6"/>
      <c r="C95" s="6"/>
      <c r="D95" s="6"/>
      <c r="E95" s="6"/>
      <c r="F95" s="6"/>
    </row>
    <row r="96" spans="1:6" ht="15.75" customHeight="1">
      <c r="A96" s="6"/>
      <c r="B96" s="6"/>
      <c r="C96" s="6"/>
      <c r="D96" s="6"/>
      <c r="E96" s="6"/>
      <c r="F96" s="6"/>
    </row>
    <row r="97" spans="1:6" ht="15.75" customHeight="1">
      <c r="A97" s="6"/>
      <c r="B97" s="6"/>
      <c r="C97" s="6"/>
      <c r="D97" s="6"/>
      <c r="E97" s="6"/>
      <c r="F97" s="6"/>
    </row>
    <row r="98" spans="1:6" ht="15.75" customHeight="1">
      <c r="A98" s="6"/>
      <c r="B98" s="6"/>
      <c r="C98" s="6"/>
      <c r="D98" s="6"/>
      <c r="E98" s="6"/>
      <c r="F98" s="6"/>
    </row>
    <row r="99" spans="1:6" ht="15.75" customHeight="1">
      <c r="A99" s="6"/>
      <c r="B99" s="6"/>
      <c r="C99" s="6"/>
      <c r="D99" s="6"/>
      <c r="E99" s="6"/>
      <c r="F99" s="6"/>
    </row>
    <row r="100" spans="1:6" ht="15.75" customHeight="1">
      <c r="A100" s="6"/>
      <c r="B100" s="6"/>
      <c r="C100" s="6"/>
      <c r="D100" s="6"/>
      <c r="E100" s="6"/>
      <c r="F100" s="6"/>
    </row>
    <row r="101" spans="1:6" ht="15.75" customHeight="1">
      <c r="A101" s="6"/>
      <c r="B101" s="6"/>
      <c r="C101" s="6"/>
      <c r="D101" s="6"/>
      <c r="E101" s="6"/>
      <c r="F101" s="6"/>
    </row>
    <row r="102" spans="1:6" ht="15.75" customHeight="1">
      <c r="A102" s="6"/>
      <c r="B102" s="6"/>
      <c r="C102" s="6"/>
      <c r="D102" s="6"/>
      <c r="E102" s="6"/>
      <c r="F102" s="6"/>
    </row>
    <row r="103" spans="1:6" ht="15.75" customHeight="1">
      <c r="A103" s="6"/>
      <c r="B103" s="6"/>
      <c r="C103" s="6"/>
      <c r="D103" s="6"/>
      <c r="E103" s="6"/>
      <c r="F103" s="6"/>
    </row>
    <row r="104" spans="1:6" ht="15.75" customHeight="1">
      <c r="A104" s="6"/>
      <c r="B104" s="6"/>
      <c r="C104" s="6"/>
      <c r="D104" s="6"/>
      <c r="E104" s="6"/>
      <c r="F104" s="6"/>
    </row>
    <row r="105" spans="1:6" ht="15.75" customHeight="1">
      <c r="A105" s="6"/>
      <c r="B105" s="6"/>
      <c r="C105" s="6"/>
      <c r="D105" s="6"/>
      <c r="E105" s="6"/>
      <c r="F105" s="6"/>
    </row>
    <row r="106" spans="1:6" ht="15.75" customHeight="1">
      <c r="A106" s="6"/>
      <c r="B106" s="6"/>
      <c r="C106" s="6"/>
      <c r="D106" s="6"/>
      <c r="E106" s="6"/>
      <c r="F106" s="6"/>
    </row>
    <row r="107" spans="1:6" ht="15.75" customHeight="1">
      <c r="A107" s="6"/>
      <c r="B107" s="6"/>
      <c r="C107" s="6"/>
      <c r="D107" s="6"/>
      <c r="E107" s="6"/>
      <c r="F107" s="6"/>
    </row>
    <row r="108" spans="1:6" ht="15.75" customHeight="1">
      <c r="A108" s="6"/>
      <c r="B108" s="6"/>
      <c r="C108" s="6"/>
      <c r="D108" s="6"/>
      <c r="E108" s="6"/>
      <c r="F108" s="6"/>
    </row>
    <row r="109" spans="1:6" ht="15.75" customHeight="1">
      <c r="A109" s="6"/>
      <c r="B109" s="6"/>
      <c r="C109" s="6"/>
      <c r="D109" s="6"/>
      <c r="E109" s="6"/>
      <c r="F109" s="6"/>
    </row>
    <row r="110" spans="1:6" ht="15.75" customHeight="1">
      <c r="A110" s="6"/>
      <c r="B110" s="6"/>
      <c r="C110" s="6"/>
      <c r="D110" s="6"/>
      <c r="E110" s="6"/>
      <c r="F110" s="6"/>
    </row>
    <row r="111" spans="1:6" ht="15.75" customHeight="1">
      <c r="A111" s="6"/>
      <c r="B111" s="6"/>
      <c r="C111" s="6"/>
      <c r="D111" s="6"/>
      <c r="E111" s="6"/>
      <c r="F111" s="6"/>
    </row>
    <row r="112" spans="1:6" ht="15.75" customHeight="1">
      <c r="A112" s="6"/>
      <c r="B112" s="6"/>
      <c r="C112" s="6"/>
      <c r="D112" s="6"/>
      <c r="E112" s="6"/>
      <c r="F112" s="6"/>
    </row>
    <row r="113" spans="1:6" ht="15.75" customHeight="1">
      <c r="A113" s="6"/>
      <c r="B113" s="6"/>
      <c r="C113" s="6"/>
      <c r="D113" s="6"/>
      <c r="E113" s="6"/>
      <c r="F113" s="6"/>
    </row>
    <row r="114" spans="1:6" ht="15.75" customHeight="1">
      <c r="A114" s="6"/>
      <c r="B114" s="6"/>
      <c r="C114" s="6"/>
      <c r="D114" s="6"/>
      <c r="E114" s="6"/>
      <c r="F114" s="6"/>
    </row>
    <row r="115" spans="1:6" ht="15.75" customHeight="1">
      <c r="A115" s="6"/>
      <c r="B115" s="6"/>
      <c r="C115" s="6"/>
      <c r="D115" s="6"/>
      <c r="E115" s="6"/>
      <c r="F115" s="6"/>
    </row>
    <row r="116" spans="1:6" ht="15.75" customHeight="1">
      <c r="A116" s="6"/>
      <c r="B116" s="6"/>
      <c r="C116" s="6"/>
      <c r="D116" s="6"/>
      <c r="E116" s="6"/>
      <c r="F116" s="6"/>
    </row>
    <row r="117" spans="1:6" ht="15.75" customHeight="1">
      <c r="A117" s="6"/>
      <c r="B117" s="6"/>
      <c r="C117" s="6"/>
      <c r="D117" s="6"/>
      <c r="E117" s="6"/>
      <c r="F117" s="6"/>
    </row>
    <row r="118" spans="1:6" ht="15.75" customHeight="1">
      <c r="A118" s="6"/>
      <c r="B118" s="6"/>
      <c r="C118" s="6"/>
      <c r="D118" s="6"/>
      <c r="E118" s="6"/>
      <c r="F118" s="6"/>
    </row>
    <row r="119" spans="1:6" ht="15.75" customHeight="1">
      <c r="A119" s="6"/>
      <c r="B119" s="6"/>
      <c r="C119" s="6"/>
      <c r="D119" s="6"/>
      <c r="E119" s="6"/>
      <c r="F119" s="6"/>
    </row>
    <row r="120" spans="1:6" ht="15.75" customHeight="1">
      <c r="A120" s="6"/>
      <c r="B120" s="6"/>
      <c r="C120" s="6"/>
      <c r="D120" s="6"/>
      <c r="E120" s="6"/>
      <c r="F120" s="6"/>
    </row>
    <row r="121" spans="1:6" ht="15.75" customHeight="1">
      <c r="A121" s="6"/>
      <c r="B121" s="6"/>
      <c r="C121" s="6"/>
      <c r="D121" s="6"/>
      <c r="E121" s="6"/>
      <c r="F121" s="6"/>
    </row>
    <row r="122" spans="1:6" ht="15.75" customHeight="1">
      <c r="A122" s="6"/>
      <c r="B122" s="6"/>
      <c r="C122" s="6"/>
      <c r="D122" s="6"/>
      <c r="E122" s="6"/>
      <c r="F122" s="6"/>
    </row>
    <row r="123" spans="1:6" ht="15.75" customHeight="1">
      <c r="A123" s="6"/>
      <c r="B123" s="6"/>
      <c r="C123" s="6"/>
      <c r="D123" s="6"/>
      <c r="E123" s="6"/>
      <c r="F123" s="6"/>
    </row>
    <row r="124" spans="1:6" ht="15.75" customHeight="1">
      <c r="A124" s="6"/>
      <c r="B124" s="6"/>
      <c r="C124" s="6"/>
      <c r="D124" s="6"/>
      <c r="E124" s="6"/>
      <c r="F124" s="6"/>
    </row>
    <row r="125" spans="1:6" ht="15.75" customHeight="1">
      <c r="A125" s="6"/>
      <c r="B125" s="6"/>
      <c r="C125" s="6"/>
      <c r="D125" s="6"/>
      <c r="E125" s="6"/>
      <c r="F125" s="6"/>
    </row>
    <row r="126" spans="1:6" ht="15.75" customHeight="1">
      <c r="A126" s="6"/>
      <c r="B126" s="6"/>
      <c r="C126" s="6"/>
      <c r="D126" s="6"/>
      <c r="E126" s="6"/>
      <c r="F126" s="6"/>
    </row>
    <row r="127" spans="1:6" ht="15.75" customHeight="1">
      <c r="A127" s="6"/>
      <c r="B127" s="6"/>
      <c r="C127" s="6"/>
      <c r="D127" s="6"/>
      <c r="E127" s="6"/>
      <c r="F127" s="6"/>
    </row>
    <row r="128" spans="1:6" ht="15.75" customHeight="1">
      <c r="A128" s="6"/>
      <c r="B128" s="6"/>
      <c r="C128" s="6"/>
      <c r="D128" s="6"/>
      <c r="E128" s="6"/>
      <c r="F128" s="6"/>
    </row>
    <row r="129" spans="1:6" ht="15.75" customHeight="1">
      <c r="A129" s="6"/>
      <c r="B129" s="6"/>
      <c r="C129" s="6"/>
      <c r="D129" s="6"/>
      <c r="E129" s="6"/>
      <c r="F129" s="6"/>
    </row>
    <row r="130" spans="1:6" ht="15.75" customHeight="1">
      <c r="A130" s="6"/>
      <c r="B130" s="6"/>
      <c r="C130" s="6"/>
      <c r="D130" s="6"/>
      <c r="E130" s="6"/>
      <c r="F130" s="6"/>
    </row>
    <row r="131" spans="1:6" ht="15.75" customHeight="1">
      <c r="A131" s="6"/>
      <c r="B131" s="6"/>
      <c r="C131" s="6"/>
      <c r="D131" s="6"/>
      <c r="E131" s="6"/>
      <c r="F131" s="6"/>
    </row>
    <row r="132" spans="1:6" ht="15.75" customHeight="1">
      <c r="A132" s="6"/>
      <c r="B132" s="6"/>
      <c r="C132" s="6"/>
      <c r="D132" s="6"/>
      <c r="E132" s="6"/>
      <c r="F132" s="6"/>
    </row>
    <row r="133" spans="1:6" ht="15.75" customHeight="1">
      <c r="A133" s="6"/>
      <c r="B133" s="6"/>
      <c r="C133" s="6"/>
      <c r="D133" s="6"/>
      <c r="E133" s="6"/>
      <c r="F133" s="6"/>
    </row>
    <row r="134" spans="1:6" ht="15.75" customHeight="1">
      <c r="A134" s="6"/>
      <c r="B134" s="6"/>
      <c r="C134" s="6"/>
      <c r="D134" s="6"/>
      <c r="E134" s="6"/>
      <c r="F134" s="6"/>
    </row>
    <row r="135" spans="1:6" ht="15.75" customHeight="1">
      <c r="A135" s="6"/>
      <c r="B135" s="6"/>
      <c r="C135" s="6"/>
      <c r="D135" s="6"/>
      <c r="E135" s="6"/>
      <c r="F135" s="6"/>
    </row>
    <row r="136" spans="1:6" ht="15.75" customHeight="1">
      <c r="A136" s="6"/>
      <c r="B136" s="6"/>
      <c r="C136" s="6"/>
      <c r="D136" s="6"/>
      <c r="E136" s="6"/>
      <c r="F136" s="6"/>
    </row>
    <row r="137" spans="1:6" ht="15.75" customHeight="1">
      <c r="A137" s="6"/>
      <c r="B137" s="6"/>
      <c r="C137" s="6"/>
      <c r="D137" s="6"/>
      <c r="E137" s="6"/>
      <c r="F137" s="6"/>
    </row>
    <row r="138" spans="1:6" ht="15.75" customHeight="1">
      <c r="A138" s="6"/>
      <c r="B138" s="6"/>
      <c r="C138" s="6"/>
      <c r="D138" s="6"/>
      <c r="E138" s="6"/>
      <c r="F138" s="6"/>
    </row>
    <row r="139" spans="1:6" ht="15.75" customHeight="1">
      <c r="A139" s="6"/>
      <c r="B139" s="6"/>
      <c r="C139" s="6"/>
      <c r="D139" s="6"/>
      <c r="E139" s="6"/>
      <c r="F139" s="6"/>
    </row>
    <row r="140" spans="1:6" ht="15.75" customHeight="1">
      <c r="A140" s="6"/>
      <c r="B140" s="6"/>
      <c r="C140" s="6"/>
      <c r="D140" s="6"/>
      <c r="E140" s="6"/>
      <c r="F140" s="6"/>
    </row>
    <row r="141" spans="1:6" ht="15.75" customHeight="1">
      <c r="A141" s="6"/>
      <c r="B141" s="6"/>
      <c r="C141" s="6"/>
      <c r="D141" s="6"/>
      <c r="E141" s="6"/>
      <c r="F141" s="6"/>
    </row>
    <row r="142" spans="1:6" ht="15.75" customHeight="1">
      <c r="A142" s="6"/>
      <c r="B142" s="6"/>
      <c r="C142" s="6"/>
      <c r="D142" s="6"/>
      <c r="E142" s="6"/>
      <c r="F142" s="6"/>
    </row>
    <row r="143" spans="1:6" ht="15.75" customHeight="1">
      <c r="A143" s="6"/>
      <c r="B143" s="6"/>
      <c r="C143" s="6"/>
      <c r="D143" s="6"/>
      <c r="E143" s="6"/>
      <c r="F143" s="6"/>
    </row>
    <row r="144" spans="1:6" ht="15.75" customHeight="1">
      <c r="A144" s="6"/>
      <c r="B144" s="6"/>
      <c r="C144" s="6"/>
      <c r="D144" s="6"/>
      <c r="E144" s="6"/>
      <c r="F144" s="6"/>
    </row>
    <row r="145" spans="1:6" ht="15.75" customHeight="1">
      <c r="A145" s="6"/>
      <c r="B145" s="6"/>
      <c r="C145" s="6"/>
      <c r="D145" s="6"/>
      <c r="E145" s="6"/>
      <c r="F145" s="6"/>
    </row>
    <row r="146" spans="1:6" ht="15.75" customHeight="1">
      <c r="A146" s="6"/>
      <c r="B146" s="6"/>
      <c r="C146" s="6"/>
      <c r="D146" s="6"/>
      <c r="E146" s="6"/>
      <c r="F146" s="6"/>
    </row>
    <row r="147" spans="1:6" ht="15.75" customHeight="1">
      <c r="A147" s="6"/>
      <c r="B147" s="6"/>
      <c r="C147" s="6"/>
      <c r="D147" s="6"/>
      <c r="E147" s="6"/>
      <c r="F147" s="6"/>
    </row>
    <row r="148" spans="1:6" ht="15.75" customHeight="1">
      <c r="A148" s="6"/>
      <c r="B148" s="6"/>
      <c r="C148" s="6"/>
      <c r="D148" s="6"/>
      <c r="E148" s="6"/>
      <c r="F148" s="6"/>
    </row>
    <row r="149" spans="1:6" ht="15.75" customHeight="1">
      <c r="A149" s="6"/>
      <c r="B149" s="6"/>
      <c r="C149" s="6"/>
      <c r="D149" s="6"/>
      <c r="E149" s="6"/>
      <c r="F149" s="6"/>
    </row>
    <row r="150" spans="1:6" ht="15.75" customHeight="1">
      <c r="A150" s="6"/>
      <c r="B150" s="6"/>
      <c r="C150" s="6"/>
      <c r="D150" s="6"/>
      <c r="E150" s="6"/>
      <c r="F150" s="6"/>
    </row>
    <row r="151" spans="1:6" ht="15.75" customHeight="1">
      <c r="A151" s="6"/>
      <c r="B151" s="6"/>
      <c r="C151" s="6"/>
      <c r="D151" s="6"/>
      <c r="E151" s="6"/>
      <c r="F151" s="6"/>
    </row>
    <row r="152" spans="1:6" ht="15.75" customHeight="1">
      <c r="A152" s="6"/>
      <c r="B152" s="6"/>
      <c r="C152" s="6"/>
      <c r="D152" s="6"/>
      <c r="E152" s="6"/>
      <c r="F152" s="6"/>
    </row>
    <row r="153" spans="1:6" ht="15.75" customHeight="1">
      <c r="A153" s="6"/>
      <c r="B153" s="6"/>
      <c r="C153" s="6"/>
      <c r="D153" s="6"/>
      <c r="E153" s="6"/>
      <c r="F153" s="6"/>
    </row>
    <row r="154" spans="1:6" ht="15.75" customHeight="1">
      <c r="A154" s="6"/>
      <c r="B154" s="6"/>
      <c r="C154" s="6"/>
      <c r="D154" s="6"/>
      <c r="E154" s="6"/>
      <c r="F154" s="6"/>
    </row>
    <row r="155" spans="1:6" ht="15.75" customHeight="1">
      <c r="A155" s="6"/>
      <c r="B155" s="6"/>
      <c r="C155" s="6"/>
      <c r="D155" s="6"/>
      <c r="E155" s="6"/>
      <c r="F155" s="6"/>
    </row>
    <row r="156" spans="1:6" ht="15.75" customHeight="1">
      <c r="A156" s="6"/>
      <c r="B156" s="6"/>
      <c r="C156" s="6"/>
      <c r="D156" s="6"/>
      <c r="E156" s="6"/>
      <c r="F156" s="6"/>
    </row>
    <row r="157" spans="1:6" ht="15.75" customHeight="1">
      <c r="A157" s="6"/>
      <c r="B157" s="6"/>
      <c r="C157" s="6"/>
      <c r="D157" s="6"/>
      <c r="E157" s="6"/>
      <c r="F157" s="6"/>
    </row>
    <row r="158" spans="1:6" ht="15.75" customHeight="1">
      <c r="A158" s="6"/>
      <c r="B158" s="6"/>
      <c r="C158" s="6"/>
      <c r="D158" s="6"/>
      <c r="E158" s="6"/>
      <c r="F158" s="6"/>
    </row>
    <row r="159" spans="1:6" ht="15.75" customHeight="1">
      <c r="A159" s="6"/>
      <c r="B159" s="6"/>
      <c r="C159" s="6"/>
      <c r="D159" s="6"/>
      <c r="E159" s="6"/>
      <c r="F159" s="6"/>
    </row>
    <row r="160" spans="1:6" ht="15.75" customHeight="1">
      <c r="A160" s="6"/>
      <c r="B160" s="6"/>
      <c r="C160" s="6"/>
      <c r="D160" s="6"/>
      <c r="E160" s="6"/>
      <c r="F160" s="6"/>
    </row>
    <row r="161" spans="1:6" ht="15.75" customHeight="1">
      <c r="A161" s="6"/>
      <c r="B161" s="6"/>
      <c r="C161" s="6"/>
      <c r="D161" s="6"/>
      <c r="E161" s="6"/>
      <c r="F161" s="6"/>
    </row>
    <row r="162" spans="1:6" ht="15.75" customHeight="1">
      <c r="A162" s="6"/>
      <c r="B162" s="6"/>
      <c r="C162" s="6"/>
      <c r="D162" s="6"/>
      <c r="E162" s="6"/>
      <c r="F162" s="6"/>
    </row>
    <row r="163" spans="1:6" ht="15.75" customHeight="1">
      <c r="A163" s="6"/>
      <c r="B163" s="6"/>
      <c r="C163" s="6"/>
      <c r="D163" s="6"/>
      <c r="E163" s="6"/>
      <c r="F163" s="6"/>
    </row>
    <row r="164" spans="1:6" ht="15.75" customHeight="1">
      <c r="A164" s="6"/>
      <c r="B164" s="6"/>
      <c r="C164" s="6"/>
      <c r="D164" s="6"/>
      <c r="E164" s="6"/>
      <c r="F164" s="6"/>
    </row>
    <row r="165" spans="1:6" ht="15.75" customHeight="1">
      <c r="A165" s="6"/>
      <c r="B165" s="6"/>
      <c r="C165" s="6"/>
      <c r="D165" s="6"/>
      <c r="E165" s="6"/>
      <c r="F165" s="6"/>
    </row>
    <row r="166" spans="1:6" ht="15.75" customHeight="1">
      <c r="A166" s="6"/>
      <c r="B166" s="6"/>
      <c r="C166" s="6"/>
      <c r="D166" s="6"/>
      <c r="E166" s="6"/>
      <c r="F166" s="6"/>
    </row>
    <row r="167" spans="1:6" ht="15.75" customHeight="1">
      <c r="A167" s="6"/>
      <c r="B167" s="6"/>
      <c r="C167" s="6"/>
      <c r="D167" s="6"/>
      <c r="E167" s="6"/>
      <c r="F167" s="6"/>
    </row>
    <row r="168" spans="1:6" ht="15.75" customHeight="1">
      <c r="A168" s="6"/>
      <c r="B168" s="6"/>
      <c r="C168" s="6"/>
      <c r="D168" s="6"/>
      <c r="E168" s="6"/>
      <c r="F168" s="6"/>
    </row>
    <row r="169" spans="1:6" ht="15.75" customHeight="1">
      <c r="A169" s="6"/>
      <c r="B169" s="6"/>
      <c r="C169" s="6"/>
      <c r="D169" s="6"/>
      <c r="E169" s="6"/>
      <c r="F169" s="6"/>
    </row>
    <row r="170" spans="1:6" ht="15.75" customHeight="1">
      <c r="A170" s="6"/>
      <c r="B170" s="6"/>
      <c r="C170" s="6"/>
      <c r="D170" s="6"/>
      <c r="E170" s="6"/>
      <c r="F170" s="6"/>
    </row>
    <row r="171" spans="1:6" ht="15.75" customHeight="1">
      <c r="A171" s="6"/>
      <c r="B171" s="6"/>
      <c r="C171" s="6"/>
      <c r="D171" s="6"/>
      <c r="E171" s="6"/>
      <c r="F171" s="6"/>
    </row>
    <row r="172" spans="1:6" ht="15.75" customHeight="1">
      <c r="A172" s="6"/>
      <c r="B172" s="6"/>
      <c r="C172" s="6"/>
      <c r="D172" s="6"/>
      <c r="E172" s="6"/>
      <c r="F172" s="6"/>
    </row>
    <row r="173" spans="1:6" ht="15.75" customHeight="1">
      <c r="A173" s="6"/>
      <c r="B173" s="6"/>
      <c r="C173" s="6"/>
      <c r="D173" s="6"/>
      <c r="E173" s="6"/>
      <c r="F173" s="6"/>
    </row>
    <row r="174" spans="1:6" ht="15.75" customHeight="1">
      <c r="A174" s="6"/>
      <c r="B174" s="6"/>
      <c r="C174" s="6"/>
      <c r="D174" s="6"/>
      <c r="E174" s="6"/>
      <c r="F174" s="6"/>
    </row>
    <row r="175" spans="1:6" ht="15.75" customHeight="1">
      <c r="A175" s="6"/>
      <c r="B175" s="6"/>
      <c r="C175" s="6"/>
      <c r="D175" s="6"/>
      <c r="E175" s="6"/>
      <c r="F175" s="6"/>
    </row>
    <row r="176" spans="1:6" ht="15.75" customHeight="1">
      <c r="A176" s="6"/>
      <c r="B176" s="6"/>
      <c r="C176" s="6"/>
      <c r="D176" s="6"/>
      <c r="E176" s="6"/>
      <c r="F176" s="6"/>
    </row>
    <row r="177" spans="1:6" ht="15.75" customHeight="1">
      <c r="A177" s="6"/>
      <c r="B177" s="6"/>
      <c r="C177" s="6"/>
      <c r="D177" s="6"/>
      <c r="E177" s="6"/>
      <c r="F177" s="6"/>
    </row>
    <row r="178" spans="1:6" ht="15.75" customHeight="1">
      <c r="A178" s="6"/>
      <c r="B178" s="6"/>
      <c r="C178" s="6"/>
      <c r="D178" s="6"/>
      <c r="E178" s="6"/>
      <c r="F178" s="6"/>
    </row>
    <row r="179" spans="1:6" ht="15.75" customHeight="1">
      <c r="A179" s="6"/>
      <c r="B179" s="6"/>
      <c r="C179" s="6"/>
      <c r="D179" s="6"/>
      <c r="E179" s="6"/>
      <c r="F179" s="6"/>
    </row>
    <row r="180" spans="1:6" ht="15.75" customHeight="1">
      <c r="A180" s="6"/>
      <c r="B180" s="6"/>
      <c r="C180" s="6"/>
      <c r="D180" s="6"/>
      <c r="E180" s="6"/>
      <c r="F180" s="6"/>
    </row>
    <row r="181" spans="1:6" ht="15.75" customHeight="1">
      <c r="A181" s="6"/>
      <c r="B181" s="6"/>
      <c r="C181" s="6"/>
      <c r="D181" s="6"/>
      <c r="E181" s="6"/>
      <c r="F181" s="6"/>
    </row>
    <row r="182" spans="1:6" ht="15.75" customHeight="1">
      <c r="A182" s="6"/>
      <c r="B182" s="6"/>
      <c r="C182" s="6"/>
      <c r="D182" s="6"/>
      <c r="E182" s="6"/>
      <c r="F182" s="6"/>
    </row>
    <row r="183" spans="1:6" ht="15.75" customHeight="1">
      <c r="A183" s="6"/>
      <c r="B183" s="6"/>
      <c r="C183" s="6"/>
      <c r="D183" s="6"/>
      <c r="E183" s="6"/>
      <c r="F183" s="6"/>
    </row>
    <row r="184" spans="1:6" ht="15.75" customHeight="1">
      <c r="A184" s="6"/>
      <c r="B184" s="6"/>
      <c r="C184" s="6"/>
      <c r="D184" s="6"/>
      <c r="E184" s="6"/>
      <c r="F184" s="6"/>
    </row>
    <row r="185" spans="1:6" ht="15.75" customHeight="1">
      <c r="A185" s="6"/>
      <c r="B185" s="6"/>
      <c r="C185" s="6"/>
      <c r="D185" s="6"/>
      <c r="E185" s="6"/>
      <c r="F185" s="6"/>
    </row>
    <row r="186" spans="1:6" ht="15.75" customHeight="1">
      <c r="A186" s="6"/>
      <c r="B186" s="6"/>
      <c r="C186" s="6"/>
      <c r="D186" s="6"/>
      <c r="E186" s="6"/>
      <c r="F186" s="6"/>
    </row>
    <row r="187" spans="1:6" ht="15.75" customHeight="1">
      <c r="A187" s="6"/>
      <c r="B187" s="6"/>
      <c r="C187" s="6"/>
      <c r="D187" s="6"/>
      <c r="E187" s="6"/>
      <c r="F187" s="6"/>
    </row>
    <row r="188" spans="1:6" ht="15.75" customHeight="1">
      <c r="A188" s="6"/>
      <c r="B188" s="6"/>
      <c r="C188" s="6"/>
      <c r="D188" s="6"/>
      <c r="E188" s="6"/>
      <c r="F188" s="6"/>
    </row>
    <row r="189" spans="1:6" ht="15.75" customHeight="1">
      <c r="A189" s="6"/>
      <c r="B189" s="6"/>
      <c r="C189" s="6"/>
      <c r="D189" s="6"/>
      <c r="E189" s="6"/>
      <c r="F189" s="6"/>
    </row>
    <row r="190" spans="1:6" ht="15.75" customHeight="1">
      <c r="A190" s="6"/>
      <c r="B190" s="6"/>
      <c r="C190" s="6"/>
      <c r="D190" s="6"/>
      <c r="E190" s="6"/>
      <c r="F190" s="6"/>
    </row>
    <row r="191" spans="1:6" ht="15.75" customHeight="1">
      <c r="A191" s="6"/>
      <c r="B191" s="6"/>
      <c r="C191" s="6"/>
      <c r="D191" s="6"/>
      <c r="E191" s="6"/>
      <c r="F191" s="6"/>
    </row>
    <row r="192" spans="1:6" ht="15.75" customHeight="1">
      <c r="A192" s="6"/>
      <c r="B192" s="6"/>
      <c r="C192" s="6"/>
      <c r="D192" s="6"/>
      <c r="E192" s="6"/>
      <c r="F192" s="6"/>
    </row>
    <row r="193" spans="1:6" ht="15.75" customHeight="1">
      <c r="A193" s="6"/>
      <c r="B193" s="6"/>
      <c r="C193" s="6"/>
      <c r="D193" s="6"/>
      <c r="E193" s="6"/>
      <c r="F193" s="6"/>
    </row>
    <row r="194" spans="1:6" ht="15.75" customHeight="1">
      <c r="A194" s="6"/>
      <c r="B194" s="6"/>
      <c r="C194" s="6"/>
      <c r="D194" s="6"/>
      <c r="E194" s="6"/>
      <c r="F194" s="6"/>
    </row>
    <row r="195" spans="1:6" ht="15.75" customHeight="1">
      <c r="A195" s="6"/>
      <c r="B195" s="6"/>
      <c r="C195" s="6"/>
      <c r="D195" s="6"/>
      <c r="E195" s="6"/>
      <c r="F195" s="6"/>
    </row>
    <row r="196" spans="1:6" ht="15.75" customHeight="1">
      <c r="A196" s="6"/>
      <c r="B196" s="6"/>
      <c r="C196" s="6"/>
      <c r="D196" s="6"/>
      <c r="E196" s="6"/>
      <c r="F196" s="6"/>
    </row>
    <row r="197" spans="1:6" ht="15.75" customHeight="1">
      <c r="A197" s="6"/>
      <c r="B197" s="6"/>
      <c r="C197" s="6"/>
      <c r="D197" s="6"/>
      <c r="E197" s="6"/>
      <c r="F197" s="6"/>
    </row>
    <row r="198" spans="1:6" ht="15.75" customHeight="1">
      <c r="A198" s="6"/>
      <c r="B198" s="6"/>
      <c r="C198" s="6"/>
      <c r="D198" s="6"/>
      <c r="E198" s="6"/>
      <c r="F198" s="6"/>
    </row>
    <row r="199" spans="1:6" ht="15.75" customHeight="1">
      <c r="A199" s="6"/>
      <c r="B199" s="6"/>
      <c r="C199" s="6"/>
      <c r="D199" s="6"/>
      <c r="E199" s="6"/>
      <c r="F199" s="6"/>
    </row>
    <row r="200" spans="1:6" ht="15.75" customHeight="1">
      <c r="A200" s="6"/>
      <c r="B200" s="6"/>
      <c r="C200" s="6"/>
      <c r="D200" s="6"/>
      <c r="E200" s="6"/>
      <c r="F200" s="6"/>
    </row>
    <row r="201" spans="1:6" ht="15.75" customHeight="1">
      <c r="A201" s="6"/>
      <c r="B201" s="6"/>
      <c r="C201" s="6"/>
      <c r="D201" s="6"/>
      <c r="E201" s="6"/>
      <c r="F201" s="6"/>
    </row>
    <row r="202" spans="1:6" ht="15.75" customHeight="1">
      <c r="A202" s="6"/>
      <c r="B202" s="6"/>
      <c r="C202" s="6"/>
      <c r="D202" s="6"/>
      <c r="E202" s="6"/>
      <c r="F202" s="6"/>
    </row>
    <row r="203" spans="1:6" ht="15.75" customHeight="1">
      <c r="A203" s="6"/>
      <c r="B203" s="6"/>
      <c r="C203" s="6"/>
      <c r="D203" s="6"/>
      <c r="E203" s="6"/>
      <c r="F203" s="6"/>
    </row>
    <row r="204" spans="1:6" ht="15.75" customHeight="1">
      <c r="A204" s="6"/>
      <c r="B204" s="6"/>
      <c r="C204" s="6"/>
      <c r="D204" s="6"/>
      <c r="E204" s="6"/>
      <c r="F204" s="6"/>
    </row>
    <row r="205" spans="1:6" ht="15.75" customHeight="1">
      <c r="A205" s="6"/>
      <c r="B205" s="6"/>
      <c r="C205" s="6"/>
      <c r="D205" s="6"/>
      <c r="E205" s="6"/>
      <c r="F205" s="6"/>
    </row>
    <row r="206" spans="1:6" ht="15.75" customHeight="1">
      <c r="A206" s="6"/>
      <c r="B206" s="6"/>
      <c r="C206" s="6"/>
      <c r="D206" s="6"/>
      <c r="E206" s="6"/>
      <c r="F206" s="6"/>
    </row>
    <row r="207" spans="1:6" ht="15.75" customHeight="1">
      <c r="A207" s="6"/>
      <c r="B207" s="6"/>
      <c r="C207" s="6"/>
      <c r="D207" s="6"/>
      <c r="E207" s="6"/>
      <c r="F207" s="6"/>
    </row>
    <row r="208" spans="1:6" ht="15.75" customHeight="1">
      <c r="A208" s="6"/>
      <c r="B208" s="6"/>
      <c r="C208" s="6"/>
      <c r="D208" s="6"/>
      <c r="E208" s="6"/>
      <c r="F208" s="6"/>
    </row>
    <row r="209" spans="1:6" ht="15.75" customHeight="1">
      <c r="A209" s="6"/>
      <c r="B209" s="6"/>
      <c r="C209" s="6"/>
      <c r="D209" s="6"/>
      <c r="E209" s="6"/>
      <c r="F209" s="6"/>
    </row>
    <row r="210" spans="1:6" ht="15.75" customHeight="1">
      <c r="A210" s="6"/>
      <c r="B210" s="6"/>
      <c r="C210" s="6"/>
      <c r="D210" s="6"/>
      <c r="E210" s="6"/>
      <c r="F210" s="6"/>
    </row>
    <row r="211" spans="1:6" ht="15.75" customHeight="1">
      <c r="A211" s="6"/>
      <c r="B211" s="6"/>
      <c r="C211" s="6"/>
      <c r="D211" s="6"/>
      <c r="E211" s="6"/>
      <c r="F211" s="6"/>
    </row>
    <row r="212" spans="1:6" ht="15.75" customHeight="1">
      <c r="A212" s="6"/>
      <c r="B212" s="6"/>
      <c r="C212" s="6"/>
      <c r="D212" s="6"/>
      <c r="E212" s="6"/>
      <c r="F212" s="6"/>
    </row>
    <row r="213" spans="1:6" ht="15.75" customHeight="1">
      <c r="A213" s="6"/>
      <c r="B213" s="6"/>
      <c r="C213" s="6"/>
      <c r="D213" s="6"/>
      <c r="E213" s="6"/>
      <c r="F213" s="6"/>
    </row>
    <row r="214" spans="1:6" ht="15.75" customHeight="1">
      <c r="A214" s="6"/>
      <c r="B214" s="6"/>
      <c r="C214" s="6"/>
      <c r="D214" s="6"/>
      <c r="E214" s="6"/>
      <c r="F214" s="6"/>
    </row>
    <row r="215" spans="1:6" ht="15.75" customHeight="1">
      <c r="A215" s="6"/>
      <c r="B215" s="6"/>
      <c r="C215" s="6"/>
      <c r="D215" s="6"/>
      <c r="E215" s="6"/>
      <c r="F215" s="6"/>
    </row>
    <row r="216" spans="1:6" ht="15.75" customHeight="1">
      <c r="A216" s="6"/>
      <c r="B216" s="6"/>
      <c r="C216" s="6"/>
      <c r="D216" s="6"/>
      <c r="E216" s="6"/>
      <c r="F216" s="6"/>
    </row>
    <row r="217" spans="1:6" ht="15.75" customHeight="1">
      <c r="A217" s="6"/>
      <c r="B217" s="6"/>
      <c r="C217" s="6"/>
      <c r="D217" s="6"/>
      <c r="E217" s="6"/>
      <c r="F217" s="6"/>
    </row>
    <row r="218" spans="1:6" ht="15.75" customHeight="1">
      <c r="A218" s="6"/>
      <c r="B218" s="6"/>
      <c r="C218" s="6"/>
      <c r="D218" s="6"/>
      <c r="E218" s="6"/>
      <c r="F218" s="6"/>
    </row>
    <row r="219" spans="1:6" ht="15.75" customHeight="1">
      <c r="A219" s="6"/>
      <c r="B219" s="6"/>
      <c r="C219" s="6"/>
      <c r="D219" s="6"/>
      <c r="E219" s="6"/>
      <c r="F219" s="6"/>
    </row>
    <row r="220" spans="1:6" ht="15.75" customHeight="1">
      <c r="A220" s="6"/>
      <c r="B220" s="6"/>
      <c r="C220" s="6"/>
      <c r="D220" s="6"/>
      <c r="E220" s="6"/>
      <c r="F220" s="6"/>
    </row>
    <row r="221" spans="1:6" ht="15.75" customHeight="1"/>
    <row r="222" spans="1:6" ht="15.75" customHeight="1"/>
    <row r="223" spans="1:6" ht="15.75" customHeight="1"/>
    <row r="224" spans="1: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scale="77" orientation="portrait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rgb="FF7030A0"/>
  </sheetPr>
  <dimension ref="A1:A1000"/>
  <sheetViews>
    <sheetView workbookViewId="0"/>
  </sheetViews>
  <sheetFormatPr defaultColWidth="12.5703125" defaultRowHeight="15" customHeight="1"/>
  <cols>
    <col min="1" max="6" width="8.5703125" customWidth="1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S1378"/>
  <sheetViews>
    <sheetView showGridLines="0" zoomScale="85" zoomScaleNormal="85" workbookViewId="0">
      <selection activeCell="M46" sqref="M46"/>
    </sheetView>
  </sheetViews>
  <sheetFormatPr defaultColWidth="12.5703125" defaultRowHeight="15" customHeight="1"/>
  <cols>
    <col min="1" max="1" width="3.42578125" customWidth="1"/>
    <col min="2" max="2" width="18.42578125" customWidth="1"/>
    <col min="3" max="3" width="44.42578125" customWidth="1"/>
    <col min="4" max="4" width="11.140625" customWidth="1"/>
    <col min="5" max="5" width="11.5703125" customWidth="1"/>
    <col min="6" max="6" width="19.42578125" customWidth="1"/>
    <col min="7" max="19" width="8.7109375" customWidth="1"/>
  </cols>
  <sheetData>
    <row r="1" spans="1:19" ht="15.75" customHeight="1">
      <c r="A1" s="381"/>
      <c r="B1" s="382"/>
      <c r="C1" s="383"/>
      <c r="D1" s="382"/>
      <c r="E1" s="383"/>
      <c r="F1" s="383"/>
      <c r="G1" s="381"/>
      <c r="H1" s="381"/>
      <c r="I1" s="381"/>
      <c r="J1" s="381"/>
      <c r="K1" s="381"/>
      <c r="L1" s="381"/>
      <c r="M1" s="381"/>
      <c r="N1" s="381"/>
      <c r="O1" s="381"/>
      <c r="P1" s="381"/>
      <c r="Q1" s="381"/>
      <c r="R1" s="381"/>
      <c r="S1" s="381"/>
    </row>
    <row r="2" spans="1:19" ht="15.75" customHeight="1">
      <c r="A2" s="381"/>
      <c r="B2" s="15" t="s">
        <v>908</v>
      </c>
      <c r="C2" s="15"/>
      <c r="D2" s="384">
        <f>MAX(C1118:$C$1370)</f>
        <v>3531.45</v>
      </c>
      <c r="E2" s="383"/>
      <c r="F2" s="383"/>
      <c r="G2" s="381"/>
      <c r="H2" s="381"/>
      <c r="I2" s="381"/>
      <c r="J2" s="381"/>
      <c r="K2" s="381"/>
      <c r="L2" s="381"/>
      <c r="M2" s="381"/>
      <c r="N2" s="381"/>
      <c r="O2" s="381"/>
      <c r="P2" s="381"/>
      <c r="Q2" s="381"/>
      <c r="R2" s="381"/>
      <c r="S2" s="381"/>
    </row>
    <row r="3" spans="1:19" ht="12.75" customHeight="1">
      <c r="A3" s="381"/>
      <c r="B3" s="319" t="s">
        <v>909</v>
      </c>
      <c r="C3" s="382"/>
      <c r="D3" s="384">
        <f>MIN(C1118:$C$1370)</f>
        <v>1846.09</v>
      </c>
      <c r="E3" s="383"/>
      <c r="F3" s="383"/>
      <c r="G3" s="381"/>
      <c r="H3" s="381"/>
      <c r="I3" s="381"/>
      <c r="J3" s="381"/>
      <c r="K3" s="381"/>
      <c r="L3" s="381"/>
      <c r="M3" s="381"/>
      <c r="N3" s="381"/>
      <c r="O3" s="381"/>
      <c r="P3" s="381"/>
      <c r="Q3" s="381"/>
      <c r="R3" s="381"/>
      <c r="S3" s="381"/>
    </row>
    <row r="4" spans="1:19" ht="12.75" customHeight="1">
      <c r="A4" s="381"/>
      <c r="B4" s="15" t="s">
        <v>910</v>
      </c>
      <c r="C4" s="15"/>
      <c r="D4" s="384">
        <f>AVERAGE(C1118:$C$1370)</f>
        <v>2941.4628458498009</v>
      </c>
      <c r="E4" s="383"/>
      <c r="F4" s="383"/>
      <c r="G4" s="381"/>
      <c r="H4" s="381"/>
      <c r="I4" s="381"/>
      <c r="J4" s="381"/>
      <c r="K4" s="381"/>
      <c r="L4" s="381"/>
      <c r="M4" s="381"/>
      <c r="N4" s="381"/>
      <c r="O4" s="381"/>
      <c r="P4" s="381"/>
      <c r="Q4" s="381"/>
      <c r="R4" s="381"/>
      <c r="S4" s="381"/>
    </row>
    <row r="5" spans="1:19" ht="12.75" customHeight="1">
      <c r="A5" s="381"/>
      <c r="B5" s="382"/>
      <c r="C5" s="383"/>
      <c r="D5" s="382"/>
      <c r="E5" s="383"/>
      <c r="F5" s="383"/>
      <c r="G5" s="381"/>
      <c r="H5" s="381"/>
      <c r="I5" s="381"/>
      <c r="J5" s="381"/>
      <c r="K5" s="381"/>
      <c r="L5" s="381"/>
      <c r="M5" s="381"/>
      <c r="N5" s="381"/>
      <c r="O5" s="381"/>
      <c r="P5" s="381"/>
      <c r="Q5" s="381"/>
      <c r="R5" s="381"/>
      <c r="S5" s="381"/>
    </row>
    <row r="6" spans="1:19" ht="12.75" customHeight="1">
      <c r="A6" s="381"/>
      <c r="B6" s="385" t="s">
        <v>686</v>
      </c>
      <c r="C6" s="386" t="s">
        <v>911</v>
      </c>
      <c r="D6" s="387"/>
      <c r="E6" s="388"/>
      <c r="F6" s="388"/>
      <c r="G6" s="381"/>
      <c r="H6" s="381"/>
      <c r="I6" s="381"/>
      <c r="J6" s="381"/>
      <c r="K6" s="381"/>
      <c r="L6" s="381"/>
      <c r="M6" s="381"/>
      <c r="N6" s="381"/>
      <c r="O6" s="381"/>
      <c r="P6" s="381"/>
      <c r="Q6" s="381"/>
      <c r="R6" s="381"/>
      <c r="S6" s="381"/>
    </row>
    <row r="7" spans="1:19" ht="12.75" customHeight="1">
      <c r="A7" s="381"/>
      <c r="B7" s="389">
        <v>42559</v>
      </c>
      <c r="C7" s="390">
        <v>625.9</v>
      </c>
      <c r="D7" s="391"/>
      <c r="E7" s="392"/>
      <c r="F7" s="393"/>
      <c r="G7" s="381"/>
      <c r="H7" s="381"/>
      <c r="I7" s="381"/>
      <c r="J7" s="381"/>
      <c r="K7" s="381"/>
      <c r="L7" s="381"/>
      <c r="M7" s="381"/>
      <c r="N7" s="381"/>
      <c r="O7" s="381"/>
      <c r="P7" s="381"/>
      <c r="Q7" s="381"/>
      <c r="R7" s="381"/>
      <c r="S7" s="381"/>
    </row>
    <row r="8" spans="1:19" ht="12.75" customHeight="1">
      <c r="A8" s="381"/>
      <c r="B8" s="389">
        <v>42559</v>
      </c>
      <c r="C8" s="390">
        <v>628.35</v>
      </c>
      <c r="D8" s="394"/>
      <c r="E8" s="392">
        <f t="shared" ref="E8:E1356" si="0">C8/C7-1</f>
        <v>3.9143633168239322E-3</v>
      </c>
      <c r="F8" s="393"/>
      <c r="G8" s="381"/>
      <c r="H8" s="381"/>
      <c r="I8" s="381"/>
      <c r="J8" s="381"/>
      <c r="K8" s="381"/>
      <c r="L8" s="381"/>
      <c r="M8" s="381"/>
      <c r="N8" s="381"/>
      <c r="O8" s="381"/>
      <c r="P8" s="381"/>
      <c r="Q8" s="381"/>
      <c r="R8" s="381"/>
      <c r="S8" s="381"/>
    </row>
    <row r="9" spans="1:19" ht="12.75" customHeight="1">
      <c r="A9" s="381"/>
      <c r="B9" s="389">
        <v>42559</v>
      </c>
      <c r="C9" s="390">
        <v>625.30999999999995</v>
      </c>
      <c r="D9" s="394"/>
      <c r="E9" s="392">
        <f t="shared" si="0"/>
        <v>-4.8380679557572526E-3</v>
      </c>
      <c r="F9" s="393"/>
      <c r="G9" s="381"/>
      <c r="H9" s="381"/>
      <c r="I9" s="381"/>
      <c r="J9" s="381"/>
      <c r="K9" s="381"/>
      <c r="L9" s="381"/>
      <c r="M9" s="381"/>
      <c r="N9" s="381"/>
      <c r="O9" s="381"/>
      <c r="P9" s="381"/>
      <c r="Q9" s="381"/>
      <c r="R9" s="381"/>
      <c r="S9" s="381"/>
    </row>
    <row r="10" spans="1:19" ht="12.75" customHeight="1">
      <c r="A10" s="381"/>
      <c r="B10" s="389">
        <v>42559</v>
      </c>
      <c r="C10" s="390">
        <v>640.95000000000005</v>
      </c>
      <c r="D10" s="394"/>
      <c r="E10" s="392">
        <f t="shared" si="0"/>
        <v>2.5011594249252589E-2</v>
      </c>
      <c r="F10" s="393"/>
      <c r="G10" s="381"/>
      <c r="H10" s="381"/>
      <c r="I10" s="381"/>
      <c r="J10" s="381"/>
      <c r="K10" s="381"/>
      <c r="L10" s="381"/>
      <c r="M10" s="381"/>
      <c r="N10" s="381"/>
      <c r="O10" s="381"/>
      <c r="P10" s="381"/>
      <c r="Q10" s="381"/>
      <c r="R10" s="381"/>
      <c r="S10" s="381"/>
    </row>
    <row r="11" spans="1:19" ht="12.75" customHeight="1">
      <c r="A11" s="381"/>
      <c r="B11" s="389">
        <v>42559</v>
      </c>
      <c r="C11" s="390">
        <v>655.65</v>
      </c>
      <c r="D11" s="393"/>
      <c r="E11" s="392">
        <f t="shared" si="0"/>
        <v>2.2934706295342666E-2</v>
      </c>
      <c r="F11" s="393"/>
      <c r="G11" s="381"/>
      <c r="H11" s="381"/>
      <c r="I11" s="381"/>
      <c r="J11" s="381"/>
      <c r="K11" s="381"/>
      <c r="L11" s="381"/>
      <c r="M11" s="381"/>
      <c r="N11" s="381"/>
      <c r="O11" s="381"/>
      <c r="P11" s="381"/>
      <c r="Q11" s="381"/>
      <c r="R11" s="381"/>
      <c r="S11" s="381"/>
    </row>
    <row r="12" spans="1:19" ht="12.75" customHeight="1">
      <c r="A12" s="381"/>
      <c r="B12" s="389">
        <v>42559</v>
      </c>
      <c r="C12" s="390">
        <v>659.37</v>
      </c>
      <c r="D12" s="393"/>
      <c r="E12" s="392">
        <f t="shared" si="0"/>
        <v>5.6737588652482351E-3</v>
      </c>
      <c r="F12" s="393"/>
      <c r="G12" s="381"/>
      <c r="H12" s="381"/>
      <c r="I12" s="381"/>
      <c r="J12" s="381"/>
      <c r="K12" s="381"/>
      <c r="L12" s="381"/>
      <c r="M12" s="381"/>
      <c r="N12" s="381"/>
      <c r="O12" s="381"/>
      <c r="P12" s="381"/>
      <c r="Q12" s="381"/>
      <c r="R12" s="381"/>
      <c r="S12" s="381"/>
    </row>
    <row r="13" spans="1:19" ht="12.75" customHeight="1">
      <c r="A13" s="381"/>
      <c r="B13" s="389">
        <v>42559</v>
      </c>
      <c r="C13" s="390">
        <v>655.49</v>
      </c>
      <c r="D13" s="393"/>
      <c r="E13" s="392">
        <f t="shared" si="0"/>
        <v>-5.8844048106525548E-3</v>
      </c>
      <c r="F13" s="393"/>
      <c r="G13" s="381"/>
      <c r="H13" s="381"/>
      <c r="I13" s="381"/>
      <c r="J13" s="381"/>
      <c r="K13" s="381"/>
      <c r="L13" s="381"/>
      <c r="M13" s="381"/>
      <c r="N13" s="381"/>
      <c r="O13" s="381"/>
      <c r="P13" s="381"/>
      <c r="Q13" s="381"/>
      <c r="R13" s="381"/>
      <c r="S13" s="381"/>
    </row>
    <row r="14" spans="1:19" ht="12.75" customHeight="1">
      <c r="A14" s="381"/>
      <c r="B14" s="389">
        <v>42559</v>
      </c>
      <c r="C14" s="390">
        <v>659.68</v>
      </c>
      <c r="D14" s="393"/>
      <c r="E14" s="392">
        <f t="shared" si="0"/>
        <v>6.3921646401927656E-3</v>
      </c>
      <c r="F14" s="393"/>
      <c r="G14" s="381"/>
      <c r="H14" s="381"/>
      <c r="I14" s="381"/>
      <c r="J14" s="381"/>
      <c r="K14" s="381"/>
      <c r="L14" s="381"/>
      <c r="M14" s="381"/>
      <c r="N14" s="381"/>
      <c r="O14" s="381"/>
      <c r="P14" s="381"/>
      <c r="Q14" s="381"/>
      <c r="R14" s="381"/>
      <c r="S14" s="381"/>
    </row>
    <row r="15" spans="1:19" ht="12.75" customHeight="1">
      <c r="A15" s="381"/>
      <c r="B15" s="389">
        <v>42559</v>
      </c>
      <c r="C15" s="390">
        <v>673.25</v>
      </c>
      <c r="D15" s="393"/>
      <c r="E15" s="392">
        <f t="shared" si="0"/>
        <v>2.0570579674993983E-2</v>
      </c>
      <c r="F15" s="393"/>
      <c r="G15" s="381"/>
      <c r="H15" s="381"/>
      <c r="I15" s="381"/>
      <c r="J15" s="381"/>
      <c r="K15" s="381"/>
      <c r="L15" s="381"/>
      <c r="M15" s="381"/>
      <c r="N15" s="381"/>
      <c r="O15" s="381"/>
      <c r="P15" s="381"/>
      <c r="Q15" s="381"/>
      <c r="R15" s="381"/>
      <c r="S15" s="381"/>
    </row>
    <row r="16" spans="1:19" ht="12.75" customHeight="1">
      <c r="A16" s="381"/>
      <c r="B16" s="389">
        <v>42559</v>
      </c>
      <c r="C16" s="390">
        <v>665.6</v>
      </c>
      <c r="D16" s="393"/>
      <c r="E16" s="392">
        <f t="shared" si="0"/>
        <v>-1.1362792424804979E-2</v>
      </c>
      <c r="F16" s="393"/>
      <c r="G16" s="381"/>
      <c r="H16" s="381"/>
      <c r="I16" s="381"/>
      <c r="J16" s="381"/>
      <c r="K16" s="381"/>
      <c r="L16" s="381"/>
      <c r="M16" s="381"/>
      <c r="N16" s="381"/>
      <c r="O16" s="381"/>
      <c r="P16" s="381"/>
      <c r="Q16" s="381"/>
      <c r="R16" s="381"/>
      <c r="S16" s="381"/>
    </row>
    <row r="17" spans="1:19" ht="12.75" customHeight="1">
      <c r="A17" s="381"/>
      <c r="B17" s="389">
        <v>42559</v>
      </c>
      <c r="C17" s="390">
        <v>642.35</v>
      </c>
      <c r="D17" s="393"/>
      <c r="E17" s="392">
        <f t="shared" si="0"/>
        <v>-3.4930889423076872E-2</v>
      </c>
      <c r="F17" s="393"/>
      <c r="G17" s="381"/>
      <c r="H17" s="381"/>
      <c r="I17" s="381"/>
      <c r="J17" s="381"/>
      <c r="K17" s="381"/>
      <c r="L17" s="381"/>
      <c r="M17" s="381"/>
      <c r="N17" s="381"/>
      <c r="O17" s="381"/>
      <c r="P17" s="381"/>
      <c r="Q17" s="381"/>
      <c r="R17" s="381"/>
      <c r="S17" s="381"/>
    </row>
    <row r="18" spans="1:19" ht="12.75" customHeight="1">
      <c r="A18" s="381"/>
      <c r="B18" s="389">
        <v>42559</v>
      </c>
      <c r="C18" s="390">
        <v>647.80999999999995</v>
      </c>
      <c r="D18" s="393"/>
      <c r="E18" s="392">
        <f t="shared" si="0"/>
        <v>8.5000389195919457E-3</v>
      </c>
      <c r="F18" s="393"/>
      <c r="G18" s="381"/>
      <c r="H18" s="381"/>
      <c r="I18" s="381"/>
      <c r="J18" s="381"/>
      <c r="K18" s="381"/>
      <c r="L18" s="381"/>
      <c r="M18" s="381"/>
      <c r="N18" s="381"/>
      <c r="O18" s="381"/>
      <c r="P18" s="381"/>
      <c r="Q18" s="381"/>
      <c r="R18" s="381"/>
      <c r="S18" s="381"/>
    </row>
    <row r="19" spans="1:19" ht="12.75" customHeight="1">
      <c r="A19" s="381"/>
      <c r="B19" s="389">
        <v>42559</v>
      </c>
      <c r="C19" s="390">
        <v>643.29999999999995</v>
      </c>
      <c r="D19" s="393"/>
      <c r="E19" s="392">
        <f t="shared" si="0"/>
        <v>-6.9619178462820841E-3</v>
      </c>
      <c r="F19" s="393"/>
      <c r="G19" s="381"/>
      <c r="H19" s="381"/>
      <c r="I19" s="381"/>
      <c r="J19" s="381"/>
      <c r="K19" s="381"/>
      <c r="L19" s="381"/>
      <c r="M19" s="381"/>
      <c r="N19" s="381"/>
      <c r="O19" s="381"/>
      <c r="P19" s="381"/>
      <c r="Q19" s="381"/>
      <c r="R19" s="381"/>
      <c r="S19" s="381"/>
    </row>
    <row r="20" spans="1:19" ht="12.75" customHeight="1">
      <c r="A20" s="381"/>
      <c r="B20" s="389">
        <v>42559</v>
      </c>
      <c r="C20" s="390">
        <v>663.54</v>
      </c>
      <c r="D20" s="393"/>
      <c r="E20" s="392">
        <f t="shared" si="0"/>
        <v>3.146277009171472E-2</v>
      </c>
      <c r="F20" s="393"/>
      <c r="G20" s="381"/>
      <c r="H20" s="381"/>
      <c r="I20" s="381"/>
      <c r="J20" s="381"/>
      <c r="K20" s="381"/>
      <c r="L20" s="381"/>
      <c r="M20" s="381"/>
      <c r="N20" s="381"/>
      <c r="O20" s="381"/>
      <c r="P20" s="381"/>
      <c r="Q20" s="381"/>
      <c r="R20" s="381"/>
      <c r="S20" s="381"/>
    </row>
    <row r="21" spans="1:19" ht="12.75" customHeight="1">
      <c r="A21" s="381"/>
      <c r="B21" s="389">
        <v>42327</v>
      </c>
      <c r="C21" s="390">
        <v>661.27</v>
      </c>
      <c r="D21" s="393"/>
      <c r="E21" s="392">
        <f t="shared" si="0"/>
        <v>-3.4210446996413291E-3</v>
      </c>
      <c r="F21" s="393"/>
      <c r="G21" s="381"/>
      <c r="H21" s="381"/>
      <c r="I21" s="381"/>
      <c r="J21" s="381"/>
      <c r="K21" s="381"/>
      <c r="L21" s="381"/>
      <c r="M21" s="381"/>
      <c r="N21" s="381"/>
      <c r="O21" s="381"/>
      <c r="P21" s="381"/>
      <c r="Q21" s="381"/>
      <c r="R21" s="381"/>
      <c r="S21" s="381"/>
    </row>
    <row r="22" spans="1:19" ht="12.75" customHeight="1">
      <c r="A22" s="381"/>
      <c r="B22" s="389">
        <v>42328</v>
      </c>
      <c r="C22" s="390">
        <v>668.45</v>
      </c>
      <c r="D22" s="393"/>
      <c r="E22" s="392">
        <f t="shared" si="0"/>
        <v>1.0857894657250622E-2</v>
      </c>
      <c r="F22" s="393"/>
      <c r="G22" s="381"/>
      <c r="H22" s="381"/>
      <c r="I22" s="381"/>
      <c r="J22" s="381"/>
      <c r="K22" s="381"/>
      <c r="L22" s="381"/>
      <c r="M22" s="381"/>
      <c r="N22" s="381"/>
      <c r="O22" s="381"/>
      <c r="P22" s="381"/>
      <c r="Q22" s="381"/>
      <c r="R22" s="381"/>
      <c r="S22" s="381"/>
    </row>
    <row r="23" spans="1:19" ht="12.75" customHeight="1">
      <c r="A23" s="381"/>
      <c r="B23" s="389">
        <v>42331</v>
      </c>
      <c r="C23" s="390">
        <v>678.99</v>
      </c>
      <c r="D23" s="393"/>
      <c r="E23" s="392">
        <f t="shared" si="0"/>
        <v>1.5767821078614741E-2</v>
      </c>
      <c r="F23" s="393"/>
      <c r="G23" s="381"/>
      <c r="H23" s="381"/>
      <c r="I23" s="381"/>
      <c r="J23" s="381"/>
      <c r="K23" s="381"/>
      <c r="L23" s="381"/>
      <c r="M23" s="381"/>
      <c r="N23" s="381"/>
      <c r="O23" s="381"/>
      <c r="P23" s="381"/>
      <c r="Q23" s="381"/>
      <c r="R23" s="381"/>
      <c r="S23" s="381"/>
    </row>
    <row r="24" spans="1:19" ht="12.75" customHeight="1">
      <c r="A24" s="381"/>
      <c r="B24" s="389">
        <v>42332</v>
      </c>
      <c r="C24" s="390">
        <v>671.15</v>
      </c>
      <c r="D24" s="393"/>
      <c r="E24" s="392">
        <f t="shared" si="0"/>
        <v>-1.1546561805033995E-2</v>
      </c>
      <c r="F24" s="393"/>
      <c r="G24" s="381"/>
      <c r="H24" s="381"/>
      <c r="I24" s="381"/>
      <c r="J24" s="381"/>
      <c r="K24" s="381"/>
      <c r="L24" s="381"/>
      <c r="M24" s="381"/>
      <c r="N24" s="381"/>
      <c r="O24" s="381"/>
      <c r="P24" s="381"/>
      <c r="Q24" s="381"/>
      <c r="R24" s="381"/>
      <c r="S24" s="381"/>
    </row>
    <row r="25" spans="1:19" ht="12.75" customHeight="1">
      <c r="A25" s="381"/>
      <c r="B25" s="389">
        <v>42333</v>
      </c>
      <c r="C25" s="390">
        <v>675.34</v>
      </c>
      <c r="D25" s="393"/>
      <c r="E25" s="392">
        <f t="shared" si="0"/>
        <v>6.2430157192878699E-3</v>
      </c>
      <c r="F25" s="393"/>
      <c r="G25" s="381"/>
      <c r="H25" s="381"/>
      <c r="I25" s="381"/>
      <c r="J25" s="381"/>
      <c r="K25" s="381"/>
      <c r="L25" s="381"/>
      <c r="M25" s="381"/>
      <c r="N25" s="381"/>
      <c r="O25" s="381"/>
      <c r="P25" s="381"/>
      <c r="Q25" s="381"/>
      <c r="R25" s="381"/>
      <c r="S25" s="381"/>
    </row>
    <row r="26" spans="1:19" ht="12.75" customHeight="1">
      <c r="A26" s="381"/>
      <c r="B26" s="389">
        <v>42335</v>
      </c>
      <c r="C26" s="390">
        <v>673.26</v>
      </c>
      <c r="D26" s="393"/>
      <c r="E26" s="392">
        <f t="shared" si="0"/>
        <v>-3.0799301092783171E-3</v>
      </c>
      <c r="F26" s="393"/>
      <c r="G26" s="381"/>
      <c r="H26" s="381"/>
      <c r="I26" s="381"/>
      <c r="J26" s="381"/>
      <c r="K26" s="381"/>
      <c r="L26" s="381"/>
      <c r="M26" s="381"/>
      <c r="N26" s="381"/>
      <c r="O26" s="381"/>
      <c r="P26" s="381"/>
      <c r="Q26" s="381"/>
      <c r="R26" s="381"/>
      <c r="S26" s="381"/>
    </row>
    <row r="27" spans="1:19" ht="12.75" customHeight="1">
      <c r="A27" s="381"/>
      <c r="B27" s="389">
        <v>42338</v>
      </c>
      <c r="C27" s="390">
        <v>664.8</v>
      </c>
      <c r="D27" s="393"/>
      <c r="E27" s="392">
        <f t="shared" si="0"/>
        <v>-1.2565724979948345E-2</v>
      </c>
      <c r="F27" s="393"/>
      <c r="G27" s="381"/>
      <c r="H27" s="381"/>
      <c r="I27" s="381"/>
      <c r="J27" s="381"/>
      <c r="K27" s="381"/>
      <c r="L27" s="381"/>
      <c r="M27" s="381"/>
      <c r="N27" s="381"/>
      <c r="O27" s="381"/>
      <c r="P27" s="381"/>
      <c r="Q27" s="381"/>
      <c r="R27" s="381"/>
      <c r="S27" s="381"/>
    </row>
    <row r="28" spans="1:19" ht="12.75" customHeight="1">
      <c r="A28" s="381"/>
      <c r="B28" s="389">
        <v>42339</v>
      </c>
      <c r="C28" s="390">
        <v>679.06</v>
      </c>
      <c r="D28" s="393"/>
      <c r="E28" s="392">
        <f t="shared" si="0"/>
        <v>2.145006016847173E-2</v>
      </c>
      <c r="F28" s="393"/>
      <c r="G28" s="381"/>
      <c r="H28" s="381"/>
      <c r="I28" s="381"/>
      <c r="J28" s="381"/>
      <c r="K28" s="381"/>
      <c r="L28" s="381"/>
      <c r="M28" s="381"/>
      <c r="N28" s="381"/>
      <c r="O28" s="381"/>
      <c r="P28" s="381"/>
      <c r="Q28" s="381"/>
      <c r="R28" s="381"/>
      <c r="S28" s="381"/>
    </row>
    <row r="29" spans="1:19" ht="12.75" customHeight="1">
      <c r="A29" s="381"/>
      <c r="B29" s="389">
        <v>42340</v>
      </c>
      <c r="C29" s="390">
        <v>676.01</v>
      </c>
      <c r="D29" s="393"/>
      <c r="E29" s="392">
        <f t="shared" si="0"/>
        <v>-4.4915029599740253E-3</v>
      </c>
      <c r="F29" s="393"/>
      <c r="G29" s="381"/>
      <c r="H29" s="381"/>
      <c r="I29" s="381"/>
      <c r="J29" s="381"/>
      <c r="K29" s="381"/>
      <c r="L29" s="381"/>
      <c r="M29" s="381"/>
      <c r="N29" s="381"/>
      <c r="O29" s="381"/>
      <c r="P29" s="381"/>
      <c r="Q29" s="381"/>
      <c r="R29" s="381"/>
      <c r="S29" s="381"/>
    </row>
    <row r="30" spans="1:19" ht="12.75" customHeight="1">
      <c r="A30" s="381"/>
      <c r="B30" s="389">
        <v>42341</v>
      </c>
      <c r="C30" s="390">
        <v>666.25</v>
      </c>
      <c r="D30" s="393"/>
      <c r="E30" s="392">
        <f t="shared" si="0"/>
        <v>-1.4437656247688668E-2</v>
      </c>
      <c r="F30" s="393"/>
      <c r="G30" s="381"/>
      <c r="H30" s="381"/>
      <c r="I30" s="381"/>
      <c r="J30" s="381"/>
      <c r="K30" s="381"/>
      <c r="L30" s="381"/>
      <c r="M30" s="381"/>
      <c r="N30" s="381"/>
      <c r="O30" s="381"/>
      <c r="P30" s="381"/>
      <c r="Q30" s="381"/>
      <c r="R30" s="381"/>
      <c r="S30" s="381"/>
    </row>
    <row r="31" spans="1:19" ht="12.75" customHeight="1">
      <c r="A31" s="381"/>
      <c r="B31" s="389">
        <v>42342</v>
      </c>
      <c r="C31" s="390">
        <v>672.64</v>
      </c>
      <c r="D31" s="393"/>
      <c r="E31" s="392">
        <f t="shared" si="0"/>
        <v>9.5909943714822532E-3</v>
      </c>
      <c r="F31" s="393"/>
      <c r="G31" s="381"/>
      <c r="H31" s="381"/>
      <c r="I31" s="381"/>
      <c r="J31" s="381"/>
      <c r="K31" s="381"/>
      <c r="L31" s="381"/>
      <c r="M31" s="381"/>
      <c r="N31" s="381"/>
      <c r="O31" s="381"/>
      <c r="P31" s="381"/>
      <c r="Q31" s="381"/>
      <c r="R31" s="381"/>
      <c r="S31" s="381"/>
    </row>
    <row r="32" spans="1:19" ht="12.75" customHeight="1">
      <c r="A32" s="381"/>
      <c r="B32" s="389">
        <v>42345</v>
      </c>
      <c r="C32" s="390">
        <v>669.83</v>
      </c>
      <c r="D32" s="393"/>
      <c r="E32" s="392">
        <f t="shared" si="0"/>
        <v>-4.1775689819218975E-3</v>
      </c>
      <c r="F32" s="393"/>
      <c r="G32" s="381"/>
      <c r="H32" s="381"/>
      <c r="I32" s="381"/>
      <c r="J32" s="381"/>
      <c r="K32" s="381"/>
      <c r="L32" s="381"/>
      <c r="M32" s="381"/>
      <c r="N32" s="381"/>
      <c r="O32" s="381"/>
      <c r="P32" s="381"/>
      <c r="Q32" s="381"/>
      <c r="R32" s="381"/>
      <c r="S32" s="381"/>
    </row>
    <row r="33" spans="1:19" ht="12.75" customHeight="1">
      <c r="A33" s="381"/>
      <c r="B33" s="389">
        <v>42346</v>
      </c>
      <c r="C33" s="390">
        <v>677.33</v>
      </c>
      <c r="D33" s="393"/>
      <c r="E33" s="392">
        <f t="shared" si="0"/>
        <v>1.1196870847827167E-2</v>
      </c>
      <c r="F33" s="393"/>
      <c r="G33" s="381"/>
      <c r="H33" s="381"/>
      <c r="I33" s="381"/>
      <c r="J33" s="381"/>
      <c r="K33" s="381"/>
      <c r="L33" s="381"/>
      <c r="M33" s="381"/>
      <c r="N33" s="381"/>
      <c r="O33" s="381"/>
      <c r="P33" s="381"/>
      <c r="Q33" s="381"/>
      <c r="R33" s="381"/>
      <c r="S33" s="381"/>
    </row>
    <row r="34" spans="1:19" ht="12.75" customHeight="1">
      <c r="A34" s="381"/>
      <c r="B34" s="389">
        <v>42347</v>
      </c>
      <c r="C34" s="390">
        <v>664.79</v>
      </c>
      <c r="D34" s="393"/>
      <c r="E34" s="392">
        <f t="shared" si="0"/>
        <v>-1.8513870639127239E-2</v>
      </c>
      <c r="F34" s="393"/>
      <c r="G34" s="381"/>
      <c r="H34" s="381"/>
      <c r="I34" s="381"/>
      <c r="J34" s="381"/>
      <c r="K34" s="381"/>
      <c r="L34" s="381"/>
      <c r="M34" s="381"/>
      <c r="N34" s="381"/>
      <c r="O34" s="381"/>
      <c r="P34" s="381"/>
      <c r="Q34" s="381"/>
      <c r="R34" s="381"/>
      <c r="S34" s="381"/>
    </row>
    <row r="35" spans="1:19" ht="12.75" customHeight="1">
      <c r="A35" s="381"/>
      <c r="B35" s="389">
        <v>42348</v>
      </c>
      <c r="C35" s="390">
        <v>662.32</v>
      </c>
      <c r="D35" s="393"/>
      <c r="E35" s="392">
        <f t="shared" si="0"/>
        <v>-3.7154590171331048E-3</v>
      </c>
      <c r="F35" s="393"/>
      <c r="G35" s="381"/>
      <c r="H35" s="381"/>
      <c r="I35" s="381"/>
      <c r="J35" s="381"/>
      <c r="K35" s="381"/>
      <c r="L35" s="381"/>
      <c r="M35" s="381"/>
      <c r="N35" s="381"/>
      <c r="O35" s="381"/>
      <c r="P35" s="381"/>
      <c r="Q35" s="381"/>
      <c r="R35" s="381"/>
      <c r="S35" s="381"/>
    </row>
    <row r="36" spans="1:19" ht="12.75" customHeight="1">
      <c r="A36" s="381"/>
      <c r="B36" s="389">
        <v>42349</v>
      </c>
      <c r="C36" s="390">
        <v>640.15</v>
      </c>
      <c r="D36" s="393"/>
      <c r="E36" s="392">
        <f t="shared" si="0"/>
        <v>-3.347324556105824E-2</v>
      </c>
      <c r="F36" s="393"/>
      <c r="G36" s="381"/>
      <c r="H36" s="381"/>
      <c r="I36" s="381"/>
      <c r="J36" s="381"/>
      <c r="K36" s="381"/>
      <c r="L36" s="381"/>
      <c r="M36" s="381"/>
      <c r="N36" s="381"/>
      <c r="O36" s="381"/>
      <c r="P36" s="381"/>
      <c r="Q36" s="381"/>
      <c r="R36" s="381"/>
      <c r="S36" s="381"/>
    </row>
    <row r="37" spans="1:19" ht="12.75" customHeight="1">
      <c r="A37" s="381"/>
      <c r="B37" s="389">
        <v>42352</v>
      </c>
      <c r="C37" s="390">
        <v>657.91</v>
      </c>
      <c r="D37" s="393"/>
      <c r="E37" s="392">
        <f t="shared" si="0"/>
        <v>2.7743497617745749E-2</v>
      </c>
      <c r="F37" s="393"/>
      <c r="G37" s="381"/>
      <c r="H37" s="381"/>
      <c r="I37" s="381"/>
      <c r="J37" s="381"/>
      <c r="K37" s="381"/>
      <c r="L37" s="381"/>
      <c r="M37" s="381"/>
      <c r="N37" s="381"/>
      <c r="O37" s="381"/>
      <c r="P37" s="381"/>
      <c r="Q37" s="381"/>
      <c r="R37" s="381"/>
      <c r="S37" s="381"/>
    </row>
    <row r="38" spans="1:19" ht="12.75" customHeight="1">
      <c r="A38" s="381"/>
      <c r="B38" s="389">
        <v>42353</v>
      </c>
      <c r="C38" s="390">
        <v>658.64</v>
      </c>
      <c r="D38" s="393"/>
      <c r="E38" s="392">
        <f t="shared" si="0"/>
        <v>1.1095742578772771E-3</v>
      </c>
      <c r="F38" s="393"/>
      <c r="G38" s="381"/>
      <c r="H38" s="381"/>
      <c r="I38" s="381"/>
      <c r="J38" s="381"/>
      <c r="K38" s="381"/>
      <c r="L38" s="381"/>
      <c r="M38" s="381"/>
      <c r="N38" s="381"/>
      <c r="O38" s="381"/>
      <c r="P38" s="381"/>
      <c r="Q38" s="381"/>
      <c r="R38" s="381"/>
      <c r="S38" s="381"/>
    </row>
    <row r="39" spans="1:19" ht="12.75" customHeight="1">
      <c r="A39" s="381"/>
      <c r="B39" s="389">
        <v>42354</v>
      </c>
      <c r="C39" s="390">
        <v>675.77</v>
      </c>
      <c r="D39" s="393"/>
      <c r="E39" s="392">
        <f t="shared" si="0"/>
        <v>2.6008137981294865E-2</v>
      </c>
      <c r="F39" s="393"/>
      <c r="G39" s="381"/>
      <c r="H39" s="381"/>
      <c r="I39" s="381"/>
      <c r="J39" s="381"/>
      <c r="K39" s="381"/>
      <c r="L39" s="381"/>
      <c r="M39" s="381"/>
      <c r="N39" s="381"/>
      <c r="O39" s="381"/>
      <c r="P39" s="381"/>
      <c r="Q39" s="381"/>
      <c r="R39" s="381"/>
      <c r="S39" s="381"/>
    </row>
    <row r="40" spans="1:19" ht="12.75" customHeight="1">
      <c r="A40" s="381"/>
      <c r="B40" s="389">
        <v>42355</v>
      </c>
      <c r="C40" s="390">
        <v>670.65</v>
      </c>
      <c r="D40" s="393"/>
      <c r="E40" s="392">
        <f t="shared" si="0"/>
        <v>-7.5765423146928468E-3</v>
      </c>
      <c r="F40" s="393"/>
      <c r="G40" s="381"/>
      <c r="H40" s="381"/>
      <c r="I40" s="381" t="s">
        <v>1954</v>
      </c>
      <c r="J40" s="381"/>
      <c r="K40" s="381"/>
      <c r="L40" s="381"/>
      <c r="M40" s="381"/>
      <c r="N40" s="381"/>
      <c r="O40" s="381"/>
      <c r="P40" s="381"/>
      <c r="Q40" s="381"/>
      <c r="R40" s="381"/>
      <c r="S40" s="381"/>
    </row>
    <row r="41" spans="1:19" ht="12.75" customHeight="1">
      <c r="A41" s="381"/>
      <c r="B41" s="389">
        <v>42356</v>
      </c>
      <c r="C41" s="390">
        <v>664.14</v>
      </c>
      <c r="D41" s="393"/>
      <c r="E41" s="392">
        <f t="shared" si="0"/>
        <v>-9.7070006709908396E-3</v>
      </c>
      <c r="F41" s="393"/>
      <c r="G41" s="381"/>
      <c r="H41" s="381"/>
      <c r="I41" s="381"/>
      <c r="J41" s="381">
        <v>2022</v>
      </c>
      <c r="K41" s="381">
        <v>2023</v>
      </c>
      <c r="L41" s="381"/>
      <c r="M41" s="381"/>
      <c r="N41" s="381"/>
      <c r="O41" s="381"/>
      <c r="P41" s="381"/>
      <c r="Q41" s="381"/>
      <c r="R41" s="381"/>
      <c r="S41" s="381"/>
    </row>
    <row r="42" spans="1:19" ht="12.75" customHeight="1">
      <c r="A42" s="381"/>
      <c r="B42" s="389">
        <v>42359</v>
      </c>
      <c r="C42" s="390">
        <v>664.51</v>
      </c>
      <c r="D42" s="393"/>
      <c r="E42" s="392">
        <f t="shared" si="0"/>
        <v>5.5711145240455728E-4</v>
      </c>
      <c r="F42" s="393"/>
      <c r="G42" s="381"/>
      <c r="H42" s="381"/>
      <c r="I42" s="381" t="s">
        <v>1646</v>
      </c>
      <c r="J42" s="381">
        <v>2.3707380085517444</v>
      </c>
      <c r="K42" s="381">
        <v>2.39458463707297</v>
      </c>
      <c r="L42" s="381"/>
      <c r="M42" s="381"/>
      <c r="N42" s="381"/>
      <c r="O42" s="381"/>
      <c r="P42" s="381"/>
      <c r="Q42" s="381"/>
      <c r="R42" s="381"/>
      <c r="S42" s="381"/>
    </row>
    <row r="43" spans="1:19" ht="12.75" customHeight="1">
      <c r="A43" s="381"/>
      <c r="B43" s="389">
        <v>42360</v>
      </c>
      <c r="C43" s="390">
        <v>663.15</v>
      </c>
      <c r="D43" s="393"/>
      <c r="E43" s="392">
        <f t="shared" si="0"/>
        <v>-2.0466208183473888E-3</v>
      </c>
      <c r="F43" s="393"/>
      <c r="G43" s="381"/>
      <c r="H43" s="381"/>
      <c r="I43" s="381" t="s">
        <v>1955</v>
      </c>
      <c r="J43" s="381">
        <v>163150000000</v>
      </c>
      <c r="K43" s="381">
        <v>161525260000</v>
      </c>
      <c r="L43" s="381"/>
      <c r="M43" s="381"/>
      <c r="N43" s="381"/>
      <c r="O43" s="381"/>
      <c r="P43" s="381"/>
      <c r="Q43" s="381"/>
      <c r="R43" s="381"/>
      <c r="S43" s="381"/>
    </row>
    <row r="44" spans="1:19" ht="12.75" customHeight="1">
      <c r="A44" s="381"/>
      <c r="B44" s="389">
        <v>42361</v>
      </c>
      <c r="C44" s="390">
        <v>663.7</v>
      </c>
      <c r="D44" s="393"/>
      <c r="E44" s="392">
        <f t="shared" si="0"/>
        <v>8.2937495287649377E-4</v>
      </c>
      <c r="F44" s="393"/>
      <c r="G44" s="381"/>
      <c r="H44" s="381"/>
      <c r="I44" s="381" t="s">
        <v>781</v>
      </c>
      <c r="J44" s="381">
        <v>5.4540646966907387</v>
      </c>
      <c r="K44" s="381">
        <v>5.1003305340210545</v>
      </c>
      <c r="L44" s="381"/>
      <c r="M44" s="381"/>
      <c r="N44" s="381"/>
      <c r="O44" s="381"/>
      <c r="P44" s="381"/>
      <c r="Q44" s="381"/>
      <c r="R44" s="381"/>
      <c r="S44" s="381"/>
    </row>
    <row r="45" spans="1:19" ht="12.75" customHeight="1">
      <c r="A45" s="381"/>
      <c r="B45" s="389">
        <v>42362</v>
      </c>
      <c r="C45" s="390">
        <v>662.79</v>
      </c>
      <c r="D45" s="393"/>
      <c r="E45" s="392">
        <f t="shared" si="0"/>
        <v>-1.3711014012356415E-3</v>
      </c>
      <c r="F45" s="393"/>
      <c r="G45" s="381"/>
      <c r="H45" s="381"/>
      <c r="I45" s="381" t="s">
        <v>267</v>
      </c>
      <c r="J45" s="381">
        <v>70917000000</v>
      </c>
      <c r="K45" s="381">
        <v>75835458803.153015</v>
      </c>
      <c r="L45" s="381"/>
      <c r="M45" s="381"/>
      <c r="N45" s="381"/>
      <c r="O45" s="381"/>
      <c r="P45" s="381"/>
      <c r="Q45" s="381"/>
      <c r="R45" s="381"/>
      <c r="S45" s="381"/>
    </row>
    <row r="46" spans="1:19" ht="12.75" customHeight="1">
      <c r="A46" s="381"/>
      <c r="B46" s="389">
        <v>42366</v>
      </c>
      <c r="C46" s="390">
        <v>675.2</v>
      </c>
      <c r="D46" s="393"/>
      <c r="E46" s="392">
        <f t="shared" si="0"/>
        <v>1.8723879358469642E-2</v>
      </c>
      <c r="F46" s="393"/>
      <c r="G46" s="381"/>
      <c r="H46" s="381"/>
      <c r="I46" s="381" t="s">
        <v>1645</v>
      </c>
      <c r="J46" s="381">
        <v>23.524261409513265</v>
      </c>
      <c r="K46" s="381">
        <v>14.403256838396564</v>
      </c>
      <c r="L46" s="381"/>
      <c r="M46" s="381"/>
      <c r="N46" s="381"/>
      <c r="O46" s="381"/>
      <c r="P46" s="381"/>
      <c r="Q46" s="381"/>
      <c r="R46" s="381"/>
      <c r="S46" s="381"/>
    </row>
    <row r="47" spans="1:19" ht="12.75" customHeight="1">
      <c r="A47" s="381"/>
      <c r="B47" s="389">
        <v>42367</v>
      </c>
      <c r="C47" s="390">
        <v>693.97</v>
      </c>
      <c r="D47" s="393"/>
      <c r="E47" s="392">
        <f t="shared" si="0"/>
        <v>2.7799170616113811E-2</v>
      </c>
      <c r="F47" s="393"/>
      <c r="G47" s="381"/>
      <c r="H47" s="381"/>
      <c r="I47" s="381" t="s">
        <v>199</v>
      </c>
      <c r="J47" s="381">
        <v>16442000000</v>
      </c>
      <c r="K47" s="381">
        <v>26854058803.153015</v>
      </c>
      <c r="L47" s="381"/>
      <c r="M47" s="381"/>
      <c r="N47" s="381"/>
      <c r="O47" s="381"/>
      <c r="P47" s="381"/>
      <c r="Q47" s="381"/>
      <c r="R47" s="381"/>
      <c r="S47" s="381"/>
    </row>
    <row r="48" spans="1:19" ht="12.75" customHeight="1">
      <c r="A48" s="381"/>
      <c r="B48" s="389">
        <v>42368</v>
      </c>
      <c r="C48" s="390">
        <v>689.07</v>
      </c>
      <c r="D48" s="393"/>
      <c r="E48" s="392">
        <f t="shared" si="0"/>
        <v>-7.060823954926021E-3</v>
      </c>
      <c r="F48" s="393"/>
      <c r="G48" s="381"/>
      <c r="H48" s="381"/>
      <c r="I48" s="381" t="s">
        <v>782</v>
      </c>
      <c r="J48" s="381">
        <v>27.130031538371682</v>
      </c>
      <c r="K48" s="381">
        <v>27.402896834761677</v>
      </c>
      <c r="L48" s="381"/>
      <c r="M48" s="381"/>
      <c r="N48" s="381"/>
      <c r="O48" s="381"/>
      <c r="P48" s="381"/>
      <c r="Q48" s="381"/>
      <c r="R48" s="381"/>
      <c r="S48" s="381"/>
    </row>
    <row r="49" spans="1:19" ht="12.75" customHeight="1">
      <c r="A49" s="381"/>
      <c r="B49" s="389">
        <v>42369</v>
      </c>
      <c r="C49" s="390">
        <v>675.89</v>
      </c>
      <c r="D49" s="393"/>
      <c r="E49" s="392">
        <f t="shared" si="0"/>
        <v>-1.9127229454191985E-2</v>
      </c>
      <c r="F49" s="393"/>
      <c r="G49" s="381"/>
      <c r="H49" s="381"/>
      <c r="I49" s="381" t="s">
        <v>1956</v>
      </c>
      <c r="J49" s="381">
        <v>39.623986373903065</v>
      </c>
      <c r="K49" s="381">
        <v>39.229429154231582</v>
      </c>
      <c r="L49" s="381"/>
      <c r="M49" s="381"/>
      <c r="N49" s="381"/>
      <c r="O49" s="381"/>
      <c r="P49" s="381"/>
      <c r="Q49" s="381"/>
      <c r="R49" s="381"/>
      <c r="S49" s="381"/>
    </row>
    <row r="50" spans="1:19" ht="12.75" customHeight="1">
      <c r="A50" s="381"/>
      <c r="B50" s="389">
        <v>42373</v>
      </c>
      <c r="C50" s="390">
        <v>636.99</v>
      </c>
      <c r="D50" s="393"/>
      <c r="E50" s="392">
        <f t="shared" si="0"/>
        <v>-5.7553743952418301E-2</v>
      </c>
      <c r="F50" s="393"/>
      <c r="G50" s="381"/>
      <c r="H50" s="381"/>
      <c r="I50" s="381"/>
      <c r="J50" s="381"/>
      <c r="K50" s="381"/>
      <c r="L50" s="381"/>
      <c r="M50" s="381"/>
      <c r="N50" s="381"/>
      <c r="O50" s="381"/>
      <c r="P50" s="381"/>
      <c r="Q50" s="381"/>
      <c r="R50" s="381"/>
      <c r="S50" s="381"/>
    </row>
    <row r="51" spans="1:19" ht="12.75" customHeight="1">
      <c r="A51" s="381"/>
      <c r="B51" s="389">
        <v>42374</v>
      </c>
      <c r="C51" s="390">
        <v>633.79</v>
      </c>
      <c r="D51" s="393"/>
      <c r="E51" s="392">
        <f t="shared" si="0"/>
        <v>-5.0236267445329386E-3</v>
      </c>
      <c r="F51" s="393"/>
      <c r="G51" s="381"/>
      <c r="H51" s="381"/>
      <c r="I51" s="381"/>
      <c r="J51" s="381"/>
      <c r="K51" s="381"/>
      <c r="L51" s="381"/>
      <c r="M51" s="381"/>
      <c r="N51" s="381"/>
      <c r="O51" s="381"/>
      <c r="P51" s="381"/>
      <c r="Q51" s="381"/>
      <c r="R51" s="381"/>
      <c r="S51" s="381"/>
    </row>
    <row r="52" spans="1:19" ht="12.75" customHeight="1">
      <c r="A52" s="381"/>
      <c r="B52" s="389">
        <v>42375</v>
      </c>
      <c r="C52" s="390">
        <v>632.65</v>
      </c>
      <c r="D52" s="393"/>
      <c r="E52" s="392">
        <f t="shared" si="0"/>
        <v>-1.7987030404392756E-3</v>
      </c>
      <c r="F52" s="393"/>
      <c r="G52" s="381"/>
      <c r="H52" s="381"/>
      <c r="I52" s="381"/>
      <c r="J52" s="381"/>
      <c r="K52" s="381"/>
      <c r="L52" s="381"/>
      <c r="M52" s="381"/>
      <c r="N52" s="381"/>
      <c r="O52" s="381"/>
      <c r="P52" s="381"/>
      <c r="Q52" s="381"/>
      <c r="R52" s="381"/>
      <c r="S52" s="381"/>
    </row>
    <row r="53" spans="1:19" ht="12.75" customHeight="1">
      <c r="A53" s="381"/>
      <c r="B53" s="389">
        <v>42376</v>
      </c>
      <c r="C53" s="390">
        <v>607.94000000000005</v>
      </c>
      <c r="D53" s="393"/>
      <c r="E53" s="392">
        <f t="shared" si="0"/>
        <v>-3.9057930925472051E-2</v>
      </c>
      <c r="F53" s="393"/>
      <c r="G53" s="381"/>
      <c r="H53" s="381"/>
      <c r="I53" s="381"/>
      <c r="J53" s="381"/>
      <c r="K53" s="381"/>
      <c r="L53" s="381"/>
      <c r="M53" s="381"/>
      <c r="N53" s="381"/>
      <c r="O53" s="381"/>
      <c r="P53" s="381"/>
      <c r="Q53" s="381"/>
      <c r="R53" s="381"/>
      <c r="S53" s="381"/>
    </row>
    <row r="54" spans="1:19" ht="12.75" customHeight="1">
      <c r="A54" s="381"/>
      <c r="B54" s="389">
        <v>42377</v>
      </c>
      <c r="C54" s="390">
        <v>607.04999999999995</v>
      </c>
      <c r="D54" s="393"/>
      <c r="E54" s="392">
        <f t="shared" si="0"/>
        <v>-1.46396025923623E-3</v>
      </c>
      <c r="F54" s="393"/>
      <c r="G54" s="381"/>
      <c r="H54" s="381"/>
      <c r="I54" s="381"/>
      <c r="J54" s="381"/>
      <c r="K54" s="381"/>
      <c r="L54" s="381"/>
      <c r="M54" s="381"/>
      <c r="N54" s="381"/>
      <c r="O54" s="381"/>
      <c r="P54" s="381"/>
      <c r="Q54" s="381"/>
      <c r="R54" s="381"/>
      <c r="S54" s="381"/>
    </row>
    <row r="55" spans="1:19" ht="12.75" customHeight="1">
      <c r="A55" s="381"/>
      <c r="B55" s="389">
        <v>42380</v>
      </c>
      <c r="C55" s="390">
        <v>617.74</v>
      </c>
      <c r="D55" s="393"/>
      <c r="E55" s="392">
        <f t="shared" si="0"/>
        <v>1.7609752079730034E-2</v>
      </c>
      <c r="F55" s="393"/>
      <c r="G55" s="381"/>
      <c r="H55" s="381"/>
      <c r="I55" s="381"/>
      <c r="J55" s="381"/>
      <c r="K55" s="381"/>
      <c r="L55" s="381"/>
      <c r="M55" s="381"/>
      <c r="N55" s="381"/>
      <c r="O55" s="381"/>
      <c r="P55" s="381"/>
      <c r="Q55" s="381"/>
      <c r="R55" s="381"/>
      <c r="S55" s="381"/>
    </row>
    <row r="56" spans="1:19" ht="12.75" customHeight="1">
      <c r="A56" s="381"/>
      <c r="B56" s="389">
        <v>42381</v>
      </c>
      <c r="C56" s="390">
        <v>617.89</v>
      </c>
      <c r="D56" s="393"/>
      <c r="E56" s="392">
        <f t="shared" si="0"/>
        <v>2.4282060413760576E-4</v>
      </c>
      <c r="F56" s="393"/>
      <c r="G56" s="381"/>
      <c r="H56" s="381"/>
      <c r="I56" s="381"/>
      <c r="J56" s="381"/>
      <c r="K56" s="381"/>
      <c r="L56" s="381"/>
      <c r="M56" s="381"/>
      <c r="N56" s="381"/>
      <c r="O56" s="381"/>
      <c r="P56" s="381"/>
      <c r="Q56" s="381"/>
      <c r="R56" s="381"/>
      <c r="S56" s="381"/>
    </row>
    <row r="57" spans="1:19" ht="12.75" customHeight="1">
      <c r="A57" s="381"/>
      <c r="B57" s="389">
        <v>42382</v>
      </c>
      <c r="C57" s="390">
        <v>581.80999999999995</v>
      </c>
      <c r="D57" s="393"/>
      <c r="E57" s="392">
        <f t="shared" si="0"/>
        <v>-5.8392270468853757E-2</v>
      </c>
      <c r="F57" s="393"/>
      <c r="G57" s="381"/>
      <c r="H57" s="381"/>
      <c r="I57" s="381"/>
      <c r="J57" s="381"/>
      <c r="K57" s="381"/>
      <c r="L57" s="381"/>
      <c r="M57" s="381"/>
      <c r="N57" s="381"/>
      <c r="O57" s="381"/>
      <c r="P57" s="381"/>
      <c r="Q57" s="381"/>
      <c r="R57" s="381"/>
      <c r="S57" s="381"/>
    </row>
    <row r="58" spans="1:19" ht="12.75" customHeight="1">
      <c r="A58" s="381"/>
      <c r="B58" s="389">
        <v>42383</v>
      </c>
      <c r="C58" s="390">
        <v>593</v>
      </c>
      <c r="D58" s="393"/>
      <c r="E58" s="392">
        <f t="shared" si="0"/>
        <v>1.9233082965229187E-2</v>
      </c>
      <c r="F58" s="393"/>
      <c r="G58" s="381"/>
      <c r="H58" s="381"/>
      <c r="I58" s="381"/>
      <c r="J58" s="381"/>
      <c r="K58" s="381"/>
      <c r="L58" s="381"/>
      <c r="M58" s="381"/>
      <c r="N58" s="381"/>
      <c r="O58" s="381"/>
      <c r="P58" s="381"/>
      <c r="Q58" s="381"/>
      <c r="R58" s="381"/>
      <c r="S58" s="381"/>
    </row>
    <row r="59" spans="1:19" ht="12.75" customHeight="1">
      <c r="A59" s="381"/>
      <c r="B59" s="389">
        <v>42384</v>
      </c>
      <c r="C59" s="390">
        <v>570.17999999999995</v>
      </c>
      <c r="D59" s="393"/>
      <c r="E59" s="392">
        <f t="shared" si="0"/>
        <v>-3.8482293423271585E-2</v>
      </c>
      <c r="F59" s="393"/>
      <c r="G59" s="381"/>
      <c r="H59" s="381"/>
      <c r="I59" s="381"/>
      <c r="J59" s="381"/>
      <c r="K59" s="381"/>
      <c r="L59" s="381"/>
      <c r="M59" s="381"/>
      <c r="N59" s="381"/>
      <c r="O59" s="381"/>
      <c r="P59" s="381"/>
      <c r="Q59" s="381"/>
      <c r="R59" s="381"/>
      <c r="S59" s="381"/>
    </row>
    <row r="60" spans="1:19" ht="12.75" customHeight="1">
      <c r="A60" s="381"/>
      <c r="B60" s="389">
        <v>42388</v>
      </c>
      <c r="C60" s="390">
        <v>574.48</v>
      </c>
      <c r="D60" s="393"/>
      <c r="E60" s="392">
        <f t="shared" si="0"/>
        <v>7.5414781297136191E-3</v>
      </c>
      <c r="F60" s="393"/>
      <c r="G60" s="381"/>
      <c r="H60" s="381"/>
      <c r="I60" s="381"/>
      <c r="J60" s="381"/>
      <c r="K60" s="381"/>
      <c r="L60" s="381"/>
      <c r="M60" s="381"/>
      <c r="N60" s="381"/>
      <c r="O60" s="381"/>
      <c r="P60" s="381"/>
      <c r="Q60" s="381"/>
      <c r="R60" s="381"/>
      <c r="S60" s="381"/>
    </row>
    <row r="61" spans="1:19" ht="12.75" customHeight="1">
      <c r="A61" s="381"/>
      <c r="B61" s="389">
        <v>42389</v>
      </c>
      <c r="C61" s="390">
        <v>571.77</v>
      </c>
      <c r="D61" s="393"/>
      <c r="E61" s="392">
        <f t="shared" si="0"/>
        <v>-4.7173095669127418E-3</v>
      </c>
      <c r="F61" s="393"/>
      <c r="G61" s="381"/>
      <c r="H61" s="381"/>
      <c r="I61" s="381"/>
      <c r="J61" s="381"/>
      <c r="K61" s="381"/>
      <c r="L61" s="381"/>
      <c r="M61" s="381"/>
      <c r="N61" s="381"/>
      <c r="O61" s="381"/>
      <c r="P61" s="381"/>
      <c r="Q61" s="381"/>
      <c r="R61" s="381"/>
      <c r="S61" s="381"/>
    </row>
    <row r="62" spans="1:19" ht="12.75" customHeight="1">
      <c r="A62" s="381"/>
      <c r="B62" s="389">
        <v>42390</v>
      </c>
      <c r="C62" s="390">
        <v>575.02</v>
      </c>
      <c r="D62" s="393"/>
      <c r="E62" s="392">
        <f t="shared" si="0"/>
        <v>5.6841037480106493E-3</v>
      </c>
      <c r="F62" s="393"/>
      <c r="G62" s="381"/>
      <c r="H62" s="381"/>
      <c r="I62" s="381"/>
      <c r="J62" s="381"/>
      <c r="K62" s="381"/>
      <c r="L62" s="381"/>
      <c r="M62" s="381"/>
      <c r="N62" s="381"/>
      <c r="O62" s="381"/>
      <c r="P62" s="381"/>
      <c r="Q62" s="381"/>
      <c r="R62" s="381"/>
      <c r="S62" s="381"/>
    </row>
    <row r="63" spans="1:19" ht="12.75" customHeight="1">
      <c r="A63" s="381"/>
      <c r="B63" s="389">
        <v>42391</v>
      </c>
      <c r="C63" s="390">
        <v>596.38</v>
      </c>
      <c r="D63" s="393"/>
      <c r="E63" s="392">
        <f t="shared" si="0"/>
        <v>3.7146534033598799E-2</v>
      </c>
      <c r="F63" s="393"/>
      <c r="G63" s="381"/>
      <c r="H63" s="381"/>
      <c r="I63" s="381"/>
      <c r="J63" s="381"/>
      <c r="K63" s="381"/>
      <c r="L63" s="381"/>
      <c r="M63" s="381"/>
      <c r="N63" s="381"/>
      <c r="O63" s="381"/>
      <c r="P63" s="381"/>
      <c r="Q63" s="381"/>
      <c r="R63" s="381"/>
      <c r="S63" s="381"/>
    </row>
    <row r="64" spans="1:19" ht="12.75" customHeight="1">
      <c r="A64" s="381"/>
      <c r="B64" s="389">
        <v>42394</v>
      </c>
      <c r="C64" s="390">
        <v>596.53</v>
      </c>
      <c r="D64" s="393"/>
      <c r="E64" s="392">
        <f t="shared" si="0"/>
        <v>2.5151748884932879E-4</v>
      </c>
      <c r="F64" s="393"/>
      <c r="G64" s="381"/>
      <c r="H64" s="381"/>
      <c r="I64" s="381"/>
      <c r="J64" s="381"/>
      <c r="K64" s="381"/>
      <c r="L64" s="381"/>
      <c r="M64" s="381"/>
      <c r="N64" s="381"/>
      <c r="O64" s="381"/>
      <c r="P64" s="381"/>
      <c r="Q64" s="381"/>
      <c r="R64" s="381"/>
      <c r="S64" s="381"/>
    </row>
    <row r="65" spans="1:19" ht="12.75" customHeight="1">
      <c r="A65" s="381"/>
      <c r="B65" s="389">
        <v>42395</v>
      </c>
      <c r="C65" s="390">
        <v>601.25</v>
      </c>
      <c r="D65" s="393"/>
      <c r="E65" s="392">
        <f t="shared" si="0"/>
        <v>7.9124268687240651E-3</v>
      </c>
      <c r="F65" s="393"/>
      <c r="G65" s="381"/>
      <c r="H65" s="381"/>
      <c r="I65" s="381"/>
      <c r="J65" s="381"/>
      <c r="K65" s="381"/>
      <c r="L65" s="381"/>
      <c r="M65" s="381"/>
      <c r="N65" s="381"/>
      <c r="O65" s="381"/>
      <c r="P65" s="381"/>
      <c r="Q65" s="381"/>
      <c r="R65" s="381"/>
      <c r="S65" s="381"/>
    </row>
    <row r="66" spans="1:19" ht="12.75" customHeight="1">
      <c r="A66" s="381"/>
      <c r="B66" s="389">
        <v>42396</v>
      </c>
      <c r="C66" s="390">
        <v>583.35</v>
      </c>
      <c r="D66" s="393"/>
      <c r="E66" s="392">
        <f t="shared" si="0"/>
        <v>-2.9771309771309706E-2</v>
      </c>
      <c r="F66" s="393"/>
      <c r="G66" s="381"/>
      <c r="H66" s="381"/>
      <c r="I66" s="381"/>
      <c r="J66" s="381"/>
      <c r="K66" s="381"/>
      <c r="L66" s="381"/>
      <c r="M66" s="381"/>
      <c r="N66" s="381"/>
      <c r="O66" s="381"/>
      <c r="P66" s="381"/>
      <c r="Q66" s="381"/>
      <c r="R66" s="381"/>
      <c r="S66" s="381"/>
    </row>
    <row r="67" spans="1:19" ht="12.75" customHeight="1">
      <c r="A67" s="381"/>
      <c r="B67" s="389">
        <v>42397</v>
      </c>
      <c r="C67" s="390">
        <v>635.35</v>
      </c>
      <c r="D67" s="393"/>
      <c r="E67" s="392">
        <f t="shared" si="0"/>
        <v>8.9140310276849322E-2</v>
      </c>
      <c r="F67" s="393"/>
      <c r="G67" s="381"/>
      <c r="H67" s="381"/>
      <c r="I67" s="381"/>
      <c r="J67" s="381"/>
      <c r="K67" s="381"/>
      <c r="L67" s="381"/>
      <c r="M67" s="381"/>
      <c r="N67" s="381"/>
      <c r="O67" s="381"/>
      <c r="P67" s="381"/>
      <c r="Q67" s="381"/>
      <c r="R67" s="381"/>
      <c r="S67" s="381"/>
    </row>
    <row r="68" spans="1:19" ht="12.75" customHeight="1">
      <c r="A68" s="381"/>
      <c r="B68" s="389">
        <v>42398</v>
      </c>
      <c r="C68" s="390">
        <v>587</v>
      </c>
      <c r="D68" s="393"/>
      <c r="E68" s="392">
        <f t="shared" si="0"/>
        <v>-7.6099787518690509E-2</v>
      </c>
      <c r="F68" s="393"/>
      <c r="G68" s="381"/>
      <c r="H68" s="381"/>
      <c r="I68" s="381"/>
      <c r="J68" s="381"/>
      <c r="K68" s="381"/>
      <c r="L68" s="381"/>
      <c r="M68" s="381"/>
      <c r="N68" s="381"/>
      <c r="O68" s="381"/>
      <c r="P68" s="381"/>
      <c r="Q68" s="381"/>
      <c r="R68" s="381"/>
      <c r="S68" s="381"/>
    </row>
    <row r="69" spans="1:19" ht="12.75" customHeight="1">
      <c r="A69" s="381"/>
      <c r="B69" s="389">
        <v>42401</v>
      </c>
      <c r="C69" s="390">
        <v>574.80999999999995</v>
      </c>
      <c r="D69" s="393"/>
      <c r="E69" s="392">
        <f t="shared" si="0"/>
        <v>-2.0766609880749631E-2</v>
      </c>
      <c r="F69" s="393"/>
      <c r="G69" s="381"/>
      <c r="H69" s="381"/>
      <c r="I69" s="381"/>
      <c r="J69" s="381"/>
      <c r="K69" s="381"/>
      <c r="L69" s="381"/>
      <c r="M69" s="381"/>
      <c r="N69" s="381"/>
      <c r="O69" s="381"/>
      <c r="P69" s="381"/>
      <c r="Q69" s="381"/>
      <c r="R69" s="381"/>
      <c r="S69" s="381"/>
    </row>
    <row r="70" spans="1:19" ht="12.75" customHeight="1">
      <c r="A70" s="381"/>
      <c r="B70" s="389">
        <v>42402</v>
      </c>
      <c r="C70" s="390">
        <v>552.1</v>
      </c>
      <c r="D70" s="393"/>
      <c r="E70" s="392">
        <f t="shared" si="0"/>
        <v>-3.9508707224995998E-2</v>
      </c>
      <c r="F70" s="393"/>
      <c r="G70" s="381"/>
      <c r="H70" s="381"/>
      <c r="I70" s="381"/>
      <c r="J70" s="381"/>
      <c r="K70" s="381"/>
      <c r="L70" s="381"/>
      <c r="M70" s="381"/>
      <c r="N70" s="381"/>
      <c r="O70" s="381"/>
      <c r="P70" s="381"/>
      <c r="Q70" s="381"/>
      <c r="R70" s="381"/>
      <c r="S70" s="381"/>
    </row>
    <row r="71" spans="1:19" ht="12.75" customHeight="1">
      <c r="A71" s="381"/>
      <c r="B71" s="389">
        <v>42403</v>
      </c>
      <c r="C71" s="390">
        <v>531.07000000000005</v>
      </c>
      <c r="D71" s="393"/>
      <c r="E71" s="392">
        <f t="shared" si="0"/>
        <v>-3.809092555696425E-2</v>
      </c>
      <c r="F71" s="393"/>
      <c r="G71" s="381"/>
      <c r="H71" s="381"/>
      <c r="I71" s="381"/>
      <c r="J71" s="381"/>
      <c r="K71" s="381"/>
      <c r="L71" s="381"/>
      <c r="M71" s="381"/>
      <c r="N71" s="381"/>
      <c r="O71" s="381"/>
      <c r="P71" s="381"/>
      <c r="Q71" s="381"/>
      <c r="R71" s="381"/>
      <c r="S71" s="381"/>
    </row>
    <row r="72" spans="1:19" ht="12.75" customHeight="1">
      <c r="A72" s="381"/>
      <c r="B72" s="389">
        <v>42404</v>
      </c>
      <c r="C72" s="390">
        <v>536.26</v>
      </c>
      <c r="D72" s="393"/>
      <c r="E72" s="392">
        <f t="shared" si="0"/>
        <v>9.7727229932023096E-3</v>
      </c>
      <c r="F72" s="393"/>
      <c r="G72" s="381"/>
      <c r="H72" s="381"/>
      <c r="I72" s="381"/>
      <c r="J72" s="381"/>
      <c r="K72" s="381"/>
      <c r="L72" s="381"/>
      <c r="M72" s="381"/>
      <c r="N72" s="381"/>
      <c r="O72" s="381"/>
      <c r="P72" s="381"/>
      <c r="Q72" s="381"/>
      <c r="R72" s="381"/>
      <c r="S72" s="381"/>
    </row>
    <row r="73" spans="1:19" ht="12.75" customHeight="1">
      <c r="A73" s="381"/>
      <c r="B73" s="389">
        <v>42405</v>
      </c>
      <c r="C73" s="390">
        <v>502.13</v>
      </c>
      <c r="D73" s="393"/>
      <c r="E73" s="392">
        <f t="shared" si="0"/>
        <v>-6.3644500801849802E-2</v>
      </c>
      <c r="F73" s="393"/>
      <c r="G73" s="381"/>
      <c r="H73" s="381"/>
      <c r="I73" s="381"/>
      <c r="J73" s="381"/>
      <c r="K73" s="381"/>
      <c r="L73" s="381"/>
      <c r="M73" s="381"/>
      <c r="N73" s="381"/>
      <c r="O73" s="381"/>
      <c r="P73" s="381"/>
      <c r="Q73" s="381"/>
      <c r="R73" s="381"/>
      <c r="S73" s="381"/>
    </row>
    <row r="74" spans="1:19" ht="12.75" customHeight="1">
      <c r="A74" s="381"/>
      <c r="B74" s="389">
        <v>42408</v>
      </c>
      <c r="C74" s="390">
        <v>488.1</v>
      </c>
      <c r="D74" s="393"/>
      <c r="E74" s="392">
        <f t="shared" si="0"/>
        <v>-2.7940971461573594E-2</v>
      </c>
      <c r="F74" s="393"/>
      <c r="G74" s="381"/>
      <c r="H74" s="381"/>
      <c r="I74" s="381"/>
      <c r="J74" s="381"/>
      <c r="K74" s="381"/>
      <c r="L74" s="381"/>
      <c r="M74" s="381"/>
      <c r="N74" s="381"/>
      <c r="O74" s="381"/>
      <c r="P74" s="381"/>
      <c r="Q74" s="381"/>
      <c r="R74" s="381"/>
      <c r="S74" s="381"/>
    </row>
    <row r="75" spans="1:19" ht="12.75" customHeight="1">
      <c r="A75" s="381"/>
      <c r="B75" s="389">
        <v>42409</v>
      </c>
      <c r="C75" s="390">
        <v>482.07</v>
      </c>
      <c r="D75" s="393"/>
      <c r="E75" s="392">
        <f t="shared" si="0"/>
        <v>-1.2354025814382386E-2</v>
      </c>
      <c r="F75" s="393"/>
      <c r="G75" s="381"/>
      <c r="H75" s="381"/>
      <c r="I75" s="381"/>
      <c r="J75" s="381"/>
      <c r="K75" s="381"/>
      <c r="L75" s="381"/>
      <c r="M75" s="381"/>
      <c r="N75" s="381"/>
      <c r="O75" s="381"/>
      <c r="P75" s="381"/>
      <c r="Q75" s="381"/>
      <c r="R75" s="381"/>
      <c r="S75" s="381"/>
    </row>
    <row r="76" spans="1:19" ht="12.75" customHeight="1">
      <c r="A76" s="381"/>
      <c r="B76" s="389">
        <v>42410</v>
      </c>
      <c r="C76" s="390">
        <v>490.48</v>
      </c>
      <c r="D76" s="393"/>
      <c r="E76" s="392">
        <f t="shared" si="0"/>
        <v>1.7445599186840077E-2</v>
      </c>
      <c r="F76" s="393"/>
      <c r="G76" s="381"/>
      <c r="H76" s="381"/>
      <c r="I76" s="381"/>
      <c r="J76" s="381"/>
      <c r="K76" s="381"/>
      <c r="L76" s="381"/>
      <c r="M76" s="381"/>
      <c r="N76" s="381"/>
      <c r="O76" s="381"/>
      <c r="P76" s="381"/>
      <c r="Q76" s="381"/>
      <c r="R76" s="381"/>
      <c r="S76" s="381"/>
    </row>
    <row r="77" spans="1:19" ht="12.75" customHeight="1">
      <c r="A77" s="381"/>
      <c r="B77" s="389">
        <v>42411</v>
      </c>
      <c r="C77" s="390">
        <v>503.82</v>
      </c>
      <c r="D77" s="393"/>
      <c r="E77" s="392">
        <f t="shared" si="0"/>
        <v>2.7197847007013554E-2</v>
      </c>
      <c r="F77" s="393"/>
      <c r="G77" s="381"/>
      <c r="H77" s="381"/>
      <c r="I77" s="381"/>
      <c r="J77" s="381"/>
      <c r="K77" s="381"/>
      <c r="L77" s="381"/>
      <c r="M77" s="381"/>
      <c r="N77" s="381"/>
      <c r="O77" s="381"/>
      <c r="P77" s="381"/>
      <c r="Q77" s="381"/>
      <c r="R77" s="381"/>
      <c r="S77" s="381"/>
    </row>
    <row r="78" spans="1:19" ht="12.75" customHeight="1">
      <c r="A78" s="381"/>
      <c r="B78" s="389">
        <v>42412</v>
      </c>
      <c r="C78" s="390">
        <v>507.08</v>
      </c>
      <c r="D78" s="393"/>
      <c r="E78" s="392">
        <f t="shared" si="0"/>
        <v>6.4705648842839913E-3</v>
      </c>
      <c r="F78" s="393"/>
      <c r="G78" s="381"/>
      <c r="H78" s="381"/>
      <c r="I78" s="381"/>
      <c r="J78" s="381"/>
      <c r="K78" s="381"/>
      <c r="L78" s="381"/>
      <c r="M78" s="381"/>
      <c r="N78" s="381"/>
      <c r="O78" s="381"/>
      <c r="P78" s="381"/>
      <c r="Q78" s="381"/>
      <c r="R78" s="381"/>
      <c r="S78" s="381"/>
    </row>
    <row r="79" spans="1:19" ht="12.75" customHeight="1">
      <c r="A79" s="381"/>
      <c r="B79" s="389">
        <v>42416</v>
      </c>
      <c r="C79" s="390">
        <v>521.1</v>
      </c>
      <c r="D79" s="393"/>
      <c r="E79" s="392">
        <f t="shared" si="0"/>
        <v>2.7648497278536022E-2</v>
      </c>
      <c r="F79" s="393"/>
      <c r="G79" s="381"/>
      <c r="H79" s="381"/>
      <c r="I79" s="381"/>
      <c r="J79" s="381"/>
      <c r="K79" s="381"/>
      <c r="L79" s="381"/>
      <c r="M79" s="381"/>
      <c r="N79" s="381"/>
      <c r="O79" s="381"/>
      <c r="P79" s="381"/>
      <c r="Q79" s="381"/>
      <c r="R79" s="381"/>
      <c r="S79" s="381"/>
    </row>
    <row r="80" spans="1:19" ht="12.75" customHeight="1">
      <c r="A80" s="381"/>
      <c r="B80" s="389">
        <v>42417</v>
      </c>
      <c r="C80" s="390">
        <v>534.1</v>
      </c>
      <c r="D80" s="393"/>
      <c r="E80" s="392">
        <f t="shared" si="0"/>
        <v>2.4947227019765927E-2</v>
      </c>
      <c r="F80" s="393"/>
      <c r="G80" s="381"/>
      <c r="H80" s="381"/>
      <c r="I80" s="381"/>
      <c r="J80" s="381"/>
      <c r="K80" s="381"/>
      <c r="L80" s="381"/>
      <c r="M80" s="381"/>
      <c r="N80" s="381"/>
      <c r="O80" s="381"/>
      <c r="P80" s="381"/>
      <c r="Q80" s="381"/>
      <c r="R80" s="381"/>
      <c r="S80" s="381"/>
    </row>
    <row r="81" spans="1:19" ht="12.75" customHeight="1">
      <c r="A81" s="381"/>
      <c r="B81" s="389">
        <v>42418</v>
      </c>
      <c r="C81" s="390">
        <v>525</v>
      </c>
      <c r="D81" s="393"/>
      <c r="E81" s="392">
        <f t="shared" si="0"/>
        <v>-1.7038007863696025E-2</v>
      </c>
      <c r="F81" s="393"/>
      <c r="G81" s="381"/>
      <c r="H81" s="381"/>
      <c r="I81" s="381"/>
      <c r="J81" s="381"/>
      <c r="K81" s="381"/>
      <c r="L81" s="381"/>
      <c r="M81" s="381"/>
      <c r="N81" s="381"/>
      <c r="O81" s="381"/>
      <c r="P81" s="381"/>
      <c r="Q81" s="381"/>
      <c r="R81" s="381"/>
      <c r="S81" s="381"/>
    </row>
    <row r="82" spans="1:19" ht="12.75" customHeight="1">
      <c r="A82" s="381"/>
      <c r="B82" s="389">
        <v>42419</v>
      </c>
      <c r="C82" s="390">
        <v>534.9</v>
      </c>
      <c r="D82" s="393"/>
      <c r="E82" s="392">
        <f t="shared" si="0"/>
        <v>1.8857142857142906E-2</v>
      </c>
      <c r="F82" s="393"/>
      <c r="G82" s="381"/>
      <c r="H82" s="381"/>
      <c r="I82" s="381"/>
      <c r="J82" s="381"/>
      <c r="K82" s="381"/>
      <c r="L82" s="381"/>
      <c r="M82" s="381"/>
      <c r="N82" s="381"/>
      <c r="O82" s="381"/>
      <c r="P82" s="381"/>
      <c r="Q82" s="381"/>
      <c r="R82" s="381"/>
      <c r="S82" s="381"/>
    </row>
    <row r="83" spans="1:19" ht="12.75" customHeight="1">
      <c r="A83" s="381"/>
      <c r="B83" s="389">
        <v>42422</v>
      </c>
      <c r="C83" s="390">
        <v>559.5</v>
      </c>
      <c r="D83" s="393"/>
      <c r="E83" s="392">
        <f t="shared" si="0"/>
        <v>4.5989904655075797E-2</v>
      </c>
      <c r="F83" s="393"/>
      <c r="G83" s="381"/>
      <c r="H83" s="381"/>
      <c r="I83" s="381"/>
      <c r="J83" s="381"/>
      <c r="K83" s="381"/>
      <c r="L83" s="381"/>
      <c r="M83" s="381"/>
      <c r="N83" s="381"/>
      <c r="O83" s="381"/>
      <c r="P83" s="381"/>
      <c r="Q83" s="381"/>
      <c r="R83" s="381"/>
      <c r="S83" s="381"/>
    </row>
    <row r="84" spans="1:19" ht="12.75" customHeight="1">
      <c r="A84" s="381"/>
      <c r="B84" s="389">
        <v>42423</v>
      </c>
      <c r="C84" s="390">
        <v>552.94000000000005</v>
      </c>
      <c r="D84" s="393"/>
      <c r="E84" s="392">
        <f t="shared" si="0"/>
        <v>-1.1724754244861413E-2</v>
      </c>
      <c r="F84" s="393"/>
      <c r="G84" s="381"/>
      <c r="H84" s="381"/>
      <c r="I84" s="381"/>
      <c r="J84" s="381"/>
      <c r="K84" s="381"/>
      <c r="L84" s="381"/>
      <c r="M84" s="381"/>
      <c r="N84" s="381"/>
      <c r="O84" s="381"/>
      <c r="P84" s="381"/>
      <c r="Q84" s="381"/>
      <c r="R84" s="381"/>
      <c r="S84" s="381"/>
    </row>
    <row r="85" spans="1:19" ht="12.75" customHeight="1">
      <c r="A85" s="381"/>
      <c r="B85" s="389">
        <v>42424</v>
      </c>
      <c r="C85" s="390">
        <v>554.04</v>
      </c>
      <c r="D85" s="393"/>
      <c r="E85" s="392">
        <f t="shared" si="0"/>
        <v>1.9893659348209081E-3</v>
      </c>
      <c r="F85" s="393"/>
      <c r="G85" s="381"/>
      <c r="H85" s="381"/>
      <c r="I85" s="381"/>
      <c r="J85" s="381"/>
      <c r="K85" s="381"/>
      <c r="L85" s="381"/>
      <c r="M85" s="381"/>
      <c r="N85" s="381"/>
      <c r="O85" s="381"/>
      <c r="P85" s="381"/>
      <c r="Q85" s="381"/>
      <c r="R85" s="381"/>
      <c r="S85" s="381"/>
    </row>
    <row r="86" spans="1:19" ht="12.75" customHeight="1">
      <c r="A86" s="381"/>
      <c r="B86" s="389">
        <v>42425</v>
      </c>
      <c r="C86" s="390">
        <v>555.15</v>
      </c>
      <c r="D86" s="393"/>
      <c r="E86" s="392">
        <f t="shared" si="0"/>
        <v>2.0034654537579577E-3</v>
      </c>
      <c r="F86" s="393"/>
      <c r="G86" s="381"/>
      <c r="H86" s="381"/>
      <c r="I86" s="381"/>
      <c r="J86" s="381"/>
      <c r="K86" s="381"/>
      <c r="L86" s="381"/>
      <c r="M86" s="381"/>
      <c r="N86" s="381"/>
      <c r="O86" s="381"/>
      <c r="P86" s="381"/>
      <c r="Q86" s="381"/>
      <c r="R86" s="381"/>
      <c r="S86" s="381"/>
    </row>
    <row r="87" spans="1:19" ht="12.75" customHeight="1">
      <c r="A87" s="381"/>
      <c r="B87" s="389">
        <v>42426</v>
      </c>
      <c r="C87" s="390">
        <v>555.23</v>
      </c>
      <c r="D87" s="393"/>
      <c r="E87" s="392">
        <f t="shared" si="0"/>
        <v>1.4410519679364242E-4</v>
      </c>
      <c r="F87" s="393"/>
      <c r="G87" s="381"/>
      <c r="H87" s="381"/>
      <c r="I87" s="381"/>
      <c r="J87" s="381"/>
      <c r="K87" s="381"/>
      <c r="L87" s="381"/>
      <c r="M87" s="381"/>
      <c r="N87" s="381"/>
      <c r="O87" s="381"/>
      <c r="P87" s="381"/>
      <c r="Q87" s="381"/>
      <c r="R87" s="381"/>
      <c r="S87" s="381"/>
    </row>
    <row r="88" spans="1:19" ht="12.75" customHeight="1">
      <c r="A88" s="381"/>
      <c r="B88" s="389">
        <v>42429</v>
      </c>
      <c r="C88" s="390">
        <v>552.52</v>
      </c>
      <c r="D88" s="393"/>
      <c r="E88" s="392">
        <f t="shared" si="0"/>
        <v>-4.88086018406797E-3</v>
      </c>
      <c r="F88" s="393"/>
      <c r="G88" s="381"/>
      <c r="H88" s="381"/>
      <c r="I88" s="381"/>
      <c r="J88" s="381"/>
      <c r="K88" s="381"/>
      <c r="L88" s="381"/>
      <c r="M88" s="381"/>
      <c r="N88" s="381"/>
      <c r="O88" s="381"/>
      <c r="P88" s="381"/>
      <c r="Q88" s="381"/>
      <c r="R88" s="381"/>
      <c r="S88" s="381"/>
    </row>
    <row r="89" spans="1:19" ht="12.75" customHeight="1">
      <c r="A89" s="381"/>
      <c r="B89" s="389">
        <v>42430</v>
      </c>
      <c r="C89" s="390">
        <v>579.04</v>
      </c>
      <c r="D89" s="393"/>
      <c r="E89" s="392">
        <f t="shared" si="0"/>
        <v>4.7998262506334655E-2</v>
      </c>
      <c r="F89" s="393"/>
      <c r="G89" s="381"/>
      <c r="H89" s="381"/>
      <c r="I89" s="381"/>
      <c r="J89" s="381"/>
      <c r="K89" s="381"/>
      <c r="L89" s="381"/>
      <c r="M89" s="381"/>
      <c r="N89" s="381"/>
      <c r="O89" s="381"/>
      <c r="P89" s="381"/>
      <c r="Q89" s="381"/>
      <c r="R89" s="381"/>
      <c r="S89" s="381"/>
    </row>
    <row r="90" spans="1:19" ht="12.75" customHeight="1">
      <c r="A90" s="381"/>
      <c r="B90" s="389">
        <v>42431</v>
      </c>
      <c r="C90" s="390">
        <v>580.21</v>
      </c>
      <c r="D90" s="393"/>
      <c r="E90" s="392">
        <f t="shared" si="0"/>
        <v>2.0205857971815622E-3</v>
      </c>
      <c r="F90" s="393"/>
      <c r="G90" s="381"/>
      <c r="H90" s="381"/>
      <c r="I90" s="381"/>
      <c r="J90" s="381"/>
      <c r="K90" s="381"/>
      <c r="L90" s="381"/>
      <c r="M90" s="381"/>
      <c r="N90" s="381"/>
      <c r="O90" s="381"/>
      <c r="P90" s="381"/>
      <c r="Q90" s="381"/>
      <c r="R90" s="381"/>
      <c r="S90" s="381"/>
    </row>
    <row r="91" spans="1:19" ht="12.75" customHeight="1">
      <c r="A91" s="381"/>
      <c r="B91" s="389">
        <v>42432</v>
      </c>
      <c r="C91" s="390">
        <v>577.49</v>
      </c>
      <c r="D91" s="393"/>
      <c r="E91" s="392">
        <f t="shared" si="0"/>
        <v>-4.6879578083797169E-3</v>
      </c>
      <c r="F91" s="393"/>
      <c r="G91" s="381"/>
      <c r="H91" s="381"/>
      <c r="I91" s="381"/>
      <c r="J91" s="381"/>
      <c r="K91" s="381"/>
      <c r="L91" s="381"/>
      <c r="M91" s="381"/>
      <c r="N91" s="381"/>
      <c r="O91" s="381"/>
      <c r="P91" s="381"/>
      <c r="Q91" s="381"/>
      <c r="R91" s="381"/>
      <c r="S91" s="381"/>
    </row>
    <row r="92" spans="1:19" ht="12.75" customHeight="1">
      <c r="A92" s="381"/>
      <c r="B92" s="389">
        <v>42433</v>
      </c>
      <c r="C92" s="390">
        <v>575.14</v>
      </c>
      <c r="D92" s="393"/>
      <c r="E92" s="392">
        <f t="shared" si="0"/>
        <v>-4.0693345339313236E-3</v>
      </c>
      <c r="F92" s="393"/>
      <c r="G92" s="381"/>
      <c r="H92" s="381"/>
      <c r="I92" s="381"/>
      <c r="J92" s="381"/>
      <c r="K92" s="381"/>
      <c r="L92" s="381"/>
      <c r="M92" s="381"/>
      <c r="N92" s="381"/>
      <c r="O92" s="381"/>
      <c r="P92" s="381"/>
      <c r="Q92" s="381"/>
      <c r="R92" s="381"/>
      <c r="S92" s="381"/>
    </row>
    <row r="93" spans="1:19" ht="12.75" customHeight="1">
      <c r="A93" s="381"/>
      <c r="B93" s="389">
        <v>42436</v>
      </c>
      <c r="C93" s="390">
        <v>562.79999999999995</v>
      </c>
      <c r="D93" s="393"/>
      <c r="E93" s="392">
        <f t="shared" si="0"/>
        <v>-2.1455645581945348E-2</v>
      </c>
      <c r="F93" s="393"/>
      <c r="G93" s="381"/>
      <c r="H93" s="381"/>
      <c r="I93" s="381"/>
      <c r="J93" s="381"/>
      <c r="K93" s="381"/>
      <c r="L93" s="381"/>
      <c r="M93" s="381"/>
      <c r="N93" s="381"/>
      <c r="O93" s="381"/>
      <c r="P93" s="381"/>
      <c r="Q93" s="381"/>
      <c r="R93" s="381"/>
      <c r="S93" s="381"/>
    </row>
    <row r="94" spans="1:19" ht="12.75" customHeight="1">
      <c r="A94" s="381"/>
      <c r="B94" s="389">
        <v>42437</v>
      </c>
      <c r="C94" s="390">
        <v>560.26</v>
      </c>
      <c r="D94" s="393"/>
      <c r="E94" s="392">
        <f t="shared" si="0"/>
        <v>-4.5131485429992235E-3</v>
      </c>
      <c r="F94" s="393"/>
      <c r="G94" s="381"/>
      <c r="H94" s="381"/>
      <c r="I94" s="381"/>
      <c r="J94" s="381"/>
      <c r="K94" s="381"/>
      <c r="L94" s="381"/>
      <c r="M94" s="381"/>
      <c r="N94" s="381"/>
      <c r="O94" s="381"/>
      <c r="P94" s="381"/>
      <c r="Q94" s="381"/>
      <c r="R94" s="381"/>
      <c r="S94" s="381"/>
    </row>
    <row r="95" spans="1:19" ht="12.75" customHeight="1">
      <c r="A95" s="381"/>
      <c r="B95" s="389">
        <v>42438</v>
      </c>
      <c r="C95" s="390">
        <v>559.47</v>
      </c>
      <c r="D95" s="393"/>
      <c r="E95" s="392">
        <f t="shared" si="0"/>
        <v>-1.4100596151785938E-3</v>
      </c>
      <c r="F95" s="393"/>
      <c r="G95" s="381"/>
      <c r="H95" s="381"/>
      <c r="I95" s="381"/>
      <c r="J95" s="381"/>
      <c r="K95" s="381"/>
      <c r="L95" s="381"/>
      <c r="M95" s="381"/>
      <c r="N95" s="381"/>
      <c r="O95" s="381"/>
      <c r="P95" s="381"/>
      <c r="Q95" s="381"/>
      <c r="R95" s="381"/>
      <c r="S95" s="381"/>
    </row>
    <row r="96" spans="1:19" ht="12.75" customHeight="1">
      <c r="A96" s="381"/>
      <c r="B96" s="389">
        <v>42439</v>
      </c>
      <c r="C96" s="390">
        <v>558.92999999999995</v>
      </c>
      <c r="D96" s="393"/>
      <c r="E96" s="392">
        <f t="shared" si="0"/>
        <v>-9.6519920639193124E-4</v>
      </c>
      <c r="F96" s="393"/>
      <c r="G96" s="381"/>
      <c r="H96" s="381"/>
      <c r="I96" s="381"/>
      <c r="J96" s="381"/>
      <c r="K96" s="381"/>
      <c r="L96" s="381"/>
      <c r="M96" s="381"/>
      <c r="N96" s="381"/>
      <c r="O96" s="381"/>
      <c r="P96" s="381"/>
      <c r="Q96" s="381"/>
      <c r="R96" s="381"/>
      <c r="S96" s="381"/>
    </row>
    <row r="97" spans="1:19" ht="12.75" customHeight="1">
      <c r="A97" s="381"/>
      <c r="B97" s="389">
        <v>42440</v>
      </c>
      <c r="C97" s="390">
        <v>569.61</v>
      </c>
      <c r="D97" s="393"/>
      <c r="E97" s="392">
        <f t="shared" si="0"/>
        <v>1.9107938382266321E-2</v>
      </c>
      <c r="F97" s="393"/>
      <c r="G97" s="381"/>
      <c r="H97" s="381"/>
      <c r="I97" s="381"/>
      <c r="J97" s="381"/>
      <c r="K97" s="381"/>
      <c r="L97" s="381"/>
      <c r="M97" s="381"/>
      <c r="N97" s="381"/>
      <c r="O97" s="381"/>
      <c r="P97" s="381"/>
      <c r="Q97" s="381"/>
      <c r="R97" s="381"/>
      <c r="S97" s="381"/>
    </row>
    <row r="98" spans="1:19" ht="12.75" customHeight="1">
      <c r="A98" s="381"/>
      <c r="B98" s="389">
        <v>42443</v>
      </c>
      <c r="C98" s="390">
        <v>573.37</v>
      </c>
      <c r="D98" s="393"/>
      <c r="E98" s="392">
        <f t="shared" si="0"/>
        <v>6.6010077070275397E-3</v>
      </c>
      <c r="F98" s="393"/>
      <c r="G98" s="381"/>
      <c r="H98" s="381"/>
      <c r="I98" s="381"/>
      <c r="J98" s="381"/>
      <c r="K98" s="381"/>
      <c r="L98" s="381"/>
      <c r="M98" s="381"/>
      <c r="N98" s="381"/>
      <c r="O98" s="381"/>
      <c r="P98" s="381"/>
      <c r="Q98" s="381"/>
      <c r="R98" s="381"/>
      <c r="S98" s="381"/>
    </row>
    <row r="99" spans="1:19" ht="12.75" customHeight="1">
      <c r="A99" s="381"/>
      <c r="B99" s="389">
        <v>42444</v>
      </c>
      <c r="C99" s="390">
        <v>577.02</v>
      </c>
      <c r="D99" s="393"/>
      <c r="E99" s="392">
        <f t="shared" si="0"/>
        <v>6.365871950049673E-3</v>
      </c>
      <c r="F99" s="393"/>
      <c r="G99" s="381"/>
      <c r="H99" s="381"/>
      <c r="I99" s="381"/>
      <c r="J99" s="381"/>
      <c r="K99" s="381"/>
      <c r="L99" s="381"/>
      <c r="M99" s="381"/>
      <c r="N99" s="381"/>
      <c r="O99" s="381"/>
      <c r="P99" s="381"/>
      <c r="Q99" s="381"/>
      <c r="R99" s="381"/>
      <c r="S99" s="381"/>
    </row>
    <row r="100" spans="1:19" ht="12.75" customHeight="1">
      <c r="A100" s="381"/>
      <c r="B100" s="389">
        <v>42445</v>
      </c>
      <c r="C100" s="390">
        <v>574.27</v>
      </c>
      <c r="D100" s="393"/>
      <c r="E100" s="392">
        <f t="shared" si="0"/>
        <v>-4.7658660011784537E-3</v>
      </c>
      <c r="F100" s="393"/>
      <c r="G100" s="381"/>
      <c r="H100" s="381"/>
      <c r="I100" s="381"/>
      <c r="J100" s="381"/>
      <c r="K100" s="381"/>
      <c r="L100" s="381"/>
      <c r="M100" s="381"/>
      <c r="N100" s="381"/>
      <c r="O100" s="381"/>
      <c r="P100" s="381"/>
      <c r="Q100" s="381"/>
      <c r="R100" s="381"/>
      <c r="S100" s="381"/>
    </row>
    <row r="101" spans="1:19" ht="12.75" customHeight="1">
      <c r="A101" s="381"/>
      <c r="B101" s="389">
        <v>42446</v>
      </c>
      <c r="C101" s="390">
        <v>559.44000000000005</v>
      </c>
      <c r="D101" s="393"/>
      <c r="E101" s="392">
        <f t="shared" si="0"/>
        <v>-2.5824089713897491E-2</v>
      </c>
      <c r="F101" s="393"/>
      <c r="G101" s="381"/>
      <c r="H101" s="381"/>
      <c r="I101" s="381"/>
      <c r="J101" s="381"/>
      <c r="K101" s="381"/>
      <c r="L101" s="381"/>
      <c r="M101" s="381"/>
      <c r="N101" s="381"/>
      <c r="O101" s="381"/>
      <c r="P101" s="381"/>
      <c r="Q101" s="381"/>
      <c r="R101" s="381"/>
      <c r="S101" s="381"/>
    </row>
    <row r="102" spans="1:19" ht="12.75" customHeight="1">
      <c r="A102" s="381"/>
      <c r="B102" s="389">
        <v>42447</v>
      </c>
      <c r="C102" s="390">
        <v>552.08000000000004</v>
      </c>
      <c r="D102" s="393"/>
      <c r="E102" s="392">
        <f t="shared" si="0"/>
        <v>-1.3156013156013224E-2</v>
      </c>
      <c r="F102" s="393"/>
      <c r="G102" s="381"/>
      <c r="H102" s="381"/>
      <c r="I102" s="381"/>
      <c r="J102" s="381"/>
      <c r="K102" s="381"/>
      <c r="L102" s="381"/>
      <c r="M102" s="381"/>
      <c r="N102" s="381"/>
      <c r="O102" s="381"/>
      <c r="P102" s="381"/>
      <c r="Q102" s="381"/>
      <c r="R102" s="381"/>
      <c r="S102" s="381"/>
    </row>
    <row r="103" spans="1:19" ht="12.75" customHeight="1">
      <c r="A103" s="381"/>
      <c r="B103" s="389">
        <v>42450</v>
      </c>
      <c r="C103" s="390">
        <v>553.98</v>
      </c>
      <c r="D103" s="393"/>
      <c r="E103" s="392">
        <f t="shared" si="0"/>
        <v>3.4415302130126335E-3</v>
      </c>
      <c r="F103" s="393"/>
      <c r="G103" s="381"/>
      <c r="H103" s="381"/>
      <c r="I103" s="381"/>
      <c r="J103" s="381"/>
      <c r="K103" s="381"/>
      <c r="L103" s="381"/>
      <c r="M103" s="381"/>
      <c r="N103" s="381"/>
      <c r="O103" s="381"/>
      <c r="P103" s="381"/>
      <c r="Q103" s="381"/>
      <c r="R103" s="381"/>
      <c r="S103" s="381"/>
    </row>
    <row r="104" spans="1:19" ht="12.75" customHeight="1">
      <c r="A104" s="381"/>
      <c r="B104" s="389">
        <v>42451</v>
      </c>
      <c r="C104" s="390">
        <v>560.48</v>
      </c>
      <c r="D104" s="393"/>
      <c r="E104" s="392">
        <f t="shared" si="0"/>
        <v>1.17332755695152E-2</v>
      </c>
      <c r="F104" s="393"/>
      <c r="G104" s="381"/>
      <c r="H104" s="381"/>
      <c r="I104" s="381"/>
      <c r="J104" s="381"/>
      <c r="K104" s="381"/>
      <c r="L104" s="381"/>
      <c r="M104" s="381"/>
      <c r="N104" s="381"/>
      <c r="O104" s="381"/>
      <c r="P104" s="381"/>
      <c r="Q104" s="381"/>
      <c r="R104" s="381"/>
      <c r="S104" s="381"/>
    </row>
    <row r="105" spans="1:19" ht="12.75" customHeight="1">
      <c r="A105" s="381"/>
      <c r="B105" s="389">
        <v>42452</v>
      </c>
      <c r="C105" s="390">
        <v>569.63</v>
      </c>
      <c r="D105" s="393"/>
      <c r="E105" s="392">
        <f t="shared" si="0"/>
        <v>1.6325292606337305E-2</v>
      </c>
      <c r="F105" s="393"/>
      <c r="G105" s="381"/>
      <c r="H105" s="381"/>
      <c r="I105" s="381"/>
      <c r="J105" s="381"/>
      <c r="K105" s="381"/>
      <c r="L105" s="381"/>
      <c r="M105" s="381"/>
      <c r="N105" s="381"/>
      <c r="O105" s="381"/>
      <c r="P105" s="381"/>
      <c r="Q105" s="381"/>
      <c r="R105" s="381"/>
      <c r="S105" s="381"/>
    </row>
    <row r="106" spans="1:19" ht="12.75" customHeight="1">
      <c r="A106" s="381"/>
      <c r="B106" s="389">
        <v>42453</v>
      </c>
      <c r="C106" s="390">
        <v>582.95000000000005</v>
      </c>
      <c r="D106" s="393"/>
      <c r="E106" s="392">
        <f t="shared" si="0"/>
        <v>2.3383599880624439E-2</v>
      </c>
      <c r="F106" s="393"/>
      <c r="G106" s="381"/>
      <c r="H106" s="381"/>
      <c r="I106" s="381"/>
      <c r="J106" s="381"/>
      <c r="K106" s="381"/>
      <c r="L106" s="381"/>
      <c r="M106" s="381"/>
      <c r="N106" s="381"/>
      <c r="O106" s="381"/>
      <c r="P106" s="381"/>
      <c r="Q106" s="381"/>
      <c r="R106" s="381"/>
      <c r="S106" s="381"/>
    </row>
    <row r="107" spans="1:19" ht="12.75" customHeight="1">
      <c r="A107" s="381"/>
      <c r="B107" s="389">
        <v>42457</v>
      </c>
      <c r="C107" s="390">
        <v>579.87</v>
      </c>
      <c r="D107" s="393"/>
      <c r="E107" s="392">
        <f t="shared" si="0"/>
        <v>-5.2834719958830823E-3</v>
      </c>
      <c r="F107" s="393"/>
      <c r="G107" s="381"/>
      <c r="H107" s="381"/>
      <c r="I107" s="381"/>
      <c r="J107" s="381"/>
      <c r="K107" s="381"/>
      <c r="L107" s="381"/>
      <c r="M107" s="381"/>
      <c r="N107" s="381"/>
      <c r="O107" s="381"/>
      <c r="P107" s="381"/>
      <c r="Q107" s="381"/>
      <c r="R107" s="381"/>
      <c r="S107" s="381"/>
    </row>
    <row r="108" spans="1:19" ht="12.75" customHeight="1">
      <c r="A108" s="381"/>
      <c r="B108" s="389">
        <v>42458</v>
      </c>
      <c r="C108" s="390">
        <v>593.86</v>
      </c>
      <c r="D108" s="393"/>
      <c r="E108" s="392">
        <f t="shared" si="0"/>
        <v>2.4126097228689192E-2</v>
      </c>
      <c r="F108" s="393"/>
      <c r="G108" s="381"/>
      <c r="H108" s="381"/>
      <c r="I108" s="381"/>
      <c r="J108" s="381"/>
      <c r="K108" s="381"/>
      <c r="L108" s="381"/>
      <c r="M108" s="381"/>
      <c r="N108" s="381"/>
      <c r="O108" s="381"/>
      <c r="P108" s="381"/>
      <c r="Q108" s="381"/>
      <c r="R108" s="381"/>
      <c r="S108" s="381"/>
    </row>
    <row r="109" spans="1:19" ht="12.75" customHeight="1">
      <c r="A109" s="381"/>
      <c r="B109" s="389">
        <v>42459</v>
      </c>
      <c r="C109" s="390">
        <v>598.69000000000005</v>
      </c>
      <c r="D109" s="393"/>
      <c r="E109" s="392">
        <f t="shared" si="0"/>
        <v>8.1332300542216185E-3</v>
      </c>
      <c r="F109" s="393"/>
      <c r="G109" s="381"/>
      <c r="H109" s="381"/>
      <c r="I109" s="381"/>
      <c r="J109" s="381"/>
      <c r="K109" s="381"/>
      <c r="L109" s="381"/>
      <c r="M109" s="381"/>
      <c r="N109" s="381"/>
      <c r="O109" s="381"/>
      <c r="P109" s="381"/>
      <c r="Q109" s="381"/>
      <c r="R109" s="381"/>
      <c r="S109" s="381"/>
    </row>
    <row r="110" spans="1:19" ht="12.75" customHeight="1">
      <c r="A110" s="381"/>
      <c r="B110" s="389">
        <v>42460</v>
      </c>
      <c r="C110" s="390">
        <v>593.64</v>
      </c>
      <c r="D110" s="393"/>
      <c r="E110" s="392">
        <f t="shared" si="0"/>
        <v>-8.4350832651289842E-3</v>
      </c>
      <c r="F110" s="393"/>
      <c r="G110" s="381"/>
      <c r="H110" s="381"/>
      <c r="I110" s="381"/>
      <c r="J110" s="381"/>
      <c r="K110" s="381"/>
      <c r="L110" s="381"/>
      <c r="M110" s="381"/>
      <c r="N110" s="381"/>
      <c r="O110" s="381"/>
      <c r="P110" s="381"/>
      <c r="Q110" s="381"/>
      <c r="R110" s="381"/>
      <c r="S110" s="381"/>
    </row>
    <row r="111" spans="1:19" ht="12.75" customHeight="1">
      <c r="A111" s="381"/>
      <c r="B111" s="389">
        <v>42461</v>
      </c>
      <c r="C111" s="390">
        <v>598.5</v>
      </c>
      <c r="D111" s="393"/>
      <c r="E111" s="392">
        <f t="shared" si="0"/>
        <v>8.1867798665857805E-3</v>
      </c>
      <c r="F111" s="393"/>
      <c r="G111" s="381"/>
      <c r="H111" s="381"/>
      <c r="I111" s="381"/>
      <c r="J111" s="381"/>
      <c r="K111" s="381"/>
      <c r="L111" s="381"/>
      <c r="M111" s="381"/>
      <c r="N111" s="381"/>
      <c r="O111" s="381"/>
      <c r="P111" s="381"/>
      <c r="Q111" s="381"/>
      <c r="R111" s="381"/>
      <c r="S111" s="381"/>
    </row>
    <row r="112" spans="1:19" ht="12.75" customHeight="1">
      <c r="A112" s="381"/>
      <c r="B112" s="389">
        <v>42464</v>
      </c>
      <c r="C112" s="390">
        <v>593.19000000000005</v>
      </c>
      <c r="D112" s="393"/>
      <c r="E112" s="392">
        <f t="shared" si="0"/>
        <v>-8.872180451127698E-3</v>
      </c>
      <c r="F112" s="393"/>
      <c r="G112" s="381"/>
      <c r="H112" s="381"/>
      <c r="I112" s="381"/>
      <c r="J112" s="381"/>
      <c r="K112" s="381"/>
      <c r="L112" s="381"/>
      <c r="M112" s="381"/>
      <c r="N112" s="381"/>
      <c r="O112" s="381"/>
      <c r="P112" s="381"/>
      <c r="Q112" s="381"/>
      <c r="R112" s="381"/>
      <c r="S112" s="381"/>
    </row>
    <row r="113" spans="1:19" ht="12.75" customHeight="1">
      <c r="A113" s="381"/>
      <c r="B113" s="389">
        <v>42465</v>
      </c>
      <c r="C113" s="390">
        <v>586.14</v>
      </c>
      <c r="D113" s="393"/>
      <c r="E113" s="392">
        <f t="shared" si="0"/>
        <v>-1.1884893541698416E-2</v>
      </c>
      <c r="F113" s="393"/>
      <c r="G113" s="381"/>
      <c r="H113" s="381"/>
      <c r="I113" s="381"/>
      <c r="J113" s="381"/>
      <c r="K113" s="381"/>
      <c r="L113" s="381"/>
      <c r="M113" s="381"/>
      <c r="N113" s="381"/>
      <c r="O113" s="381"/>
      <c r="P113" s="381"/>
      <c r="Q113" s="381"/>
      <c r="R113" s="381"/>
      <c r="S113" s="381"/>
    </row>
    <row r="114" spans="1:19" ht="12.75" customHeight="1">
      <c r="A114" s="381"/>
      <c r="B114" s="389">
        <v>42466</v>
      </c>
      <c r="C114" s="390">
        <v>602.08000000000004</v>
      </c>
      <c r="D114" s="393"/>
      <c r="E114" s="392">
        <f t="shared" si="0"/>
        <v>2.7194868120244298E-2</v>
      </c>
      <c r="F114" s="393"/>
      <c r="G114" s="381"/>
      <c r="H114" s="381"/>
      <c r="I114" s="381"/>
      <c r="J114" s="381"/>
      <c r="K114" s="381"/>
      <c r="L114" s="381"/>
      <c r="M114" s="381"/>
      <c r="N114" s="381"/>
      <c r="O114" s="381"/>
      <c r="P114" s="381"/>
      <c r="Q114" s="381"/>
      <c r="R114" s="381"/>
      <c r="S114" s="381"/>
    </row>
    <row r="115" spans="1:19" ht="12.75" customHeight="1">
      <c r="A115" s="381"/>
      <c r="B115" s="389">
        <v>42467</v>
      </c>
      <c r="C115" s="390">
        <v>591.42999999999995</v>
      </c>
      <c r="D115" s="393"/>
      <c r="E115" s="392">
        <f t="shared" si="0"/>
        <v>-1.7688679245283168E-2</v>
      </c>
      <c r="F115" s="393"/>
      <c r="G115" s="381"/>
      <c r="H115" s="381"/>
      <c r="I115" s="381"/>
      <c r="J115" s="381"/>
      <c r="K115" s="381"/>
      <c r="L115" s="381"/>
      <c r="M115" s="381"/>
      <c r="N115" s="381"/>
      <c r="O115" s="381"/>
      <c r="P115" s="381"/>
      <c r="Q115" s="381"/>
      <c r="R115" s="381"/>
      <c r="S115" s="381"/>
    </row>
    <row r="116" spans="1:19" ht="12.75" customHeight="1">
      <c r="A116" s="381"/>
      <c r="B116" s="389">
        <v>42468</v>
      </c>
      <c r="C116" s="390">
        <v>594.6</v>
      </c>
      <c r="D116" s="393"/>
      <c r="E116" s="392">
        <f t="shared" si="0"/>
        <v>5.3598904350473653E-3</v>
      </c>
      <c r="F116" s="393"/>
      <c r="G116" s="381"/>
      <c r="H116" s="381"/>
      <c r="I116" s="381"/>
      <c r="J116" s="381"/>
      <c r="K116" s="381"/>
      <c r="L116" s="381"/>
      <c r="M116" s="381"/>
      <c r="N116" s="381"/>
      <c r="O116" s="381"/>
      <c r="P116" s="381"/>
      <c r="Q116" s="381"/>
      <c r="R116" s="381"/>
      <c r="S116" s="381"/>
    </row>
    <row r="117" spans="1:19" ht="12.75" customHeight="1">
      <c r="A117" s="381"/>
      <c r="B117" s="389">
        <v>42471</v>
      </c>
      <c r="C117" s="390">
        <v>595.92999999999995</v>
      </c>
      <c r="D117" s="393"/>
      <c r="E117" s="392">
        <f t="shared" si="0"/>
        <v>2.2367978472921379E-3</v>
      </c>
      <c r="F117" s="393"/>
      <c r="G117" s="381"/>
      <c r="H117" s="381"/>
      <c r="I117" s="381"/>
      <c r="J117" s="381"/>
      <c r="K117" s="381"/>
      <c r="L117" s="381"/>
      <c r="M117" s="381"/>
      <c r="N117" s="381"/>
      <c r="O117" s="381"/>
      <c r="P117" s="381"/>
      <c r="Q117" s="381"/>
      <c r="R117" s="381"/>
      <c r="S117" s="381"/>
    </row>
    <row r="118" spans="1:19" ht="12.75" customHeight="1">
      <c r="A118" s="381"/>
      <c r="B118" s="389">
        <v>42472</v>
      </c>
      <c r="C118" s="390">
        <v>603.16999999999996</v>
      </c>
      <c r="D118" s="393"/>
      <c r="E118" s="392">
        <f t="shared" si="0"/>
        <v>1.2149077911835393E-2</v>
      </c>
      <c r="F118" s="393"/>
      <c r="G118" s="381"/>
      <c r="H118" s="381"/>
      <c r="I118" s="381"/>
      <c r="J118" s="381"/>
      <c r="K118" s="381"/>
      <c r="L118" s="381"/>
      <c r="M118" s="381"/>
      <c r="N118" s="381"/>
      <c r="O118" s="381"/>
      <c r="P118" s="381"/>
      <c r="Q118" s="381"/>
      <c r="R118" s="381"/>
      <c r="S118" s="381"/>
    </row>
    <row r="119" spans="1:19" ht="12.75" customHeight="1">
      <c r="A119" s="381"/>
      <c r="B119" s="389">
        <v>42473</v>
      </c>
      <c r="C119" s="390">
        <v>614.82000000000005</v>
      </c>
      <c r="D119" s="393"/>
      <c r="E119" s="392">
        <f t="shared" si="0"/>
        <v>1.9314621085266381E-2</v>
      </c>
      <c r="F119" s="393"/>
      <c r="G119" s="381"/>
      <c r="H119" s="381"/>
      <c r="I119" s="381"/>
      <c r="J119" s="381"/>
      <c r="K119" s="381"/>
      <c r="L119" s="381"/>
      <c r="M119" s="381"/>
      <c r="N119" s="381"/>
      <c r="O119" s="381"/>
      <c r="P119" s="381"/>
      <c r="Q119" s="381"/>
      <c r="R119" s="381"/>
      <c r="S119" s="381"/>
    </row>
    <row r="120" spans="1:19" ht="12.75" customHeight="1">
      <c r="A120" s="381"/>
      <c r="B120" s="389">
        <v>42474</v>
      </c>
      <c r="C120" s="390">
        <v>620.75</v>
      </c>
      <c r="D120" s="393"/>
      <c r="E120" s="392">
        <f t="shared" si="0"/>
        <v>9.6450993786798556E-3</v>
      </c>
      <c r="F120" s="393"/>
      <c r="G120" s="381"/>
      <c r="H120" s="381"/>
      <c r="I120" s="381"/>
      <c r="J120" s="381"/>
      <c r="K120" s="381"/>
      <c r="L120" s="381"/>
      <c r="M120" s="381"/>
      <c r="N120" s="381"/>
      <c r="O120" s="381"/>
      <c r="P120" s="381"/>
      <c r="Q120" s="381"/>
      <c r="R120" s="381"/>
      <c r="S120" s="381"/>
    </row>
    <row r="121" spans="1:19" ht="12.75" customHeight="1">
      <c r="A121" s="381"/>
      <c r="B121" s="389">
        <v>42475</v>
      </c>
      <c r="C121" s="390">
        <v>625.89</v>
      </c>
      <c r="D121" s="393"/>
      <c r="E121" s="392">
        <f t="shared" si="0"/>
        <v>8.280306081353217E-3</v>
      </c>
      <c r="F121" s="393"/>
      <c r="G121" s="381"/>
      <c r="H121" s="381"/>
      <c r="I121" s="381"/>
      <c r="J121" s="381"/>
      <c r="K121" s="381"/>
      <c r="L121" s="381"/>
      <c r="M121" s="381"/>
      <c r="N121" s="381"/>
      <c r="O121" s="381"/>
      <c r="P121" s="381"/>
      <c r="Q121" s="381"/>
      <c r="R121" s="381"/>
      <c r="S121" s="381"/>
    </row>
    <row r="122" spans="1:19" ht="12.75" customHeight="1">
      <c r="A122" s="381"/>
      <c r="B122" s="389">
        <v>42478</v>
      </c>
      <c r="C122" s="390">
        <v>635.35</v>
      </c>
      <c r="D122" s="393"/>
      <c r="E122" s="392">
        <f t="shared" si="0"/>
        <v>1.511447698477375E-2</v>
      </c>
      <c r="F122" s="393"/>
      <c r="G122" s="381"/>
      <c r="H122" s="381"/>
      <c r="I122" s="381"/>
      <c r="J122" s="381"/>
      <c r="K122" s="381"/>
      <c r="L122" s="381"/>
      <c r="M122" s="381"/>
      <c r="N122" s="381"/>
      <c r="O122" s="381"/>
      <c r="P122" s="381"/>
      <c r="Q122" s="381"/>
      <c r="R122" s="381"/>
      <c r="S122" s="381"/>
    </row>
    <row r="123" spans="1:19" ht="12.75" customHeight="1">
      <c r="A123" s="381"/>
      <c r="B123" s="389">
        <v>42479</v>
      </c>
      <c r="C123" s="390">
        <v>627.9</v>
      </c>
      <c r="D123" s="393"/>
      <c r="E123" s="392">
        <f t="shared" si="0"/>
        <v>-1.1725820413945098E-2</v>
      </c>
      <c r="F123" s="393"/>
      <c r="G123" s="381"/>
      <c r="H123" s="381"/>
      <c r="I123" s="381"/>
      <c r="J123" s="381"/>
      <c r="K123" s="381"/>
      <c r="L123" s="381"/>
      <c r="M123" s="381"/>
      <c r="N123" s="381"/>
      <c r="O123" s="381"/>
      <c r="P123" s="381"/>
      <c r="Q123" s="381"/>
      <c r="R123" s="381"/>
      <c r="S123" s="381"/>
    </row>
    <row r="124" spans="1:19" ht="12.75" customHeight="1">
      <c r="A124" s="381"/>
      <c r="B124" s="389">
        <v>42480</v>
      </c>
      <c r="C124" s="390">
        <v>632.99</v>
      </c>
      <c r="D124" s="393"/>
      <c r="E124" s="392">
        <f t="shared" si="0"/>
        <v>8.1063863672559133E-3</v>
      </c>
      <c r="F124" s="393"/>
      <c r="G124" s="381"/>
      <c r="H124" s="381"/>
      <c r="I124" s="381"/>
      <c r="J124" s="381"/>
      <c r="K124" s="381"/>
      <c r="L124" s="381"/>
      <c r="M124" s="381"/>
      <c r="N124" s="381"/>
      <c r="O124" s="381"/>
      <c r="P124" s="381"/>
      <c r="Q124" s="381"/>
      <c r="R124" s="381"/>
      <c r="S124" s="381"/>
    </row>
    <row r="125" spans="1:19" ht="12.75" customHeight="1">
      <c r="A125" s="381"/>
      <c r="B125" s="389">
        <v>42481</v>
      </c>
      <c r="C125" s="390">
        <v>631</v>
      </c>
      <c r="D125" s="393"/>
      <c r="E125" s="392">
        <f t="shared" si="0"/>
        <v>-3.1438095388552911E-3</v>
      </c>
      <c r="F125" s="393"/>
      <c r="G125" s="381"/>
      <c r="H125" s="381"/>
      <c r="I125" s="381"/>
      <c r="J125" s="381"/>
      <c r="K125" s="381"/>
      <c r="L125" s="381"/>
      <c r="M125" s="381"/>
      <c r="N125" s="381"/>
      <c r="O125" s="381"/>
      <c r="P125" s="381"/>
      <c r="Q125" s="381"/>
      <c r="R125" s="381"/>
      <c r="S125" s="381"/>
    </row>
    <row r="126" spans="1:19" ht="12.75" customHeight="1">
      <c r="A126" s="381"/>
      <c r="B126" s="389">
        <v>42482</v>
      </c>
      <c r="C126" s="390">
        <v>620.5</v>
      </c>
      <c r="D126" s="393"/>
      <c r="E126" s="392">
        <f t="shared" si="0"/>
        <v>-1.6640253565768592E-2</v>
      </c>
      <c r="F126" s="393"/>
      <c r="G126" s="381"/>
      <c r="H126" s="381"/>
      <c r="I126" s="381"/>
      <c r="J126" s="381"/>
      <c r="K126" s="381"/>
      <c r="L126" s="381"/>
      <c r="M126" s="381"/>
      <c r="N126" s="381"/>
      <c r="O126" s="381"/>
      <c r="P126" s="381"/>
      <c r="Q126" s="381"/>
      <c r="R126" s="381"/>
      <c r="S126" s="381"/>
    </row>
    <row r="127" spans="1:19" ht="12.75" customHeight="1">
      <c r="A127" s="381"/>
      <c r="B127" s="389">
        <v>42485</v>
      </c>
      <c r="C127" s="390">
        <v>626.20000000000005</v>
      </c>
      <c r="D127" s="393"/>
      <c r="E127" s="392">
        <f t="shared" si="0"/>
        <v>9.1861402095085865E-3</v>
      </c>
      <c r="F127" s="393"/>
      <c r="G127" s="381"/>
      <c r="H127" s="381"/>
      <c r="I127" s="381"/>
      <c r="J127" s="381"/>
      <c r="K127" s="381"/>
      <c r="L127" s="381"/>
      <c r="M127" s="381"/>
      <c r="N127" s="381"/>
      <c r="O127" s="381"/>
      <c r="P127" s="381"/>
      <c r="Q127" s="381"/>
      <c r="R127" s="381"/>
      <c r="S127" s="381"/>
    </row>
    <row r="128" spans="1:19" ht="12.75" customHeight="1">
      <c r="A128" s="381"/>
      <c r="B128" s="389">
        <v>42486</v>
      </c>
      <c r="C128" s="390">
        <v>616.88</v>
      </c>
      <c r="D128" s="393"/>
      <c r="E128" s="392">
        <f t="shared" si="0"/>
        <v>-1.4883423826253628E-2</v>
      </c>
      <c r="F128" s="393"/>
      <c r="G128" s="381"/>
      <c r="H128" s="381"/>
      <c r="I128" s="381"/>
      <c r="J128" s="381"/>
      <c r="K128" s="381"/>
      <c r="L128" s="381"/>
      <c r="M128" s="381"/>
      <c r="N128" s="381"/>
      <c r="O128" s="381"/>
      <c r="P128" s="381"/>
      <c r="Q128" s="381"/>
      <c r="R128" s="381"/>
      <c r="S128" s="381"/>
    </row>
    <row r="129" spans="1:19" ht="12.75" customHeight="1">
      <c r="A129" s="381"/>
      <c r="B129" s="389">
        <v>42487</v>
      </c>
      <c r="C129" s="390">
        <v>606.57000000000005</v>
      </c>
      <c r="D129" s="393"/>
      <c r="E129" s="392">
        <f t="shared" si="0"/>
        <v>-1.6713137076903029E-2</v>
      </c>
      <c r="F129" s="393"/>
      <c r="G129" s="381"/>
      <c r="H129" s="381"/>
      <c r="I129" s="381"/>
      <c r="J129" s="381"/>
      <c r="K129" s="381"/>
      <c r="L129" s="381"/>
      <c r="M129" s="381"/>
      <c r="N129" s="381"/>
      <c r="O129" s="381"/>
      <c r="P129" s="381"/>
      <c r="Q129" s="381"/>
      <c r="R129" s="381"/>
      <c r="S129" s="381"/>
    </row>
    <row r="130" spans="1:19" ht="12.75" customHeight="1">
      <c r="A130" s="381"/>
      <c r="B130" s="389">
        <v>42488</v>
      </c>
      <c r="C130" s="390">
        <v>602</v>
      </c>
      <c r="D130" s="393"/>
      <c r="E130" s="392">
        <f t="shared" si="0"/>
        <v>-7.5341675321892732E-3</v>
      </c>
      <c r="F130" s="393"/>
      <c r="G130" s="381"/>
      <c r="H130" s="381"/>
      <c r="I130" s="381"/>
      <c r="J130" s="381"/>
      <c r="K130" s="381"/>
      <c r="L130" s="381"/>
      <c r="M130" s="381"/>
      <c r="N130" s="381"/>
      <c r="O130" s="381"/>
      <c r="P130" s="381"/>
      <c r="Q130" s="381"/>
      <c r="R130" s="381"/>
      <c r="S130" s="381"/>
    </row>
    <row r="131" spans="1:19" ht="12.75" customHeight="1">
      <c r="A131" s="381"/>
      <c r="B131" s="389">
        <v>42489</v>
      </c>
      <c r="C131" s="390">
        <v>659.59</v>
      </c>
      <c r="D131" s="393"/>
      <c r="E131" s="392">
        <f t="shared" si="0"/>
        <v>9.566445182724248E-2</v>
      </c>
      <c r="F131" s="393"/>
      <c r="G131" s="381"/>
      <c r="H131" s="381"/>
      <c r="I131" s="381"/>
      <c r="J131" s="381"/>
      <c r="K131" s="381"/>
      <c r="L131" s="381"/>
      <c r="M131" s="381"/>
      <c r="N131" s="381"/>
      <c r="O131" s="381"/>
      <c r="P131" s="381"/>
      <c r="Q131" s="381"/>
      <c r="R131" s="381"/>
      <c r="S131" s="381"/>
    </row>
    <row r="132" spans="1:19" ht="12.75" customHeight="1">
      <c r="A132" s="381"/>
      <c r="B132" s="389">
        <v>42492</v>
      </c>
      <c r="C132" s="390">
        <v>683.85</v>
      </c>
      <c r="D132" s="393"/>
      <c r="E132" s="392">
        <f t="shared" si="0"/>
        <v>3.6780424202913942E-2</v>
      </c>
      <c r="F132" s="393"/>
      <c r="G132" s="381"/>
      <c r="H132" s="381"/>
      <c r="I132" s="381"/>
      <c r="J132" s="381"/>
      <c r="K132" s="381"/>
      <c r="L132" s="381"/>
      <c r="M132" s="381"/>
      <c r="N132" s="381"/>
      <c r="O132" s="381"/>
      <c r="P132" s="381"/>
      <c r="Q132" s="381"/>
      <c r="R132" s="381"/>
      <c r="S132" s="381"/>
    </row>
    <row r="133" spans="1:19" ht="12.75" customHeight="1">
      <c r="A133" s="381"/>
      <c r="B133" s="389">
        <v>42493</v>
      </c>
      <c r="C133" s="390">
        <v>671.32</v>
      </c>
      <c r="D133" s="393"/>
      <c r="E133" s="392">
        <f t="shared" si="0"/>
        <v>-1.8322731593185648E-2</v>
      </c>
      <c r="F133" s="393"/>
      <c r="G133" s="381"/>
      <c r="H133" s="381"/>
      <c r="I133" s="381"/>
      <c r="J133" s="381"/>
      <c r="K133" s="381"/>
      <c r="L133" s="381"/>
      <c r="M133" s="381"/>
      <c r="N133" s="381"/>
      <c r="O133" s="381"/>
      <c r="P133" s="381"/>
      <c r="Q133" s="381"/>
      <c r="R133" s="381"/>
      <c r="S133" s="381"/>
    </row>
    <row r="134" spans="1:19" ht="12.75" customHeight="1">
      <c r="A134" s="381"/>
      <c r="B134" s="389">
        <v>42494</v>
      </c>
      <c r="C134" s="390">
        <v>670.9</v>
      </c>
      <c r="D134" s="393"/>
      <c r="E134" s="392">
        <f t="shared" si="0"/>
        <v>-6.2563308109409022E-4</v>
      </c>
      <c r="F134" s="393"/>
      <c r="G134" s="381"/>
      <c r="H134" s="381"/>
      <c r="I134" s="381"/>
      <c r="J134" s="381"/>
      <c r="K134" s="381"/>
      <c r="L134" s="381"/>
      <c r="M134" s="381"/>
      <c r="N134" s="381"/>
      <c r="O134" s="381"/>
      <c r="P134" s="381"/>
      <c r="Q134" s="381"/>
      <c r="R134" s="381"/>
      <c r="S134" s="381"/>
    </row>
    <row r="135" spans="1:19" ht="12.75" customHeight="1">
      <c r="A135" s="381"/>
      <c r="B135" s="389">
        <v>42495</v>
      </c>
      <c r="C135" s="390">
        <v>659.09</v>
      </c>
      <c r="D135" s="393"/>
      <c r="E135" s="392">
        <f t="shared" si="0"/>
        <v>-1.7603219555820449E-2</v>
      </c>
      <c r="F135" s="393"/>
      <c r="G135" s="381"/>
      <c r="H135" s="381"/>
      <c r="I135" s="381"/>
      <c r="J135" s="381"/>
      <c r="K135" s="381"/>
      <c r="L135" s="381"/>
      <c r="M135" s="381"/>
      <c r="N135" s="381"/>
      <c r="O135" s="381"/>
      <c r="P135" s="381"/>
      <c r="Q135" s="381"/>
      <c r="R135" s="381"/>
      <c r="S135" s="381"/>
    </row>
    <row r="136" spans="1:19" ht="12.75" customHeight="1">
      <c r="A136" s="381"/>
      <c r="B136" s="389">
        <v>42496</v>
      </c>
      <c r="C136" s="390">
        <v>673.95</v>
      </c>
      <c r="D136" s="393"/>
      <c r="E136" s="392">
        <f t="shared" si="0"/>
        <v>2.2546237994811147E-2</v>
      </c>
      <c r="F136" s="393"/>
      <c r="G136" s="381"/>
      <c r="H136" s="381"/>
      <c r="I136" s="381"/>
      <c r="J136" s="381"/>
      <c r="K136" s="381"/>
      <c r="L136" s="381"/>
      <c r="M136" s="381"/>
      <c r="N136" s="381"/>
      <c r="O136" s="381"/>
      <c r="P136" s="381"/>
      <c r="Q136" s="381"/>
      <c r="R136" s="381"/>
      <c r="S136" s="381"/>
    </row>
    <row r="137" spans="1:19" ht="12.75" customHeight="1">
      <c r="A137" s="381"/>
      <c r="B137" s="389">
        <v>42499</v>
      </c>
      <c r="C137" s="390">
        <v>679.75</v>
      </c>
      <c r="D137" s="393"/>
      <c r="E137" s="392">
        <f t="shared" si="0"/>
        <v>8.6059796720823201E-3</v>
      </c>
      <c r="F137" s="393"/>
      <c r="G137" s="381"/>
      <c r="H137" s="381"/>
      <c r="I137" s="381"/>
      <c r="J137" s="381"/>
      <c r="K137" s="381"/>
      <c r="L137" s="381"/>
      <c r="M137" s="381"/>
      <c r="N137" s="381"/>
      <c r="O137" s="381"/>
      <c r="P137" s="381"/>
      <c r="Q137" s="381"/>
      <c r="R137" s="381"/>
      <c r="S137" s="381"/>
    </row>
    <row r="138" spans="1:19" ht="12.75" customHeight="1">
      <c r="A138" s="381"/>
      <c r="B138" s="389">
        <v>42500</v>
      </c>
      <c r="C138" s="390">
        <v>703.07</v>
      </c>
      <c r="D138" s="393"/>
      <c r="E138" s="392">
        <f t="shared" si="0"/>
        <v>3.4306730415593956E-2</v>
      </c>
      <c r="F138" s="393"/>
      <c r="G138" s="381"/>
      <c r="H138" s="381"/>
      <c r="I138" s="381"/>
      <c r="J138" s="381"/>
      <c r="K138" s="381"/>
      <c r="L138" s="381"/>
      <c r="M138" s="381"/>
      <c r="N138" s="381"/>
      <c r="O138" s="381"/>
      <c r="P138" s="381"/>
      <c r="Q138" s="381"/>
      <c r="R138" s="381"/>
      <c r="S138" s="381"/>
    </row>
    <row r="139" spans="1:19" ht="12.75" customHeight="1">
      <c r="A139" s="381"/>
      <c r="B139" s="389">
        <v>42501</v>
      </c>
      <c r="C139" s="390">
        <v>713.23</v>
      </c>
      <c r="D139" s="393"/>
      <c r="E139" s="392">
        <f t="shared" si="0"/>
        <v>1.4450908159927112E-2</v>
      </c>
      <c r="F139" s="393"/>
      <c r="G139" s="381"/>
      <c r="H139" s="381"/>
      <c r="I139" s="381"/>
      <c r="J139" s="381"/>
      <c r="K139" s="381"/>
      <c r="L139" s="381"/>
      <c r="M139" s="381"/>
      <c r="N139" s="381"/>
      <c r="O139" s="381"/>
      <c r="P139" s="381"/>
      <c r="Q139" s="381"/>
      <c r="R139" s="381"/>
      <c r="S139" s="381"/>
    </row>
    <row r="140" spans="1:19" ht="12.75" customHeight="1">
      <c r="A140" s="381"/>
      <c r="B140" s="389">
        <v>42502</v>
      </c>
      <c r="C140" s="390">
        <v>717.93</v>
      </c>
      <c r="D140" s="393"/>
      <c r="E140" s="392">
        <f t="shared" si="0"/>
        <v>6.5897396351806137E-3</v>
      </c>
      <c r="F140" s="393"/>
      <c r="G140" s="381"/>
      <c r="H140" s="381"/>
      <c r="I140" s="381"/>
      <c r="J140" s="381"/>
      <c r="K140" s="381"/>
      <c r="L140" s="381"/>
      <c r="M140" s="381"/>
      <c r="N140" s="381"/>
      <c r="O140" s="381"/>
      <c r="P140" s="381"/>
      <c r="Q140" s="381"/>
      <c r="R140" s="381"/>
      <c r="S140" s="381"/>
    </row>
    <row r="141" spans="1:19" ht="12.75" customHeight="1">
      <c r="A141" s="381"/>
      <c r="B141" s="389">
        <v>42503</v>
      </c>
      <c r="C141" s="390">
        <v>709.92</v>
      </c>
      <c r="D141" s="393"/>
      <c r="E141" s="392">
        <f t="shared" si="0"/>
        <v>-1.1157076595211257E-2</v>
      </c>
      <c r="F141" s="393"/>
      <c r="G141" s="381"/>
      <c r="H141" s="381"/>
      <c r="I141" s="381"/>
      <c r="J141" s="381"/>
      <c r="K141" s="381"/>
      <c r="L141" s="381"/>
      <c r="M141" s="381"/>
      <c r="N141" s="381"/>
      <c r="O141" s="381"/>
      <c r="P141" s="381"/>
      <c r="Q141" s="381"/>
      <c r="R141" s="381"/>
      <c r="S141" s="381"/>
    </row>
    <row r="142" spans="1:19" ht="12.75" customHeight="1">
      <c r="A142" s="381"/>
      <c r="B142" s="389">
        <v>42506</v>
      </c>
      <c r="C142" s="390">
        <v>710.66</v>
      </c>
      <c r="D142" s="393"/>
      <c r="E142" s="392">
        <f t="shared" si="0"/>
        <v>1.0423709713771601E-3</v>
      </c>
      <c r="F142" s="393"/>
      <c r="G142" s="381"/>
      <c r="H142" s="381"/>
      <c r="I142" s="381"/>
      <c r="J142" s="381"/>
      <c r="K142" s="381"/>
      <c r="L142" s="381"/>
      <c r="M142" s="381"/>
      <c r="N142" s="381"/>
      <c r="O142" s="381"/>
      <c r="P142" s="381"/>
      <c r="Q142" s="381"/>
      <c r="R142" s="381"/>
      <c r="S142" s="381"/>
    </row>
    <row r="143" spans="1:19" ht="12.75" customHeight="1">
      <c r="A143" s="381"/>
      <c r="B143" s="389">
        <v>42507</v>
      </c>
      <c r="C143" s="390">
        <v>695.27</v>
      </c>
      <c r="D143" s="393"/>
      <c r="E143" s="392">
        <f t="shared" si="0"/>
        <v>-2.165592547772488E-2</v>
      </c>
      <c r="F143" s="393"/>
      <c r="G143" s="381"/>
      <c r="H143" s="381"/>
      <c r="I143" s="381"/>
      <c r="J143" s="381"/>
      <c r="K143" s="381"/>
      <c r="L143" s="381"/>
      <c r="M143" s="381"/>
      <c r="N143" s="381"/>
      <c r="O143" s="381"/>
      <c r="P143" s="381"/>
      <c r="Q143" s="381"/>
      <c r="R143" s="381"/>
      <c r="S143" s="381"/>
    </row>
    <row r="144" spans="1:19" ht="12.75" customHeight="1">
      <c r="A144" s="381"/>
      <c r="B144" s="389">
        <v>42508</v>
      </c>
      <c r="C144" s="390">
        <v>697.45</v>
      </c>
      <c r="D144" s="393"/>
      <c r="E144" s="392">
        <f t="shared" si="0"/>
        <v>3.1354725502323877E-3</v>
      </c>
      <c r="F144" s="393"/>
      <c r="G144" s="381"/>
      <c r="H144" s="381"/>
      <c r="I144" s="381"/>
      <c r="J144" s="381"/>
      <c r="K144" s="381"/>
      <c r="L144" s="381"/>
      <c r="M144" s="381"/>
      <c r="N144" s="381"/>
      <c r="O144" s="381"/>
      <c r="P144" s="381"/>
      <c r="Q144" s="381"/>
      <c r="R144" s="381"/>
      <c r="S144" s="381"/>
    </row>
    <row r="145" spans="1:19" ht="12.75" customHeight="1">
      <c r="A145" s="381"/>
      <c r="B145" s="389">
        <v>42509</v>
      </c>
      <c r="C145" s="390">
        <v>698.52</v>
      </c>
      <c r="D145" s="393"/>
      <c r="E145" s="392">
        <f t="shared" si="0"/>
        <v>1.5341601548497508E-3</v>
      </c>
      <c r="F145" s="393"/>
      <c r="G145" s="381"/>
      <c r="H145" s="381"/>
      <c r="I145" s="381"/>
      <c r="J145" s="381"/>
      <c r="K145" s="381"/>
      <c r="L145" s="381"/>
      <c r="M145" s="381"/>
      <c r="N145" s="381"/>
      <c r="O145" s="381"/>
      <c r="P145" s="381"/>
      <c r="Q145" s="381"/>
      <c r="R145" s="381"/>
      <c r="S145" s="381"/>
    </row>
    <row r="146" spans="1:19" ht="12.75" customHeight="1">
      <c r="A146" s="381"/>
      <c r="B146" s="389">
        <v>42510</v>
      </c>
      <c r="C146" s="390">
        <v>702.8</v>
      </c>
      <c r="D146" s="393"/>
      <c r="E146" s="392">
        <f t="shared" si="0"/>
        <v>6.1272404512398015E-3</v>
      </c>
      <c r="F146" s="393"/>
      <c r="G146" s="381"/>
      <c r="H146" s="381"/>
      <c r="I146" s="381"/>
      <c r="J146" s="381"/>
      <c r="K146" s="381"/>
      <c r="L146" s="381"/>
      <c r="M146" s="381"/>
      <c r="N146" s="381"/>
      <c r="O146" s="381"/>
      <c r="P146" s="381"/>
      <c r="Q146" s="381"/>
      <c r="R146" s="381"/>
      <c r="S146" s="381"/>
    </row>
    <row r="147" spans="1:19" ht="12.75" customHeight="1">
      <c r="A147" s="381"/>
      <c r="B147" s="389">
        <v>42513</v>
      </c>
      <c r="C147" s="390">
        <v>696.75</v>
      </c>
      <c r="D147" s="393"/>
      <c r="E147" s="392">
        <f t="shared" si="0"/>
        <v>-8.6084234490608758E-3</v>
      </c>
      <c r="F147" s="393"/>
      <c r="G147" s="381"/>
      <c r="H147" s="381"/>
      <c r="I147" s="381"/>
      <c r="J147" s="381"/>
      <c r="K147" s="381"/>
      <c r="L147" s="381"/>
      <c r="M147" s="381"/>
      <c r="N147" s="381"/>
      <c r="O147" s="381"/>
      <c r="P147" s="381"/>
      <c r="Q147" s="381"/>
      <c r="R147" s="381"/>
      <c r="S147" s="381"/>
    </row>
    <row r="148" spans="1:19" ht="12.75" customHeight="1">
      <c r="A148" s="381"/>
      <c r="B148" s="389">
        <v>42514</v>
      </c>
      <c r="C148" s="390">
        <v>704.2</v>
      </c>
      <c r="D148" s="393"/>
      <c r="E148" s="392">
        <f t="shared" si="0"/>
        <v>1.0692500897022006E-2</v>
      </c>
      <c r="F148" s="393"/>
      <c r="G148" s="381"/>
      <c r="H148" s="381"/>
      <c r="I148" s="381"/>
      <c r="J148" s="381"/>
      <c r="K148" s="381"/>
      <c r="L148" s="381"/>
      <c r="M148" s="381"/>
      <c r="N148" s="381"/>
      <c r="O148" s="381"/>
      <c r="P148" s="381"/>
      <c r="Q148" s="381"/>
      <c r="R148" s="381"/>
      <c r="S148" s="381"/>
    </row>
    <row r="149" spans="1:19" ht="12.75" customHeight="1">
      <c r="A149" s="381"/>
      <c r="B149" s="389">
        <v>42515</v>
      </c>
      <c r="C149" s="390">
        <v>708.35</v>
      </c>
      <c r="D149" s="393"/>
      <c r="E149" s="392">
        <f t="shared" si="0"/>
        <v>5.8932121556376504E-3</v>
      </c>
      <c r="F149" s="393"/>
      <c r="G149" s="381"/>
      <c r="H149" s="381"/>
      <c r="I149" s="381"/>
      <c r="J149" s="381"/>
      <c r="K149" s="381"/>
      <c r="L149" s="381"/>
      <c r="M149" s="381"/>
      <c r="N149" s="381"/>
      <c r="O149" s="381"/>
      <c r="P149" s="381"/>
      <c r="Q149" s="381"/>
      <c r="R149" s="381"/>
      <c r="S149" s="381"/>
    </row>
    <row r="150" spans="1:19" ht="12.75" customHeight="1">
      <c r="A150" s="381"/>
      <c r="B150" s="389">
        <v>42516</v>
      </c>
      <c r="C150" s="390">
        <v>714.91</v>
      </c>
      <c r="D150" s="393"/>
      <c r="E150" s="392">
        <f t="shared" si="0"/>
        <v>9.2609585656806548E-3</v>
      </c>
      <c r="F150" s="393"/>
      <c r="G150" s="381"/>
      <c r="H150" s="381"/>
      <c r="I150" s="381"/>
      <c r="J150" s="381"/>
      <c r="K150" s="381"/>
      <c r="L150" s="381"/>
      <c r="M150" s="381"/>
      <c r="N150" s="381"/>
      <c r="O150" s="381"/>
      <c r="P150" s="381"/>
      <c r="Q150" s="381"/>
      <c r="R150" s="381"/>
      <c r="S150" s="381"/>
    </row>
    <row r="151" spans="1:19" ht="12.75" customHeight="1">
      <c r="A151" s="381"/>
      <c r="B151" s="389">
        <v>42517</v>
      </c>
      <c r="C151" s="390">
        <v>712.24</v>
      </c>
      <c r="D151" s="393"/>
      <c r="E151" s="392">
        <f t="shared" si="0"/>
        <v>-3.7347358408750253E-3</v>
      </c>
      <c r="F151" s="393"/>
      <c r="G151" s="381"/>
      <c r="H151" s="381"/>
      <c r="I151" s="381"/>
      <c r="J151" s="381"/>
      <c r="K151" s="381"/>
      <c r="L151" s="381"/>
      <c r="M151" s="381"/>
      <c r="N151" s="381"/>
      <c r="O151" s="381"/>
      <c r="P151" s="381"/>
      <c r="Q151" s="381"/>
      <c r="R151" s="381"/>
      <c r="S151" s="381"/>
    </row>
    <row r="152" spans="1:19" ht="12.75" customHeight="1">
      <c r="A152" s="381"/>
      <c r="B152" s="389">
        <v>42521</v>
      </c>
      <c r="C152" s="390">
        <v>722.79</v>
      </c>
      <c r="D152" s="393"/>
      <c r="E152" s="392">
        <f t="shared" si="0"/>
        <v>1.481242277883843E-2</v>
      </c>
      <c r="F152" s="393"/>
      <c r="G152" s="381"/>
      <c r="H152" s="381"/>
      <c r="I152" s="381"/>
      <c r="J152" s="381"/>
      <c r="K152" s="381"/>
      <c r="L152" s="381"/>
      <c r="M152" s="381"/>
      <c r="N152" s="381"/>
      <c r="O152" s="381"/>
      <c r="P152" s="381"/>
      <c r="Q152" s="381"/>
      <c r="R152" s="381"/>
      <c r="S152" s="381"/>
    </row>
    <row r="153" spans="1:19" ht="12.75" customHeight="1">
      <c r="A153" s="381"/>
      <c r="B153" s="389">
        <v>42522</v>
      </c>
      <c r="C153" s="390">
        <v>719.44</v>
      </c>
      <c r="D153" s="393"/>
      <c r="E153" s="392">
        <f t="shared" si="0"/>
        <v>-4.6348178585756683E-3</v>
      </c>
      <c r="F153" s="393"/>
      <c r="G153" s="381"/>
      <c r="H153" s="381"/>
      <c r="I153" s="381"/>
      <c r="J153" s="381"/>
      <c r="K153" s="381"/>
      <c r="L153" s="381"/>
      <c r="M153" s="381"/>
      <c r="N153" s="381"/>
      <c r="O153" s="381"/>
      <c r="P153" s="381"/>
      <c r="Q153" s="381"/>
      <c r="R153" s="381"/>
      <c r="S153" s="381"/>
    </row>
    <row r="154" spans="1:19" ht="12.75" customHeight="1">
      <c r="A154" s="381"/>
      <c r="B154" s="389">
        <v>42523</v>
      </c>
      <c r="C154" s="390">
        <v>728.24</v>
      </c>
      <c r="D154" s="393"/>
      <c r="E154" s="392">
        <f t="shared" si="0"/>
        <v>1.223173579450676E-2</v>
      </c>
      <c r="F154" s="393"/>
      <c r="G154" s="381"/>
      <c r="H154" s="381"/>
      <c r="I154" s="381"/>
      <c r="J154" s="381"/>
      <c r="K154" s="381"/>
      <c r="L154" s="381"/>
      <c r="M154" s="381"/>
      <c r="N154" s="381"/>
      <c r="O154" s="381"/>
      <c r="P154" s="381"/>
      <c r="Q154" s="381"/>
      <c r="R154" s="381"/>
      <c r="S154" s="381"/>
    </row>
    <row r="155" spans="1:19" ht="12.75" customHeight="1">
      <c r="A155" s="381"/>
      <c r="B155" s="389">
        <v>42524</v>
      </c>
      <c r="C155" s="390">
        <v>725.54</v>
      </c>
      <c r="D155" s="393"/>
      <c r="E155" s="392">
        <f t="shared" si="0"/>
        <v>-3.7075689333186945E-3</v>
      </c>
      <c r="F155" s="393"/>
      <c r="G155" s="381"/>
      <c r="H155" s="381"/>
      <c r="I155" s="381"/>
      <c r="J155" s="381"/>
      <c r="K155" s="381"/>
      <c r="L155" s="381"/>
      <c r="M155" s="381"/>
      <c r="N155" s="381"/>
      <c r="O155" s="381"/>
      <c r="P155" s="381"/>
      <c r="Q155" s="381"/>
      <c r="R155" s="381"/>
      <c r="S155" s="381"/>
    </row>
    <row r="156" spans="1:19" ht="12.75" customHeight="1">
      <c r="A156" s="381"/>
      <c r="B156" s="389">
        <v>42527</v>
      </c>
      <c r="C156" s="390">
        <v>726.73</v>
      </c>
      <c r="D156" s="393"/>
      <c r="E156" s="392">
        <f t="shared" si="0"/>
        <v>1.6401576756623903E-3</v>
      </c>
      <c r="F156" s="393"/>
      <c r="G156" s="381"/>
      <c r="H156" s="381"/>
      <c r="I156" s="381"/>
      <c r="J156" s="381"/>
      <c r="K156" s="381"/>
      <c r="L156" s="381"/>
      <c r="M156" s="381"/>
      <c r="N156" s="381"/>
      <c r="O156" s="381"/>
      <c r="P156" s="381"/>
      <c r="Q156" s="381"/>
      <c r="R156" s="381"/>
      <c r="S156" s="381"/>
    </row>
    <row r="157" spans="1:19" ht="12.75" customHeight="1">
      <c r="A157" s="381"/>
      <c r="B157" s="389">
        <v>42528</v>
      </c>
      <c r="C157" s="390">
        <v>723.74</v>
      </c>
      <c r="D157" s="393"/>
      <c r="E157" s="392">
        <f t="shared" si="0"/>
        <v>-4.1143203115324711E-3</v>
      </c>
      <c r="F157" s="393"/>
      <c r="G157" s="381"/>
      <c r="H157" s="381"/>
      <c r="I157" s="381"/>
      <c r="J157" s="381"/>
      <c r="K157" s="381"/>
      <c r="L157" s="381"/>
      <c r="M157" s="381"/>
      <c r="N157" s="381"/>
      <c r="O157" s="381"/>
      <c r="P157" s="381"/>
      <c r="Q157" s="381"/>
      <c r="R157" s="381"/>
      <c r="S157" s="381"/>
    </row>
    <row r="158" spans="1:19" ht="12.75" customHeight="1">
      <c r="A158" s="381"/>
      <c r="B158" s="389">
        <v>42529</v>
      </c>
      <c r="C158" s="390">
        <v>726.64</v>
      </c>
      <c r="D158" s="393"/>
      <c r="E158" s="392">
        <f t="shared" si="0"/>
        <v>4.0069638267885566E-3</v>
      </c>
      <c r="F158" s="393"/>
      <c r="G158" s="381"/>
      <c r="H158" s="381"/>
      <c r="I158" s="381"/>
      <c r="J158" s="381"/>
      <c r="K158" s="381"/>
      <c r="L158" s="381"/>
      <c r="M158" s="381"/>
      <c r="N158" s="381"/>
      <c r="O158" s="381"/>
      <c r="P158" s="381"/>
      <c r="Q158" s="381"/>
      <c r="R158" s="381"/>
      <c r="S158" s="381"/>
    </row>
    <row r="159" spans="1:19" ht="12.75" customHeight="1">
      <c r="A159" s="381"/>
      <c r="B159" s="389">
        <v>42530</v>
      </c>
      <c r="C159" s="390">
        <v>727.65</v>
      </c>
      <c r="D159" s="393"/>
      <c r="E159" s="392">
        <f t="shared" si="0"/>
        <v>1.3899592645600922E-3</v>
      </c>
      <c r="F159" s="393"/>
      <c r="G159" s="381"/>
      <c r="H159" s="381"/>
      <c r="I159" s="381"/>
      <c r="J159" s="381"/>
      <c r="K159" s="381"/>
      <c r="L159" s="381"/>
      <c r="M159" s="381"/>
      <c r="N159" s="381"/>
      <c r="O159" s="381"/>
      <c r="P159" s="381"/>
      <c r="Q159" s="381"/>
      <c r="R159" s="381"/>
      <c r="S159" s="381"/>
    </row>
    <row r="160" spans="1:19" ht="12.75" customHeight="1">
      <c r="A160" s="381"/>
      <c r="B160" s="389">
        <v>42531</v>
      </c>
      <c r="C160" s="390">
        <v>717.91</v>
      </c>
      <c r="D160" s="393"/>
      <c r="E160" s="392">
        <f t="shared" si="0"/>
        <v>-1.3385556242699104E-2</v>
      </c>
      <c r="F160" s="393"/>
      <c r="G160" s="381"/>
      <c r="H160" s="381"/>
      <c r="I160" s="381"/>
      <c r="J160" s="381"/>
      <c r="K160" s="381"/>
      <c r="L160" s="381"/>
      <c r="M160" s="381"/>
      <c r="N160" s="381"/>
      <c r="O160" s="381"/>
      <c r="P160" s="381"/>
      <c r="Q160" s="381"/>
      <c r="R160" s="381"/>
      <c r="S160" s="381"/>
    </row>
    <row r="161" spans="1:19" ht="12.75" customHeight="1">
      <c r="A161" s="381"/>
      <c r="B161" s="389">
        <v>42534</v>
      </c>
      <c r="C161" s="390">
        <v>715.24</v>
      </c>
      <c r="D161" s="393"/>
      <c r="E161" s="392">
        <f t="shared" si="0"/>
        <v>-3.7191291387499437E-3</v>
      </c>
      <c r="F161" s="393"/>
      <c r="G161" s="381"/>
      <c r="H161" s="381"/>
      <c r="I161" s="381"/>
      <c r="J161" s="381"/>
      <c r="K161" s="381"/>
      <c r="L161" s="381"/>
      <c r="M161" s="381"/>
      <c r="N161" s="381"/>
      <c r="O161" s="381"/>
      <c r="P161" s="381"/>
      <c r="Q161" s="381"/>
      <c r="R161" s="381"/>
      <c r="S161" s="381"/>
    </row>
    <row r="162" spans="1:19" ht="12.75" customHeight="1">
      <c r="A162" s="381"/>
      <c r="B162" s="389">
        <v>42535</v>
      </c>
      <c r="C162" s="390">
        <v>719.3</v>
      </c>
      <c r="D162" s="393"/>
      <c r="E162" s="392">
        <f t="shared" si="0"/>
        <v>5.6764163078126817E-3</v>
      </c>
      <c r="F162" s="393"/>
      <c r="G162" s="381"/>
      <c r="H162" s="381"/>
      <c r="I162" s="381"/>
      <c r="J162" s="381"/>
      <c r="K162" s="381"/>
      <c r="L162" s="381"/>
      <c r="M162" s="381"/>
      <c r="N162" s="381"/>
      <c r="O162" s="381"/>
      <c r="P162" s="381"/>
      <c r="Q162" s="381"/>
      <c r="R162" s="381"/>
      <c r="S162" s="381"/>
    </row>
    <row r="163" spans="1:19" ht="12.75" customHeight="1">
      <c r="A163" s="381"/>
      <c r="B163" s="389">
        <v>42536</v>
      </c>
      <c r="C163" s="390">
        <v>714.26</v>
      </c>
      <c r="D163" s="393"/>
      <c r="E163" s="392">
        <f t="shared" si="0"/>
        <v>-7.0068121785068493E-3</v>
      </c>
      <c r="F163" s="393"/>
      <c r="G163" s="381"/>
      <c r="H163" s="381"/>
      <c r="I163" s="381"/>
      <c r="J163" s="381"/>
      <c r="K163" s="381"/>
      <c r="L163" s="381"/>
      <c r="M163" s="381"/>
      <c r="N163" s="381"/>
      <c r="O163" s="381"/>
      <c r="P163" s="381"/>
      <c r="Q163" s="381"/>
      <c r="R163" s="381"/>
      <c r="S163" s="381"/>
    </row>
    <row r="164" spans="1:19" ht="12.75" customHeight="1">
      <c r="A164" s="381"/>
      <c r="B164" s="389">
        <v>42537</v>
      </c>
      <c r="C164" s="390">
        <v>717.51</v>
      </c>
      <c r="D164" s="393"/>
      <c r="E164" s="392">
        <f t="shared" si="0"/>
        <v>4.5501638058971228E-3</v>
      </c>
      <c r="F164" s="393"/>
      <c r="G164" s="381"/>
      <c r="H164" s="381"/>
      <c r="I164" s="381"/>
      <c r="J164" s="381"/>
      <c r="K164" s="381"/>
      <c r="L164" s="381"/>
      <c r="M164" s="381"/>
      <c r="N164" s="381"/>
      <c r="O164" s="381"/>
      <c r="P164" s="381"/>
      <c r="Q164" s="381"/>
      <c r="R164" s="381"/>
      <c r="S164" s="381"/>
    </row>
    <row r="165" spans="1:19" ht="12.75" customHeight="1">
      <c r="A165" s="381"/>
      <c r="B165" s="389">
        <v>42538</v>
      </c>
      <c r="C165" s="390">
        <v>706.39</v>
      </c>
      <c r="D165" s="393"/>
      <c r="E165" s="392">
        <f t="shared" si="0"/>
        <v>-1.5498041839138166E-2</v>
      </c>
      <c r="F165" s="393"/>
      <c r="G165" s="381"/>
      <c r="H165" s="381"/>
      <c r="I165" s="381"/>
      <c r="J165" s="381"/>
      <c r="K165" s="381"/>
      <c r="L165" s="381"/>
      <c r="M165" s="381"/>
      <c r="N165" s="381"/>
      <c r="O165" s="381"/>
      <c r="P165" s="381"/>
      <c r="Q165" s="381"/>
      <c r="R165" s="381"/>
      <c r="S165" s="381"/>
    </row>
    <row r="166" spans="1:19" ht="12.75" customHeight="1">
      <c r="A166" s="381"/>
      <c r="B166" s="389">
        <v>42541</v>
      </c>
      <c r="C166" s="390">
        <v>714.01</v>
      </c>
      <c r="D166" s="393"/>
      <c r="E166" s="392">
        <f t="shared" si="0"/>
        <v>1.0787242175002376E-2</v>
      </c>
      <c r="F166" s="393"/>
      <c r="G166" s="381"/>
      <c r="H166" s="381"/>
      <c r="I166" s="381"/>
      <c r="J166" s="381"/>
      <c r="K166" s="381"/>
      <c r="L166" s="381"/>
      <c r="M166" s="381"/>
      <c r="N166" s="381"/>
      <c r="O166" s="381"/>
      <c r="P166" s="381"/>
      <c r="Q166" s="381"/>
      <c r="R166" s="381"/>
      <c r="S166" s="381"/>
    </row>
    <row r="167" spans="1:19" ht="12.75" customHeight="1">
      <c r="A167" s="381"/>
      <c r="B167" s="389">
        <v>42542</v>
      </c>
      <c r="C167" s="390">
        <v>715.82</v>
      </c>
      <c r="D167" s="393"/>
      <c r="E167" s="392">
        <f t="shared" si="0"/>
        <v>2.5349785017017012E-3</v>
      </c>
      <c r="F167" s="393"/>
      <c r="G167" s="381"/>
      <c r="H167" s="381"/>
      <c r="I167" s="381"/>
      <c r="J167" s="381"/>
      <c r="K167" s="381"/>
      <c r="L167" s="381"/>
      <c r="M167" s="381"/>
      <c r="N167" s="381"/>
      <c r="O167" s="381"/>
      <c r="P167" s="381"/>
      <c r="Q167" s="381"/>
      <c r="R167" s="381"/>
      <c r="S167" s="381"/>
    </row>
    <row r="168" spans="1:19" ht="12.75" customHeight="1">
      <c r="A168" s="381"/>
      <c r="B168" s="389">
        <v>42543</v>
      </c>
      <c r="C168" s="390">
        <v>710.6</v>
      </c>
      <c r="D168" s="393"/>
      <c r="E168" s="392">
        <f t="shared" si="0"/>
        <v>-7.2923360621385269E-3</v>
      </c>
      <c r="F168" s="393"/>
      <c r="G168" s="381"/>
      <c r="H168" s="381"/>
      <c r="I168" s="381"/>
      <c r="J168" s="381"/>
      <c r="K168" s="381"/>
      <c r="L168" s="381"/>
      <c r="M168" s="381"/>
      <c r="N168" s="381"/>
      <c r="O168" s="381"/>
      <c r="P168" s="381"/>
      <c r="Q168" s="381"/>
      <c r="R168" s="381"/>
      <c r="S168" s="381"/>
    </row>
    <row r="169" spans="1:19" ht="12.75" customHeight="1">
      <c r="A169" s="381"/>
      <c r="B169" s="389">
        <v>42544</v>
      </c>
      <c r="C169" s="390">
        <v>722.08</v>
      </c>
      <c r="D169" s="393"/>
      <c r="E169" s="392">
        <f t="shared" si="0"/>
        <v>1.6155361666197576E-2</v>
      </c>
      <c r="F169" s="393"/>
      <c r="G169" s="381"/>
      <c r="H169" s="381"/>
      <c r="I169" s="381"/>
      <c r="J169" s="381"/>
      <c r="K169" s="381"/>
      <c r="L169" s="381"/>
      <c r="M169" s="381"/>
      <c r="N169" s="381"/>
      <c r="O169" s="381"/>
      <c r="P169" s="381"/>
      <c r="Q169" s="381"/>
      <c r="R169" s="381"/>
      <c r="S169" s="381"/>
    </row>
    <row r="170" spans="1:19" ht="12.75" customHeight="1">
      <c r="A170" s="381"/>
      <c r="B170" s="389">
        <v>42545</v>
      </c>
      <c r="C170" s="390">
        <v>698.96</v>
      </c>
      <c r="D170" s="393"/>
      <c r="E170" s="392">
        <f t="shared" si="0"/>
        <v>-3.2018612896077991E-2</v>
      </c>
      <c r="F170" s="393"/>
      <c r="G170" s="381"/>
      <c r="H170" s="381"/>
      <c r="I170" s="381"/>
      <c r="J170" s="381"/>
      <c r="K170" s="381"/>
      <c r="L170" s="381"/>
      <c r="M170" s="381"/>
      <c r="N170" s="381"/>
      <c r="O170" s="381"/>
      <c r="P170" s="381"/>
      <c r="Q170" s="381"/>
      <c r="R170" s="381"/>
      <c r="S170" s="381"/>
    </row>
    <row r="171" spans="1:19" ht="12.75" customHeight="1">
      <c r="A171" s="381"/>
      <c r="B171" s="389">
        <v>42548</v>
      </c>
      <c r="C171" s="390">
        <v>691.36</v>
      </c>
      <c r="D171" s="393"/>
      <c r="E171" s="392">
        <f t="shared" si="0"/>
        <v>-1.0873297470527676E-2</v>
      </c>
      <c r="F171" s="393"/>
      <c r="G171" s="381"/>
      <c r="H171" s="381"/>
      <c r="I171" s="381"/>
      <c r="J171" s="381"/>
      <c r="K171" s="381"/>
      <c r="L171" s="381"/>
      <c r="M171" s="381"/>
      <c r="N171" s="381"/>
      <c r="O171" s="381"/>
      <c r="P171" s="381"/>
      <c r="Q171" s="381"/>
      <c r="R171" s="381"/>
      <c r="S171" s="381"/>
    </row>
    <row r="172" spans="1:19" ht="12.75" customHeight="1">
      <c r="A172" s="381"/>
      <c r="B172" s="389">
        <v>42549</v>
      </c>
      <c r="C172" s="390">
        <v>707.95</v>
      </c>
      <c r="D172" s="393"/>
      <c r="E172" s="392">
        <f t="shared" si="0"/>
        <v>2.3996181439481568E-2</v>
      </c>
      <c r="F172" s="393"/>
      <c r="G172" s="381"/>
      <c r="H172" s="381"/>
      <c r="I172" s="381"/>
      <c r="J172" s="381"/>
      <c r="K172" s="381"/>
      <c r="L172" s="381"/>
      <c r="M172" s="381"/>
      <c r="N172" s="381"/>
      <c r="O172" s="381"/>
      <c r="P172" s="381"/>
      <c r="Q172" s="381"/>
      <c r="R172" s="381"/>
      <c r="S172" s="381"/>
    </row>
    <row r="173" spans="1:19" ht="12.75" customHeight="1">
      <c r="A173" s="381"/>
      <c r="B173" s="389">
        <v>42550</v>
      </c>
      <c r="C173" s="390">
        <v>715.6</v>
      </c>
      <c r="D173" s="393"/>
      <c r="E173" s="392">
        <f t="shared" si="0"/>
        <v>1.080584787061234E-2</v>
      </c>
      <c r="F173" s="393"/>
      <c r="G173" s="381"/>
      <c r="H173" s="381"/>
      <c r="I173" s="381"/>
      <c r="J173" s="381"/>
      <c r="K173" s="381"/>
      <c r="L173" s="381"/>
      <c r="M173" s="381"/>
      <c r="N173" s="381"/>
      <c r="O173" s="381"/>
      <c r="P173" s="381"/>
      <c r="Q173" s="381"/>
      <c r="R173" s="381"/>
      <c r="S173" s="381"/>
    </row>
    <row r="174" spans="1:19" ht="12.75" customHeight="1">
      <c r="A174" s="381"/>
      <c r="B174" s="389">
        <v>42551</v>
      </c>
      <c r="C174" s="390">
        <v>715.62</v>
      </c>
      <c r="D174" s="393"/>
      <c r="E174" s="392">
        <f t="shared" si="0"/>
        <v>2.794857462262712E-5</v>
      </c>
      <c r="F174" s="393"/>
      <c r="G174" s="381"/>
      <c r="H174" s="381"/>
      <c r="I174" s="381"/>
      <c r="J174" s="381"/>
      <c r="K174" s="381"/>
      <c r="L174" s="381"/>
      <c r="M174" s="381"/>
      <c r="N174" s="381"/>
      <c r="O174" s="381"/>
      <c r="P174" s="381"/>
      <c r="Q174" s="381"/>
      <c r="R174" s="381"/>
      <c r="S174" s="381"/>
    </row>
    <row r="175" spans="1:19" ht="12.75" customHeight="1">
      <c r="A175" s="381"/>
      <c r="B175" s="389">
        <v>42552</v>
      </c>
      <c r="C175" s="390">
        <v>725.68</v>
      </c>
      <c r="D175" s="393"/>
      <c r="E175" s="392">
        <f t="shared" si="0"/>
        <v>1.4057740141415698E-2</v>
      </c>
      <c r="F175" s="393"/>
      <c r="G175" s="381"/>
      <c r="H175" s="381"/>
      <c r="I175" s="381"/>
      <c r="J175" s="381"/>
      <c r="K175" s="381"/>
      <c r="L175" s="381"/>
      <c r="M175" s="381"/>
      <c r="N175" s="381"/>
      <c r="O175" s="381"/>
      <c r="P175" s="381"/>
      <c r="Q175" s="381"/>
      <c r="R175" s="381"/>
      <c r="S175" s="381"/>
    </row>
    <row r="176" spans="1:19" ht="12.75" customHeight="1">
      <c r="A176" s="381"/>
      <c r="B176" s="389">
        <v>42556</v>
      </c>
      <c r="C176" s="390">
        <v>728.1</v>
      </c>
      <c r="D176" s="393"/>
      <c r="E176" s="392">
        <f t="shared" si="0"/>
        <v>3.3348032190498866E-3</v>
      </c>
      <c r="F176" s="393"/>
      <c r="G176" s="381"/>
      <c r="H176" s="381"/>
      <c r="I176" s="381"/>
      <c r="J176" s="381"/>
      <c r="K176" s="381"/>
      <c r="L176" s="381"/>
      <c r="M176" s="381"/>
      <c r="N176" s="381"/>
      <c r="O176" s="381"/>
      <c r="P176" s="381"/>
      <c r="Q176" s="381"/>
      <c r="R176" s="381"/>
      <c r="S176" s="381"/>
    </row>
    <row r="177" spans="1:19" ht="12.75" customHeight="1">
      <c r="A177" s="381"/>
      <c r="B177" s="389">
        <v>42557</v>
      </c>
      <c r="C177" s="390">
        <v>737.61</v>
      </c>
      <c r="D177" s="393"/>
      <c r="E177" s="392">
        <f t="shared" si="0"/>
        <v>1.3061392665842497E-2</v>
      </c>
      <c r="F177" s="393"/>
      <c r="G177" s="381"/>
      <c r="H177" s="381"/>
      <c r="I177" s="381"/>
      <c r="J177" s="381"/>
      <c r="K177" s="381"/>
      <c r="L177" s="381"/>
      <c r="M177" s="381"/>
      <c r="N177" s="381"/>
      <c r="O177" s="381"/>
      <c r="P177" s="381"/>
      <c r="Q177" s="381"/>
      <c r="R177" s="381"/>
      <c r="S177" s="381"/>
    </row>
    <row r="178" spans="1:19" ht="12.75" customHeight="1">
      <c r="A178" s="381"/>
      <c r="B178" s="389">
        <v>42558</v>
      </c>
      <c r="C178" s="390">
        <v>736.57</v>
      </c>
      <c r="D178" s="393"/>
      <c r="E178" s="392">
        <f t="shared" si="0"/>
        <v>-1.4099591925271771E-3</v>
      </c>
      <c r="F178" s="393"/>
      <c r="G178" s="381"/>
      <c r="H178" s="381"/>
      <c r="I178" s="381"/>
      <c r="J178" s="381"/>
      <c r="K178" s="381"/>
      <c r="L178" s="381"/>
      <c r="M178" s="381"/>
      <c r="N178" s="381"/>
      <c r="O178" s="381"/>
      <c r="P178" s="381"/>
      <c r="Q178" s="381"/>
      <c r="R178" s="381"/>
      <c r="S178" s="381"/>
    </row>
    <row r="179" spans="1:19" ht="12.75" customHeight="1">
      <c r="A179" s="381"/>
      <c r="B179" s="389">
        <v>42559</v>
      </c>
      <c r="C179" s="390">
        <v>745.81</v>
      </c>
      <c r="D179" s="393"/>
      <c r="E179" s="392">
        <f t="shared" si="0"/>
        <v>1.2544632553592949E-2</v>
      </c>
      <c r="F179" s="393"/>
      <c r="G179" s="381"/>
      <c r="H179" s="381"/>
      <c r="I179" s="381"/>
      <c r="J179" s="381"/>
      <c r="K179" s="381"/>
      <c r="L179" s="381"/>
      <c r="M179" s="381"/>
      <c r="N179" s="381"/>
      <c r="O179" s="381"/>
      <c r="P179" s="381"/>
      <c r="Q179" s="381"/>
      <c r="R179" s="381"/>
      <c r="S179" s="381"/>
    </row>
    <row r="180" spans="1:19" ht="12.75" customHeight="1">
      <c r="A180" s="381"/>
      <c r="B180" s="389">
        <v>42562</v>
      </c>
      <c r="C180" s="390">
        <v>753.78</v>
      </c>
      <c r="D180" s="393"/>
      <c r="E180" s="392">
        <f t="shared" si="0"/>
        <v>1.0686367841675537E-2</v>
      </c>
      <c r="F180" s="393"/>
      <c r="G180" s="381"/>
      <c r="H180" s="381"/>
      <c r="I180" s="381"/>
      <c r="J180" s="381"/>
      <c r="K180" s="381"/>
      <c r="L180" s="381"/>
      <c r="M180" s="381"/>
      <c r="N180" s="381"/>
      <c r="O180" s="381"/>
      <c r="P180" s="381"/>
      <c r="Q180" s="381"/>
      <c r="R180" s="381"/>
      <c r="S180" s="381"/>
    </row>
    <row r="181" spans="1:19" ht="12.75" customHeight="1">
      <c r="A181" s="381"/>
      <c r="B181" s="389">
        <v>42563</v>
      </c>
      <c r="C181" s="390">
        <v>748.21</v>
      </c>
      <c r="D181" s="393"/>
      <c r="E181" s="392">
        <f t="shared" si="0"/>
        <v>-7.3894239698585329E-3</v>
      </c>
      <c r="F181" s="393"/>
      <c r="G181" s="381"/>
      <c r="H181" s="381"/>
      <c r="I181" s="381"/>
      <c r="J181" s="381"/>
      <c r="K181" s="381"/>
      <c r="L181" s="381"/>
      <c r="M181" s="381"/>
      <c r="N181" s="381"/>
      <c r="O181" s="381"/>
      <c r="P181" s="381"/>
      <c r="Q181" s="381"/>
      <c r="R181" s="381"/>
      <c r="S181" s="381"/>
    </row>
    <row r="182" spans="1:19" ht="12.75" customHeight="1">
      <c r="A182" s="381"/>
      <c r="B182" s="389">
        <v>42564</v>
      </c>
      <c r="C182" s="390">
        <v>742.63</v>
      </c>
      <c r="D182" s="393"/>
      <c r="E182" s="392">
        <f t="shared" si="0"/>
        <v>-7.4577992809505833E-3</v>
      </c>
      <c r="F182" s="393"/>
      <c r="G182" s="381"/>
      <c r="H182" s="381"/>
      <c r="I182" s="381"/>
      <c r="J182" s="381"/>
      <c r="K182" s="381"/>
      <c r="L182" s="381"/>
      <c r="M182" s="381"/>
      <c r="N182" s="381"/>
      <c r="O182" s="381"/>
      <c r="P182" s="381"/>
      <c r="Q182" s="381"/>
      <c r="R182" s="381"/>
      <c r="S182" s="381"/>
    </row>
    <row r="183" spans="1:19" ht="12.75" customHeight="1">
      <c r="A183" s="381"/>
      <c r="B183" s="389">
        <v>42565</v>
      </c>
      <c r="C183" s="390">
        <v>741.2</v>
      </c>
      <c r="D183" s="393"/>
      <c r="E183" s="392">
        <f t="shared" si="0"/>
        <v>-1.9255887858017351E-3</v>
      </c>
      <c r="F183" s="393"/>
      <c r="G183" s="381"/>
      <c r="H183" s="381"/>
      <c r="I183" s="381"/>
      <c r="J183" s="381"/>
      <c r="K183" s="381"/>
      <c r="L183" s="381"/>
      <c r="M183" s="381"/>
      <c r="N183" s="381"/>
      <c r="O183" s="381"/>
      <c r="P183" s="381"/>
      <c r="Q183" s="381"/>
      <c r="R183" s="381"/>
      <c r="S183" s="381"/>
    </row>
    <row r="184" spans="1:19" ht="12.75" customHeight="1">
      <c r="A184" s="381"/>
      <c r="B184" s="389">
        <v>42566</v>
      </c>
      <c r="C184" s="390">
        <v>735.44</v>
      </c>
      <c r="D184" s="393"/>
      <c r="E184" s="392">
        <f t="shared" si="0"/>
        <v>-7.7711818672423494E-3</v>
      </c>
      <c r="F184" s="393"/>
      <c r="G184" s="381"/>
      <c r="H184" s="381"/>
      <c r="I184" s="381"/>
      <c r="J184" s="381"/>
      <c r="K184" s="381"/>
      <c r="L184" s="381"/>
      <c r="M184" s="381"/>
      <c r="N184" s="381"/>
      <c r="O184" s="381"/>
      <c r="P184" s="381"/>
      <c r="Q184" s="381"/>
      <c r="R184" s="381"/>
      <c r="S184" s="381"/>
    </row>
    <row r="185" spans="1:19" ht="12.75" customHeight="1">
      <c r="A185" s="381"/>
      <c r="B185" s="389">
        <v>42569</v>
      </c>
      <c r="C185" s="390">
        <v>736.07</v>
      </c>
      <c r="D185" s="393"/>
      <c r="E185" s="392">
        <f t="shared" si="0"/>
        <v>8.5663004459912706E-4</v>
      </c>
      <c r="F185" s="393"/>
      <c r="G185" s="381"/>
      <c r="H185" s="381"/>
      <c r="I185" s="381"/>
      <c r="J185" s="381"/>
      <c r="K185" s="381"/>
      <c r="L185" s="381"/>
      <c r="M185" s="381"/>
      <c r="N185" s="381"/>
      <c r="O185" s="381"/>
      <c r="P185" s="381"/>
      <c r="Q185" s="381"/>
      <c r="R185" s="381"/>
      <c r="S185" s="381"/>
    </row>
    <row r="186" spans="1:19" ht="12.75" customHeight="1">
      <c r="A186" s="381"/>
      <c r="B186" s="389">
        <v>42570</v>
      </c>
      <c r="C186" s="390">
        <v>739.95</v>
      </c>
      <c r="D186" s="393"/>
      <c r="E186" s="392">
        <f t="shared" si="0"/>
        <v>5.2712377898840312E-3</v>
      </c>
      <c r="F186" s="393"/>
      <c r="G186" s="381"/>
      <c r="H186" s="381"/>
      <c r="I186" s="381"/>
      <c r="J186" s="381"/>
      <c r="K186" s="381"/>
      <c r="L186" s="381"/>
      <c r="M186" s="381"/>
      <c r="N186" s="381"/>
      <c r="O186" s="381"/>
      <c r="P186" s="381"/>
      <c r="Q186" s="381"/>
      <c r="R186" s="381"/>
      <c r="S186" s="381"/>
    </row>
    <row r="187" spans="1:19" ht="12.75" customHeight="1">
      <c r="A187" s="381"/>
      <c r="B187" s="389">
        <v>42571</v>
      </c>
      <c r="C187" s="390">
        <v>745.72</v>
      </c>
      <c r="D187" s="393"/>
      <c r="E187" s="392">
        <f t="shared" si="0"/>
        <v>7.7978241773093426E-3</v>
      </c>
      <c r="F187" s="393"/>
      <c r="G187" s="381"/>
      <c r="H187" s="381"/>
      <c r="I187" s="381"/>
      <c r="J187" s="381"/>
      <c r="K187" s="381"/>
      <c r="L187" s="381"/>
      <c r="M187" s="381"/>
      <c r="N187" s="381"/>
      <c r="O187" s="381"/>
      <c r="P187" s="381"/>
      <c r="Q187" s="381"/>
      <c r="R187" s="381"/>
      <c r="S187" s="381"/>
    </row>
    <row r="188" spans="1:19" ht="12.75" customHeight="1">
      <c r="A188" s="381"/>
      <c r="B188" s="389">
        <v>42572</v>
      </c>
      <c r="C188" s="390">
        <v>744.43</v>
      </c>
      <c r="D188" s="393"/>
      <c r="E188" s="392">
        <f t="shared" si="0"/>
        <v>-1.7298718017487724E-3</v>
      </c>
      <c r="F188" s="393"/>
      <c r="G188" s="381"/>
      <c r="H188" s="381"/>
      <c r="I188" s="381"/>
      <c r="J188" s="381"/>
      <c r="K188" s="381"/>
      <c r="L188" s="381"/>
      <c r="M188" s="381"/>
      <c r="N188" s="381"/>
      <c r="O188" s="381"/>
      <c r="P188" s="381"/>
      <c r="Q188" s="381"/>
      <c r="R188" s="381"/>
      <c r="S188" s="381"/>
    </row>
    <row r="189" spans="1:19" ht="12.75" customHeight="1">
      <c r="A189" s="381"/>
      <c r="B189" s="389">
        <v>42573</v>
      </c>
      <c r="C189" s="390">
        <v>744.86</v>
      </c>
      <c r="D189" s="393"/>
      <c r="E189" s="392">
        <f t="shared" si="0"/>
        <v>5.7762314791198754E-4</v>
      </c>
      <c r="F189" s="393"/>
      <c r="G189" s="381"/>
      <c r="H189" s="381"/>
      <c r="I189" s="381"/>
      <c r="J189" s="381"/>
      <c r="K189" s="381"/>
      <c r="L189" s="381"/>
      <c r="M189" s="381"/>
      <c r="N189" s="381"/>
      <c r="O189" s="381"/>
      <c r="P189" s="381"/>
      <c r="Q189" s="381"/>
      <c r="R189" s="381"/>
      <c r="S189" s="381"/>
    </row>
    <row r="190" spans="1:19" ht="12.75" customHeight="1">
      <c r="A190" s="381"/>
      <c r="B190" s="389">
        <v>42576</v>
      </c>
      <c r="C190" s="390">
        <v>739.61</v>
      </c>
      <c r="D190" s="393"/>
      <c r="E190" s="392">
        <f t="shared" si="0"/>
        <v>-7.0483043793464484E-3</v>
      </c>
      <c r="F190" s="393"/>
      <c r="G190" s="381"/>
      <c r="H190" s="381"/>
      <c r="I190" s="381"/>
      <c r="J190" s="381"/>
      <c r="K190" s="381"/>
      <c r="L190" s="381"/>
      <c r="M190" s="381"/>
      <c r="N190" s="381"/>
      <c r="O190" s="381"/>
      <c r="P190" s="381"/>
      <c r="Q190" s="381"/>
      <c r="R190" s="381"/>
      <c r="S190" s="381"/>
    </row>
    <row r="191" spans="1:19" ht="12.75" customHeight="1">
      <c r="A191" s="381"/>
      <c r="B191" s="389">
        <v>42577</v>
      </c>
      <c r="C191" s="390">
        <v>735.59</v>
      </c>
      <c r="D191" s="393"/>
      <c r="E191" s="392">
        <f t="shared" si="0"/>
        <v>-5.4352969808412199E-3</v>
      </c>
      <c r="F191" s="393"/>
      <c r="G191" s="381"/>
      <c r="H191" s="381"/>
      <c r="I191" s="381"/>
      <c r="J191" s="381"/>
      <c r="K191" s="381"/>
      <c r="L191" s="381"/>
      <c r="M191" s="381"/>
      <c r="N191" s="381"/>
      <c r="O191" s="381"/>
      <c r="P191" s="381"/>
      <c r="Q191" s="381"/>
      <c r="R191" s="381"/>
      <c r="S191" s="381"/>
    </row>
    <row r="192" spans="1:19" ht="12.75" customHeight="1">
      <c r="A192" s="381"/>
      <c r="B192" s="389">
        <v>42578</v>
      </c>
      <c r="C192" s="390">
        <v>736.67</v>
      </c>
      <c r="D192" s="393"/>
      <c r="E192" s="392">
        <f t="shared" si="0"/>
        <v>1.4682091926208063E-3</v>
      </c>
      <c r="F192" s="393"/>
      <c r="G192" s="381"/>
      <c r="H192" s="381"/>
      <c r="I192" s="381"/>
      <c r="J192" s="381"/>
      <c r="K192" s="381"/>
      <c r="L192" s="381"/>
      <c r="M192" s="381"/>
      <c r="N192" s="381"/>
      <c r="O192" s="381"/>
      <c r="P192" s="381"/>
      <c r="Q192" s="381"/>
      <c r="R192" s="381"/>
      <c r="S192" s="381"/>
    </row>
    <row r="193" spans="1:19" ht="12.75" customHeight="1">
      <c r="A193" s="381"/>
      <c r="B193" s="389">
        <v>42579</v>
      </c>
      <c r="C193" s="390">
        <v>752.61</v>
      </c>
      <c r="D193" s="393"/>
      <c r="E193" s="392">
        <f t="shared" si="0"/>
        <v>2.1637911140673705E-2</v>
      </c>
      <c r="F193" s="393"/>
      <c r="G193" s="381"/>
      <c r="H193" s="381"/>
      <c r="I193" s="381"/>
      <c r="J193" s="381"/>
      <c r="K193" s="381"/>
      <c r="L193" s="381"/>
      <c r="M193" s="381"/>
      <c r="N193" s="381"/>
      <c r="O193" s="381"/>
      <c r="P193" s="381"/>
      <c r="Q193" s="381"/>
      <c r="R193" s="381"/>
      <c r="S193" s="381"/>
    </row>
    <row r="194" spans="1:19" ht="12.75" customHeight="1">
      <c r="A194" s="381"/>
      <c r="B194" s="389">
        <v>42580</v>
      </c>
      <c r="C194" s="390">
        <v>758.81</v>
      </c>
      <c r="D194" s="393"/>
      <c r="E194" s="392">
        <f t="shared" si="0"/>
        <v>8.2379984321228061E-3</v>
      </c>
      <c r="F194" s="393"/>
      <c r="G194" s="381"/>
      <c r="H194" s="381"/>
      <c r="I194" s="381"/>
      <c r="J194" s="381"/>
      <c r="K194" s="381"/>
      <c r="L194" s="381"/>
      <c r="M194" s="381"/>
      <c r="N194" s="381"/>
      <c r="O194" s="381"/>
      <c r="P194" s="381"/>
      <c r="Q194" s="381"/>
      <c r="R194" s="381"/>
      <c r="S194" s="381"/>
    </row>
    <row r="195" spans="1:19" ht="12.75" customHeight="1">
      <c r="A195" s="381"/>
      <c r="B195" s="389">
        <v>42583</v>
      </c>
      <c r="C195" s="390">
        <v>767.74</v>
      </c>
      <c r="D195" s="393"/>
      <c r="E195" s="392">
        <f t="shared" si="0"/>
        <v>1.1768426878928873E-2</v>
      </c>
      <c r="F195" s="393"/>
      <c r="G195" s="381"/>
      <c r="H195" s="381"/>
      <c r="I195" s="381"/>
      <c r="J195" s="381"/>
      <c r="K195" s="381"/>
      <c r="L195" s="381"/>
      <c r="M195" s="381"/>
      <c r="N195" s="381"/>
      <c r="O195" s="381"/>
      <c r="P195" s="381"/>
      <c r="Q195" s="381"/>
      <c r="R195" s="381"/>
      <c r="S195" s="381"/>
    </row>
    <row r="196" spans="1:19" ht="12.75" customHeight="1">
      <c r="A196" s="381"/>
      <c r="B196" s="389">
        <v>42584</v>
      </c>
      <c r="C196" s="390">
        <v>760.58</v>
      </c>
      <c r="D196" s="393"/>
      <c r="E196" s="392">
        <f t="shared" si="0"/>
        <v>-9.3260739312788221E-3</v>
      </c>
      <c r="F196" s="393"/>
      <c r="G196" s="381"/>
      <c r="H196" s="381"/>
      <c r="I196" s="381"/>
      <c r="J196" s="381"/>
      <c r="K196" s="381"/>
      <c r="L196" s="381"/>
      <c r="M196" s="381"/>
      <c r="N196" s="381"/>
      <c r="O196" s="381"/>
      <c r="P196" s="381"/>
      <c r="Q196" s="381"/>
      <c r="R196" s="381"/>
      <c r="S196" s="381"/>
    </row>
    <row r="197" spans="1:19" ht="12.75" customHeight="1">
      <c r="A197" s="381"/>
      <c r="B197" s="389">
        <v>42585</v>
      </c>
      <c r="C197" s="390">
        <v>754.64</v>
      </c>
      <c r="D197" s="393"/>
      <c r="E197" s="392">
        <f t="shared" si="0"/>
        <v>-7.8098293407663499E-3</v>
      </c>
      <c r="F197" s="393"/>
      <c r="G197" s="381"/>
      <c r="H197" s="381"/>
      <c r="I197" s="381"/>
      <c r="J197" s="381"/>
      <c r="K197" s="381"/>
      <c r="L197" s="381"/>
      <c r="M197" s="381"/>
      <c r="N197" s="381"/>
      <c r="O197" s="381"/>
      <c r="P197" s="381"/>
      <c r="Q197" s="381"/>
      <c r="R197" s="381"/>
      <c r="S197" s="381"/>
    </row>
    <row r="198" spans="1:19" ht="12.75" customHeight="1">
      <c r="A198" s="381"/>
      <c r="B198" s="389">
        <v>42586</v>
      </c>
      <c r="C198" s="390">
        <v>760.77</v>
      </c>
      <c r="D198" s="393"/>
      <c r="E198" s="392">
        <f t="shared" si="0"/>
        <v>8.1230785540125083E-3</v>
      </c>
      <c r="F198" s="393"/>
      <c r="G198" s="381"/>
      <c r="H198" s="381"/>
      <c r="I198" s="381"/>
      <c r="J198" s="381"/>
      <c r="K198" s="381"/>
      <c r="L198" s="381"/>
      <c r="M198" s="381"/>
      <c r="N198" s="381"/>
      <c r="O198" s="381"/>
      <c r="P198" s="381"/>
      <c r="Q198" s="381"/>
      <c r="R198" s="381"/>
      <c r="S198" s="381"/>
    </row>
    <row r="199" spans="1:19" ht="12.75" customHeight="1">
      <c r="A199" s="381"/>
      <c r="B199" s="389">
        <v>42587</v>
      </c>
      <c r="C199" s="390">
        <v>765.98</v>
      </c>
      <c r="D199" s="393"/>
      <c r="E199" s="392">
        <f t="shared" si="0"/>
        <v>6.8483247236352796E-3</v>
      </c>
      <c r="F199" s="393"/>
      <c r="G199" s="381"/>
      <c r="H199" s="381"/>
      <c r="I199" s="381"/>
      <c r="J199" s="381"/>
      <c r="K199" s="381"/>
      <c r="L199" s="381"/>
      <c r="M199" s="381"/>
      <c r="N199" s="381"/>
      <c r="O199" s="381"/>
      <c r="P199" s="381"/>
      <c r="Q199" s="381"/>
      <c r="R199" s="381"/>
      <c r="S199" s="381"/>
    </row>
    <row r="200" spans="1:19" ht="12.75" customHeight="1">
      <c r="A200" s="381"/>
      <c r="B200" s="389">
        <v>42590</v>
      </c>
      <c r="C200" s="390">
        <v>766.56</v>
      </c>
      <c r="D200" s="393"/>
      <c r="E200" s="392">
        <f t="shared" si="0"/>
        <v>7.5719992689093907E-4</v>
      </c>
      <c r="F200" s="393"/>
      <c r="G200" s="381"/>
      <c r="H200" s="381"/>
      <c r="I200" s="381"/>
      <c r="J200" s="381"/>
      <c r="K200" s="381"/>
      <c r="L200" s="381"/>
      <c r="M200" s="381"/>
      <c r="N200" s="381"/>
      <c r="O200" s="381"/>
      <c r="P200" s="381"/>
      <c r="Q200" s="381"/>
      <c r="R200" s="381"/>
      <c r="S200" s="381"/>
    </row>
    <row r="201" spans="1:19" ht="12.75" customHeight="1">
      <c r="A201" s="381"/>
      <c r="B201" s="389">
        <v>42591</v>
      </c>
      <c r="C201" s="390">
        <v>768.31</v>
      </c>
      <c r="D201" s="393"/>
      <c r="E201" s="392">
        <f t="shared" si="0"/>
        <v>2.2829263201837868E-3</v>
      </c>
      <c r="F201" s="393"/>
      <c r="G201" s="381"/>
      <c r="H201" s="381"/>
      <c r="I201" s="381"/>
      <c r="J201" s="381"/>
      <c r="K201" s="381"/>
      <c r="L201" s="381"/>
      <c r="M201" s="381"/>
      <c r="N201" s="381"/>
      <c r="O201" s="381"/>
      <c r="P201" s="381"/>
      <c r="Q201" s="381"/>
      <c r="R201" s="381"/>
      <c r="S201" s="381"/>
    </row>
    <row r="202" spans="1:19" ht="12.75" customHeight="1">
      <c r="A202" s="381"/>
      <c r="B202" s="389">
        <v>42592</v>
      </c>
      <c r="C202" s="390">
        <v>768.56</v>
      </c>
      <c r="D202" s="393"/>
      <c r="E202" s="392">
        <f t="shared" si="0"/>
        <v>3.2538949122096206E-4</v>
      </c>
      <c r="F202" s="393"/>
      <c r="G202" s="381"/>
      <c r="H202" s="381"/>
      <c r="I202" s="381"/>
      <c r="J202" s="381"/>
      <c r="K202" s="381"/>
      <c r="L202" s="381"/>
      <c r="M202" s="381"/>
      <c r="N202" s="381"/>
      <c r="O202" s="381"/>
      <c r="P202" s="381"/>
      <c r="Q202" s="381"/>
      <c r="R202" s="381"/>
      <c r="S202" s="381"/>
    </row>
    <row r="203" spans="1:19" ht="12.75" customHeight="1">
      <c r="A203" s="381"/>
      <c r="B203" s="389">
        <v>42593</v>
      </c>
      <c r="C203" s="390">
        <v>771.24</v>
      </c>
      <c r="D203" s="393"/>
      <c r="E203" s="392">
        <f t="shared" si="0"/>
        <v>3.4870406994900183E-3</v>
      </c>
      <c r="F203" s="393"/>
      <c r="G203" s="381"/>
      <c r="H203" s="381"/>
      <c r="I203" s="381"/>
      <c r="J203" s="381"/>
      <c r="K203" s="381"/>
      <c r="L203" s="381"/>
      <c r="M203" s="381"/>
      <c r="N203" s="381"/>
      <c r="O203" s="381"/>
      <c r="P203" s="381"/>
      <c r="Q203" s="381"/>
      <c r="R203" s="381"/>
      <c r="S203" s="381"/>
    </row>
    <row r="204" spans="1:19" ht="12.75" customHeight="1">
      <c r="A204" s="381"/>
      <c r="B204" s="389">
        <v>42594</v>
      </c>
      <c r="C204" s="390">
        <v>772.56</v>
      </c>
      <c r="D204" s="393"/>
      <c r="E204" s="392">
        <f t="shared" si="0"/>
        <v>1.7115294849852081E-3</v>
      </c>
      <c r="F204" s="393"/>
      <c r="G204" s="381"/>
      <c r="H204" s="381"/>
      <c r="I204" s="381"/>
      <c r="J204" s="381"/>
      <c r="K204" s="381"/>
      <c r="L204" s="381"/>
      <c r="M204" s="381"/>
      <c r="N204" s="381"/>
      <c r="O204" s="381"/>
      <c r="P204" s="381"/>
      <c r="Q204" s="381"/>
      <c r="R204" s="381"/>
      <c r="S204" s="381"/>
    </row>
    <row r="205" spans="1:19" ht="12.75" customHeight="1">
      <c r="A205" s="381"/>
      <c r="B205" s="389">
        <v>42597</v>
      </c>
      <c r="C205" s="390">
        <v>768.49</v>
      </c>
      <c r="D205" s="393"/>
      <c r="E205" s="392">
        <f t="shared" si="0"/>
        <v>-5.268199233716353E-3</v>
      </c>
      <c r="F205" s="393"/>
      <c r="G205" s="381"/>
      <c r="H205" s="381"/>
      <c r="I205" s="381"/>
      <c r="J205" s="381"/>
      <c r="K205" s="381"/>
      <c r="L205" s="381"/>
      <c r="M205" s="381"/>
      <c r="N205" s="381"/>
      <c r="O205" s="381"/>
      <c r="P205" s="381"/>
      <c r="Q205" s="381"/>
      <c r="R205" s="381"/>
      <c r="S205" s="381"/>
    </row>
    <row r="206" spans="1:19" ht="12.75" customHeight="1">
      <c r="A206" s="381"/>
      <c r="B206" s="389">
        <v>42598</v>
      </c>
      <c r="C206" s="390">
        <v>764.04</v>
      </c>
      <c r="D206" s="393"/>
      <c r="E206" s="392">
        <f t="shared" si="0"/>
        <v>-5.7905763250010178E-3</v>
      </c>
      <c r="F206" s="393"/>
      <c r="G206" s="381"/>
      <c r="H206" s="381"/>
      <c r="I206" s="381"/>
      <c r="J206" s="381"/>
      <c r="K206" s="381"/>
      <c r="L206" s="381"/>
      <c r="M206" s="381"/>
      <c r="N206" s="381"/>
      <c r="O206" s="381"/>
      <c r="P206" s="381"/>
      <c r="Q206" s="381"/>
      <c r="R206" s="381"/>
      <c r="S206" s="381"/>
    </row>
    <row r="207" spans="1:19" ht="12.75" customHeight="1">
      <c r="A207" s="381"/>
      <c r="B207" s="389">
        <v>42599</v>
      </c>
      <c r="C207" s="390">
        <v>764.63</v>
      </c>
      <c r="D207" s="393"/>
      <c r="E207" s="392">
        <f t="shared" si="0"/>
        <v>7.7221087901158114E-4</v>
      </c>
      <c r="F207" s="393"/>
      <c r="G207" s="381"/>
      <c r="H207" s="381"/>
      <c r="I207" s="381"/>
      <c r="J207" s="381"/>
      <c r="K207" s="381"/>
      <c r="L207" s="381"/>
      <c r="M207" s="381"/>
      <c r="N207" s="381"/>
      <c r="O207" s="381"/>
      <c r="P207" s="381"/>
      <c r="Q207" s="381"/>
      <c r="R207" s="381"/>
      <c r="S207" s="381"/>
    </row>
    <row r="208" spans="1:19" ht="12.75" customHeight="1">
      <c r="A208" s="381"/>
      <c r="B208" s="389">
        <v>42600</v>
      </c>
      <c r="C208" s="390">
        <v>764.46</v>
      </c>
      <c r="D208" s="393"/>
      <c r="E208" s="392">
        <f t="shared" si="0"/>
        <v>-2.2232975426017543E-4</v>
      </c>
      <c r="F208" s="393"/>
      <c r="G208" s="381"/>
      <c r="H208" s="381"/>
      <c r="I208" s="381"/>
      <c r="J208" s="381"/>
      <c r="K208" s="381"/>
      <c r="L208" s="381"/>
      <c r="M208" s="381"/>
      <c r="N208" s="381"/>
      <c r="O208" s="381"/>
      <c r="P208" s="381"/>
      <c r="Q208" s="381"/>
      <c r="R208" s="381"/>
      <c r="S208" s="381"/>
    </row>
    <row r="209" spans="1:19" ht="12.75" customHeight="1">
      <c r="A209" s="381"/>
      <c r="B209" s="389">
        <v>42601</v>
      </c>
      <c r="C209" s="390">
        <v>757.31</v>
      </c>
      <c r="D209" s="393"/>
      <c r="E209" s="392">
        <f t="shared" si="0"/>
        <v>-9.3530073515947221E-3</v>
      </c>
      <c r="F209" s="393"/>
      <c r="G209" s="381"/>
      <c r="H209" s="381"/>
      <c r="I209" s="381"/>
      <c r="J209" s="381"/>
      <c r="K209" s="381"/>
      <c r="L209" s="381"/>
      <c r="M209" s="381"/>
      <c r="N209" s="381"/>
      <c r="O209" s="381"/>
      <c r="P209" s="381"/>
      <c r="Q209" s="381"/>
      <c r="R209" s="381"/>
      <c r="S209" s="381"/>
    </row>
    <row r="210" spans="1:19" ht="12.75" customHeight="1">
      <c r="A210" s="381"/>
      <c r="B210" s="389">
        <v>42604</v>
      </c>
      <c r="C210" s="390">
        <v>759.48</v>
      </c>
      <c r="D210" s="393"/>
      <c r="E210" s="392">
        <f t="shared" si="0"/>
        <v>2.8654051841388029E-3</v>
      </c>
      <c r="F210" s="393"/>
      <c r="G210" s="381"/>
      <c r="H210" s="381"/>
      <c r="I210" s="381"/>
      <c r="J210" s="381"/>
      <c r="K210" s="381"/>
      <c r="L210" s="381"/>
      <c r="M210" s="381"/>
      <c r="N210" s="381"/>
      <c r="O210" s="381"/>
      <c r="P210" s="381"/>
      <c r="Q210" s="381"/>
      <c r="R210" s="381"/>
      <c r="S210" s="381"/>
    </row>
    <row r="211" spans="1:19" ht="12.75" customHeight="1">
      <c r="A211" s="381"/>
      <c r="B211" s="389">
        <v>42605</v>
      </c>
      <c r="C211" s="390">
        <v>762.45</v>
      </c>
      <c r="D211" s="393"/>
      <c r="E211" s="392">
        <f t="shared" si="0"/>
        <v>3.9105703902670985E-3</v>
      </c>
      <c r="F211" s="393"/>
      <c r="G211" s="381"/>
      <c r="H211" s="381"/>
      <c r="I211" s="381"/>
      <c r="J211" s="381"/>
      <c r="K211" s="381"/>
      <c r="L211" s="381"/>
      <c r="M211" s="381"/>
      <c r="N211" s="381"/>
      <c r="O211" s="381"/>
      <c r="P211" s="381"/>
      <c r="Q211" s="381"/>
      <c r="R211" s="381"/>
      <c r="S211" s="381"/>
    </row>
    <row r="212" spans="1:19" ht="12.75" customHeight="1">
      <c r="A212" s="381"/>
      <c r="B212" s="389">
        <v>42606</v>
      </c>
      <c r="C212" s="390">
        <v>757.25</v>
      </c>
      <c r="D212" s="393"/>
      <c r="E212" s="392">
        <f t="shared" si="0"/>
        <v>-6.8201193520887049E-3</v>
      </c>
      <c r="F212" s="393"/>
      <c r="G212" s="381"/>
      <c r="H212" s="381"/>
      <c r="I212" s="381"/>
      <c r="J212" s="381"/>
      <c r="K212" s="381"/>
      <c r="L212" s="381"/>
      <c r="M212" s="381"/>
      <c r="N212" s="381"/>
      <c r="O212" s="381"/>
      <c r="P212" s="381"/>
      <c r="Q212" s="381"/>
      <c r="R212" s="381"/>
      <c r="S212" s="381"/>
    </row>
    <row r="213" spans="1:19" ht="12.75" customHeight="1">
      <c r="A213" s="381"/>
      <c r="B213" s="389">
        <v>42607</v>
      </c>
      <c r="C213" s="390">
        <v>759.22</v>
      </c>
      <c r="D213" s="393"/>
      <c r="E213" s="392">
        <f t="shared" si="0"/>
        <v>2.601518653020829E-3</v>
      </c>
      <c r="F213" s="393"/>
      <c r="G213" s="381"/>
      <c r="H213" s="381"/>
      <c r="I213" s="381"/>
      <c r="J213" s="381"/>
      <c r="K213" s="381"/>
      <c r="L213" s="381"/>
      <c r="M213" s="381"/>
      <c r="N213" s="381"/>
      <c r="O213" s="381"/>
      <c r="P213" s="381"/>
      <c r="Q213" s="381"/>
      <c r="R213" s="381"/>
      <c r="S213" s="381"/>
    </row>
    <row r="214" spans="1:19" ht="12.75" customHeight="1">
      <c r="A214" s="381"/>
      <c r="B214" s="389">
        <v>42608</v>
      </c>
      <c r="C214" s="390">
        <v>769</v>
      </c>
      <c r="D214" s="393"/>
      <c r="E214" s="392">
        <f t="shared" si="0"/>
        <v>1.2881641684887146E-2</v>
      </c>
      <c r="F214" s="393"/>
      <c r="G214" s="381"/>
      <c r="H214" s="381"/>
      <c r="I214" s="381"/>
      <c r="J214" s="381"/>
      <c r="K214" s="381"/>
      <c r="L214" s="381"/>
      <c r="M214" s="381"/>
      <c r="N214" s="381"/>
      <c r="O214" s="381"/>
      <c r="P214" s="381"/>
      <c r="Q214" s="381"/>
      <c r="R214" s="381"/>
      <c r="S214" s="381"/>
    </row>
    <row r="215" spans="1:19" ht="12.75" customHeight="1">
      <c r="A215" s="381"/>
      <c r="B215" s="389">
        <v>42611</v>
      </c>
      <c r="C215" s="390">
        <v>771.29</v>
      </c>
      <c r="D215" s="393"/>
      <c r="E215" s="392">
        <f t="shared" si="0"/>
        <v>2.9778933680104647E-3</v>
      </c>
      <c r="F215" s="393"/>
      <c r="G215" s="381"/>
      <c r="H215" s="381"/>
      <c r="I215" s="381"/>
      <c r="J215" s="381"/>
      <c r="K215" s="381"/>
      <c r="L215" s="381"/>
      <c r="M215" s="381"/>
      <c r="N215" s="381"/>
      <c r="O215" s="381"/>
      <c r="P215" s="381"/>
      <c r="Q215" s="381"/>
      <c r="R215" s="381"/>
      <c r="S215" s="381"/>
    </row>
    <row r="216" spans="1:19" ht="12.75" customHeight="1">
      <c r="A216" s="381"/>
      <c r="B216" s="389">
        <v>42612</v>
      </c>
      <c r="C216" s="390">
        <v>767.58</v>
      </c>
      <c r="D216" s="393"/>
      <c r="E216" s="392">
        <f t="shared" si="0"/>
        <v>-4.8101232999260279E-3</v>
      </c>
      <c r="F216" s="393"/>
      <c r="G216" s="381"/>
      <c r="H216" s="381"/>
      <c r="I216" s="381"/>
      <c r="J216" s="381"/>
      <c r="K216" s="381"/>
      <c r="L216" s="381"/>
      <c r="M216" s="381"/>
      <c r="N216" s="381"/>
      <c r="O216" s="381"/>
      <c r="P216" s="381"/>
      <c r="Q216" s="381"/>
      <c r="R216" s="381"/>
      <c r="S216" s="381"/>
    </row>
    <row r="217" spans="1:19" ht="12.75" customHeight="1">
      <c r="A217" s="381"/>
      <c r="B217" s="389">
        <v>42613</v>
      </c>
      <c r="C217" s="390">
        <v>769.16</v>
      </c>
      <c r="D217" s="393"/>
      <c r="E217" s="392">
        <f t="shared" si="0"/>
        <v>2.0584173636624126E-3</v>
      </c>
      <c r="F217" s="393"/>
      <c r="G217" s="381"/>
      <c r="H217" s="381"/>
      <c r="I217" s="381"/>
      <c r="J217" s="381"/>
      <c r="K217" s="381"/>
      <c r="L217" s="381"/>
      <c r="M217" s="381"/>
      <c r="N217" s="381"/>
      <c r="O217" s="381"/>
      <c r="P217" s="381"/>
      <c r="Q217" s="381"/>
      <c r="R217" s="381"/>
      <c r="S217" s="381"/>
    </row>
    <row r="218" spans="1:19" ht="12.75" customHeight="1">
      <c r="A218" s="381"/>
      <c r="B218" s="389">
        <v>42614</v>
      </c>
      <c r="C218" s="390">
        <v>770.62</v>
      </c>
      <c r="D218" s="393"/>
      <c r="E218" s="392">
        <f t="shared" si="0"/>
        <v>1.8981746320660964E-3</v>
      </c>
      <c r="F218" s="393"/>
      <c r="G218" s="381"/>
      <c r="H218" s="381"/>
      <c r="I218" s="381"/>
      <c r="J218" s="381"/>
      <c r="K218" s="381"/>
      <c r="L218" s="381"/>
      <c r="M218" s="381"/>
      <c r="N218" s="381"/>
      <c r="O218" s="381"/>
      <c r="P218" s="381"/>
      <c r="Q218" s="381"/>
      <c r="R218" s="381"/>
      <c r="S218" s="381"/>
    </row>
    <row r="219" spans="1:19" ht="12.75" customHeight="1">
      <c r="A219" s="381"/>
      <c r="B219" s="389">
        <v>42615</v>
      </c>
      <c r="C219" s="390">
        <v>772.44</v>
      </c>
      <c r="D219" s="393"/>
      <c r="E219" s="392">
        <f t="shared" si="0"/>
        <v>2.3617347071189787E-3</v>
      </c>
      <c r="F219" s="393"/>
      <c r="G219" s="381"/>
      <c r="H219" s="381"/>
      <c r="I219" s="381"/>
      <c r="J219" s="381"/>
      <c r="K219" s="381"/>
      <c r="L219" s="381"/>
      <c r="M219" s="381"/>
      <c r="N219" s="381"/>
      <c r="O219" s="381"/>
      <c r="P219" s="381"/>
      <c r="Q219" s="381"/>
      <c r="R219" s="381"/>
      <c r="S219" s="381"/>
    </row>
    <row r="220" spans="1:19" ht="12.75" customHeight="1">
      <c r="A220" s="381"/>
      <c r="B220" s="389">
        <v>42619</v>
      </c>
      <c r="C220" s="390">
        <v>788.87</v>
      </c>
      <c r="D220" s="393"/>
      <c r="E220" s="392">
        <f t="shared" si="0"/>
        <v>2.1270260473305269E-2</v>
      </c>
      <c r="F220" s="393"/>
      <c r="G220" s="381"/>
      <c r="H220" s="381"/>
      <c r="I220" s="381"/>
      <c r="J220" s="381"/>
      <c r="K220" s="381"/>
      <c r="L220" s="381"/>
      <c r="M220" s="381"/>
      <c r="N220" s="381"/>
      <c r="O220" s="381"/>
      <c r="P220" s="381"/>
      <c r="Q220" s="381"/>
      <c r="R220" s="381"/>
      <c r="S220" s="381"/>
    </row>
    <row r="221" spans="1:19" ht="12.75" customHeight="1">
      <c r="A221" s="381"/>
      <c r="B221" s="389">
        <v>42620</v>
      </c>
      <c r="C221" s="390">
        <v>784.48</v>
      </c>
      <c r="D221" s="393"/>
      <c r="E221" s="392">
        <f t="shared" si="0"/>
        <v>-5.5649219770050884E-3</v>
      </c>
      <c r="F221" s="393"/>
      <c r="G221" s="381"/>
      <c r="H221" s="381"/>
      <c r="I221" s="381"/>
      <c r="J221" s="381"/>
      <c r="K221" s="381"/>
      <c r="L221" s="381"/>
      <c r="M221" s="381"/>
      <c r="N221" s="381"/>
      <c r="O221" s="381"/>
      <c r="P221" s="381"/>
      <c r="Q221" s="381"/>
      <c r="R221" s="381"/>
      <c r="S221" s="381"/>
    </row>
    <row r="222" spans="1:19" ht="12.75" customHeight="1">
      <c r="A222" s="381"/>
      <c r="B222" s="389">
        <v>42621</v>
      </c>
      <c r="C222" s="390">
        <v>784.06</v>
      </c>
      <c r="D222" s="393"/>
      <c r="E222" s="392">
        <f t="shared" si="0"/>
        <v>-5.3538649806250671E-4</v>
      </c>
      <c r="F222" s="393"/>
      <c r="G222" s="381"/>
      <c r="H222" s="381"/>
      <c r="I222" s="381"/>
      <c r="J222" s="381"/>
      <c r="K222" s="381"/>
      <c r="L222" s="381"/>
      <c r="M222" s="381"/>
      <c r="N222" s="381"/>
      <c r="O222" s="381"/>
      <c r="P222" s="381"/>
      <c r="Q222" s="381"/>
      <c r="R222" s="381"/>
      <c r="S222" s="381"/>
    </row>
    <row r="223" spans="1:19" ht="12.75" customHeight="1">
      <c r="A223" s="381"/>
      <c r="B223" s="389">
        <v>42622</v>
      </c>
      <c r="C223" s="390">
        <v>760.14</v>
      </c>
      <c r="D223" s="393"/>
      <c r="E223" s="392">
        <f t="shared" si="0"/>
        <v>-3.0507869295717138E-2</v>
      </c>
      <c r="F223" s="393"/>
      <c r="G223" s="381"/>
      <c r="H223" s="381"/>
      <c r="I223" s="381"/>
      <c r="J223" s="381"/>
      <c r="K223" s="381"/>
      <c r="L223" s="381"/>
      <c r="M223" s="381"/>
      <c r="N223" s="381"/>
      <c r="O223" s="381"/>
      <c r="P223" s="381"/>
      <c r="Q223" s="381"/>
      <c r="R223" s="381"/>
      <c r="S223" s="381"/>
    </row>
    <row r="224" spans="1:19" ht="12.75" customHeight="1">
      <c r="A224" s="381"/>
      <c r="B224" s="389">
        <v>42625</v>
      </c>
      <c r="C224" s="390">
        <v>771.49</v>
      </c>
      <c r="D224" s="393"/>
      <c r="E224" s="392">
        <f t="shared" si="0"/>
        <v>1.4931459994211638E-2</v>
      </c>
      <c r="F224" s="393"/>
      <c r="G224" s="381"/>
      <c r="H224" s="381"/>
      <c r="I224" s="381"/>
      <c r="J224" s="381"/>
      <c r="K224" s="381"/>
      <c r="L224" s="381"/>
      <c r="M224" s="381"/>
      <c r="N224" s="381"/>
      <c r="O224" s="381"/>
      <c r="P224" s="381"/>
      <c r="Q224" s="381"/>
      <c r="R224" s="381"/>
      <c r="S224" s="381"/>
    </row>
    <row r="225" spans="1:19" ht="12.75" customHeight="1">
      <c r="A225" s="381"/>
      <c r="B225" s="389">
        <v>42626</v>
      </c>
      <c r="C225" s="390">
        <v>761.01</v>
      </c>
      <c r="D225" s="393"/>
      <c r="E225" s="392">
        <f t="shared" si="0"/>
        <v>-1.358410348805561E-2</v>
      </c>
      <c r="F225" s="393"/>
      <c r="G225" s="381"/>
      <c r="H225" s="381"/>
      <c r="I225" s="381"/>
      <c r="J225" s="381"/>
      <c r="K225" s="381"/>
      <c r="L225" s="381"/>
      <c r="M225" s="381"/>
      <c r="N225" s="381"/>
      <c r="O225" s="381"/>
      <c r="P225" s="381"/>
      <c r="Q225" s="381"/>
      <c r="R225" s="381"/>
      <c r="S225" s="381"/>
    </row>
    <row r="226" spans="1:19" ht="12.75" customHeight="1">
      <c r="A226" s="381"/>
      <c r="B226" s="389">
        <v>42627</v>
      </c>
      <c r="C226" s="390">
        <v>761.09</v>
      </c>
      <c r="D226" s="393"/>
      <c r="E226" s="392">
        <f t="shared" si="0"/>
        <v>1.0512345435675918E-4</v>
      </c>
      <c r="F226" s="393"/>
      <c r="G226" s="381"/>
      <c r="H226" s="381"/>
      <c r="I226" s="381"/>
      <c r="J226" s="381"/>
      <c r="K226" s="381"/>
      <c r="L226" s="381"/>
      <c r="M226" s="381"/>
      <c r="N226" s="381"/>
      <c r="O226" s="381"/>
      <c r="P226" s="381"/>
      <c r="Q226" s="381"/>
      <c r="R226" s="381"/>
      <c r="S226" s="381"/>
    </row>
    <row r="227" spans="1:19" ht="12.75" customHeight="1">
      <c r="A227" s="381"/>
      <c r="B227" s="389">
        <v>42628</v>
      </c>
      <c r="C227" s="390">
        <v>769.69</v>
      </c>
      <c r="D227" s="393"/>
      <c r="E227" s="392">
        <f t="shared" si="0"/>
        <v>1.129958349209681E-2</v>
      </c>
      <c r="F227" s="393"/>
      <c r="G227" s="381"/>
      <c r="H227" s="381"/>
      <c r="I227" s="381"/>
      <c r="J227" s="381"/>
      <c r="K227" s="381"/>
      <c r="L227" s="381"/>
      <c r="M227" s="381"/>
      <c r="N227" s="381"/>
      <c r="O227" s="381"/>
      <c r="P227" s="381"/>
      <c r="Q227" s="381"/>
      <c r="R227" s="381"/>
      <c r="S227" s="381"/>
    </row>
    <row r="228" spans="1:19" ht="12.75" customHeight="1">
      <c r="A228" s="381"/>
      <c r="B228" s="389">
        <v>42629</v>
      </c>
      <c r="C228" s="390">
        <v>778.52</v>
      </c>
      <c r="D228" s="393"/>
      <c r="E228" s="392">
        <f t="shared" si="0"/>
        <v>1.1472151125777819E-2</v>
      </c>
      <c r="F228" s="393"/>
      <c r="G228" s="381"/>
      <c r="H228" s="381"/>
      <c r="I228" s="381"/>
      <c r="J228" s="381"/>
      <c r="K228" s="381"/>
      <c r="L228" s="381"/>
      <c r="M228" s="381"/>
      <c r="N228" s="381"/>
      <c r="O228" s="381"/>
      <c r="P228" s="381"/>
      <c r="Q228" s="381"/>
      <c r="R228" s="381"/>
      <c r="S228" s="381"/>
    </row>
    <row r="229" spans="1:19" ht="12.75" customHeight="1">
      <c r="A229" s="381"/>
      <c r="B229" s="389">
        <v>42632</v>
      </c>
      <c r="C229" s="390">
        <v>775.1</v>
      </c>
      <c r="D229" s="393"/>
      <c r="E229" s="392">
        <f t="shared" si="0"/>
        <v>-4.3929507270203949E-3</v>
      </c>
      <c r="F229" s="393"/>
      <c r="G229" s="381"/>
      <c r="H229" s="381"/>
      <c r="I229" s="381"/>
      <c r="J229" s="381"/>
      <c r="K229" s="381"/>
      <c r="L229" s="381"/>
      <c r="M229" s="381"/>
      <c r="N229" s="381"/>
      <c r="O229" s="381"/>
      <c r="P229" s="381"/>
      <c r="Q229" s="381"/>
      <c r="R229" s="381"/>
      <c r="S229" s="381"/>
    </row>
    <row r="230" spans="1:19" ht="12.75" customHeight="1">
      <c r="A230" s="381"/>
      <c r="B230" s="389">
        <v>42633</v>
      </c>
      <c r="C230" s="390">
        <v>780.22</v>
      </c>
      <c r="D230" s="393"/>
      <c r="E230" s="392">
        <f t="shared" si="0"/>
        <v>6.605599277512475E-3</v>
      </c>
      <c r="F230" s="393"/>
      <c r="G230" s="381"/>
      <c r="H230" s="381"/>
      <c r="I230" s="381"/>
      <c r="J230" s="381"/>
      <c r="K230" s="381"/>
      <c r="L230" s="381"/>
      <c r="M230" s="381"/>
      <c r="N230" s="381"/>
      <c r="O230" s="381"/>
      <c r="P230" s="381"/>
      <c r="Q230" s="381"/>
      <c r="R230" s="381"/>
      <c r="S230" s="381"/>
    </row>
    <row r="231" spans="1:19" ht="12.75" customHeight="1">
      <c r="A231" s="381"/>
      <c r="B231" s="389">
        <v>42634</v>
      </c>
      <c r="C231" s="390">
        <v>789.74</v>
      </c>
      <c r="D231" s="393"/>
      <c r="E231" s="392">
        <f t="shared" si="0"/>
        <v>1.2201686703750214E-2</v>
      </c>
      <c r="F231" s="393"/>
      <c r="G231" s="381"/>
      <c r="H231" s="381"/>
      <c r="I231" s="381"/>
      <c r="J231" s="381"/>
      <c r="K231" s="381"/>
      <c r="L231" s="381"/>
      <c r="M231" s="381"/>
      <c r="N231" s="381"/>
      <c r="O231" s="381"/>
      <c r="P231" s="381"/>
      <c r="Q231" s="381"/>
      <c r="R231" s="381"/>
      <c r="S231" s="381"/>
    </row>
    <row r="232" spans="1:19" ht="12.75" customHeight="1">
      <c r="A232" s="381"/>
      <c r="B232" s="389">
        <v>42635</v>
      </c>
      <c r="C232" s="390">
        <v>804.7</v>
      </c>
      <c r="D232" s="393"/>
      <c r="E232" s="392">
        <f t="shared" si="0"/>
        <v>1.8942943247144628E-2</v>
      </c>
      <c r="F232" s="393"/>
      <c r="G232" s="381"/>
      <c r="H232" s="381"/>
      <c r="I232" s="381"/>
      <c r="J232" s="381"/>
      <c r="K232" s="381"/>
      <c r="L232" s="381"/>
      <c r="M232" s="381"/>
      <c r="N232" s="381"/>
      <c r="O232" s="381"/>
      <c r="P232" s="381"/>
      <c r="Q232" s="381"/>
      <c r="R232" s="381"/>
      <c r="S232" s="381"/>
    </row>
    <row r="233" spans="1:19" ht="12.75" customHeight="1">
      <c r="A233" s="381"/>
      <c r="B233" s="389">
        <v>42636</v>
      </c>
      <c r="C233" s="390">
        <v>805.75</v>
      </c>
      <c r="D233" s="393"/>
      <c r="E233" s="392">
        <f t="shared" si="0"/>
        <v>1.3048340996644203E-3</v>
      </c>
      <c r="F233" s="393"/>
      <c r="G233" s="381"/>
      <c r="H233" s="381"/>
      <c r="I233" s="381"/>
      <c r="J233" s="381"/>
      <c r="K233" s="381"/>
      <c r="L233" s="381"/>
      <c r="M233" s="381"/>
      <c r="N233" s="381"/>
      <c r="O233" s="381"/>
      <c r="P233" s="381"/>
      <c r="Q233" s="381"/>
      <c r="R233" s="381"/>
      <c r="S233" s="381"/>
    </row>
    <row r="234" spans="1:19" ht="12.75" customHeight="1">
      <c r="A234" s="381"/>
      <c r="B234" s="389">
        <v>42639</v>
      </c>
      <c r="C234" s="390">
        <v>799.16</v>
      </c>
      <c r="D234" s="393"/>
      <c r="E234" s="392">
        <f t="shared" si="0"/>
        <v>-8.1787154824697339E-3</v>
      </c>
      <c r="F234" s="393"/>
      <c r="G234" s="381"/>
      <c r="H234" s="381"/>
      <c r="I234" s="381"/>
      <c r="J234" s="381"/>
      <c r="K234" s="381"/>
      <c r="L234" s="381"/>
      <c r="M234" s="381"/>
      <c r="N234" s="381"/>
      <c r="O234" s="381"/>
      <c r="P234" s="381"/>
      <c r="Q234" s="381"/>
      <c r="R234" s="381"/>
      <c r="S234" s="381"/>
    </row>
    <row r="235" spans="1:19" ht="12.75" customHeight="1">
      <c r="A235" s="381"/>
      <c r="B235" s="389">
        <v>42640</v>
      </c>
      <c r="C235" s="390">
        <v>816.11</v>
      </c>
      <c r="D235" s="393"/>
      <c r="E235" s="392">
        <f t="shared" si="0"/>
        <v>2.1209770258771687E-2</v>
      </c>
      <c r="F235" s="393"/>
      <c r="G235" s="381"/>
      <c r="H235" s="381"/>
      <c r="I235" s="381"/>
      <c r="J235" s="381"/>
      <c r="K235" s="381"/>
      <c r="L235" s="381"/>
      <c r="M235" s="381"/>
      <c r="N235" s="381"/>
      <c r="O235" s="381"/>
      <c r="P235" s="381"/>
      <c r="Q235" s="381"/>
      <c r="R235" s="381"/>
      <c r="S235" s="381"/>
    </row>
    <row r="236" spans="1:19" ht="12.75" customHeight="1">
      <c r="A236" s="381"/>
      <c r="B236" s="389">
        <v>42641</v>
      </c>
      <c r="C236" s="390">
        <v>828.72</v>
      </c>
      <c r="D236" s="393"/>
      <c r="E236" s="392">
        <f t="shared" si="0"/>
        <v>1.5451348470181703E-2</v>
      </c>
      <c r="F236" s="393"/>
      <c r="G236" s="381"/>
      <c r="H236" s="381"/>
      <c r="I236" s="381"/>
      <c r="J236" s="381"/>
      <c r="K236" s="381"/>
      <c r="L236" s="381"/>
      <c r="M236" s="381"/>
      <c r="N236" s="381"/>
      <c r="O236" s="381"/>
      <c r="P236" s="381"/>
      <c r="Q236" s="381"/>
      <c r="R236" s="381"/>
      <c r="S236" s="381"/>
    </row>
    <row r="237" spans="1:19" ht="12.75" customHeight="1">
      <c r="A237" s="381"/>
      <c r="B237" s="389">
        <v>42642</v>
      </c>
      <c r="C237" s="390">
        <v>829.05</v>
      </c>
      <c r="D237" s="393"/>
      <c r="E237" s="392">
        <f t="shared" si="0"/>
        <v>3.9820445988980602E-4</v>
      </c>
      <c r="F237" s="393"/>
      <c r="G237" s="381"/>
      <c r="H237" s="381"/>
      <c r="I237" s="381"/>
      <c r="J237" s="381"/>
      <c r="K237" s="381"/>
      <c r="L237" s="381"/>
      <c r="M237" s="381"/>
      <c r="N237" s="381"/>
      <c r="O237" s="381"/>
      <c r="P237" s="381"/>
      <c r="Q237" s="381"/>
      <c r="R237" s="381"/>
      <c r="S237" s="381"/>
    </row>
    <row r="238" spans="1:19" ht="12.75" customHeight="1">
      <c r="A238" s="381"/>
      <c r="B238" s="389">
        <v>42643</v>
      </c>
      <c r="C238" s="390">
        <v>837.31</v>
      </c>
      <c r="D238" s="393"/>
      <c r="E238" s="392">
        <f t="shared" si="0"/>
        <v>9.9632109040468375E-3</v>
      </c>
      <c r="F238" s="393"/>
      <c r="G238" s="381"/>
      <c r="H238" s="381"/>
      <c r="I238" s="381"/>
      <c r="J238" s="381"/>
      <c r="K238" s="381"/>
      <c r="L238" s="381"/>
      <c r="M238" s="381"/>
      <c r="N238" s="381"/>
      <c r="O238" s="381"/>
      <c r="P238" s="381"/>
      <c r="Q238" s="381"/>
      <c r="R238" s="381"/>
      <c r="S238" s="381"/>
    </row>
    <row r="239" spans="1:19" ht="12.75" customHeight="1">
      <c r="A239" s="381"/>
      <c r="B239" s="389">
        <v>42646</v>
      </c>
      <c r="C239" s="390">
        <v>836.74</v>
      </c>
      <c r="D239" s="393"/>
      <c r="E239" s="392">
        <f t="shared" si="0"/>
        <v>-6.8075145406110149E-4</v>
      </c>
      <c r="F239" s="393"/>
      <c r="G239" s="381"/>
      <c r="H239" s="381"/>
      <c r="I239" s="381"/>
      <c r="J239" s="381"/>
      <c r="K239" s="381"/>
      <c r="L239" s="381"/>
      <c r="M239" s="381"/>
      <c r="N239" s="381"/>
      <c r="O239" s="381"/>
      <c r="P239" s="381"/>
      <c r="Q239" s="381"/>
      <c r="R239" s="381"/>
      <c r="S239" s="381"/>
    </row>
    <row r="240" spans="1:19" ht="12.75" customHeight="1">
      <c r="A240" s="381"/>
      <c r="B240" s="389">
        <v>42647</v>
      </c>
      <c r="C240" s="390">
        <v>834.03</v>
      </c>
      <c r="D240" s="393"/>
      <c r="E240" s="392">
        <f t="shared" si="0"/>
        <v>-3.2387599493272079E-3</v>
      </c>
      <c r="F240" s="393"/>
      <c r="G240" s="381"/>
      <c r="H240" s="381"/>
      <c r="I240" s="381"/>
      <c r="J240" s="381"/>
      <c r="K240" s="381"/>
      <c r="L240" s="381"/>
      <c r="M240" s="381"/>
      <c r="N240" s="381"/>
      <c r="O240" s="381"/>
      <c r="P240" s="381"/>
      <c r="Q240" s="381"/>
      <c r="R240" s="381"/>
      <c r="S240" s="381"/>
    </row>
    <row r="241" spans="1:19" ht="12.75" customHeight="1">
      <c r="A241" s="381"/>
      <c r="B241" s="389">
        <v>42648</v>
      </c>
      <c r="C241" s="390">
        <v>844.36</v>
      </c>
      <c r="D241" s="393"/>
      <c r="E241" s="392">
        <f t="shared" si="0"/>
        <v>1.2385645600278217E-2</v>
      </c>
      <c r="F241" s="393"/>
      <c r="G241" s="381"/>
      <c r="H241" s="381"/>
      <c r="I241" s="381"/>
      <c r="J241" s="381"/>
      <c r="K241" s="381"/>
      <c r="L241" s="381"/>
      <c r="M241" s="381"/>
      <c r="N241" s="381"/>
      <c r="O241" s="381"/>
      <c r="P241" s="381"/>
      <c r="Q241" s="381"/>
      <c r="R241" s="381"/>
      <c r="S241" s="381"/>
    </row>
    <row r="242" spans="1:19" ht="12.75" customHeight="1">
      <c r="A242" s="381"/>
      <c r="B242" s="389">
        <v>42649</v>
      </c>
      <c r="C242" s="390">
        <v>841.66</v>
      </c>
      <c r="D242" s="393"/>
      <c r="E242" s="392">
        <f t="shared" si="0"/>
        <v>-3.1976881898716503E-3</v>
      </c>
      <c r="F242" s="393"/>
      <c r="G242" s="381"/>
      <c r="H242" s="381"/>
      <c r="I242" s="381"/>
      <c r="J242" s="381"/>
      <c r="K242" s="381"/>
      <c r="L242" s="381"/>
      <c r="M242" s="381"/>
      <c r="N242" s="381"/>
      <c r="O242" s="381"/>
      <c r="P242" s="381"/>
      <c r="Q242" s="381"/>
      <c r="R242" s="381"/>
      <c r="S242" s="381"/>
    </row>
    <row r="243" spans="1:19" ht="12.75" customHeight="1">
      <c r="A243" s="381"/>
      <c r="B243" s="389">
        <v>42650</v>
      </c>
      <c r="C243" s="390">
        <v>839.43</v>
      </c>
      <c r="D243" s="393"/>
      <c r="E243" s="392">
        <f t="shared" si="0"/>
        <v>-2.6495259368390922E-3</v>
      </c>
      <c r="F243" s="393"/>
      <c r="G243" s="381"/>
      <c r="H243" s="381"/>
      <c r="I243" s="381"/>
      <c r="J243" s="381"/>
      <c r="K243" s="381"/>
      <c r="L243" s="381"/>
      <c r="M243" s="381"/>
      <c r="N243" s="381"/>
      <c r="O243" s="381"/>
      <c r="P243" s="381"/>
      <c r="Q243" s="381"/>
      <c r="R243" s="381"/>
      <c r="S243" s="381"/>
    </row>
    <row r="244" spans="1:19" ht="12.75" customHeight="1">
      <c r="A244" s="381"/>
      <c r="B244" s="389">
        <v>42653</v>
      </c>
      <c r="C244" s="390">
        <v>841.71</v>
      </c>
      <c r="D244" s="393"/>
      <c r="E244" s="392">
        <f t="shared" si="0"/>
        <v>2.7161288016870344E-3</v>
      </c>
      <c r="F244" s="393"/>
      <c r="G244" s="381"/>
      <c r="H244" s="381"/>
      <c r="I244" s="381"/>
      <c r="J244" s="381"/>
      <c r="K244" s="381"/>
      <c r="L244" s="381"/>
      <c r="M244" s="381"/>
      <c r="N244" s="381"/>
      <c r="O244" s="381"/>
      <c r="P244" s="381"/>
      <c r="Q244" s="381"/>
      <c r="R244" s="381"/>
      <c r="S244" s="381"/>
    </row>
    <row r="245" spans="1:19" ht="12.75" customHeight="1">
      <c r="A245" s="381"/>
      <c r="B245" s="389">
        <v>42654</v>
      </c>
      <c r="C245" s="390">
        <v>831</v>
      </c>
      <c r="D245" s="393"/>
      <c r="E245" s="392">
        <f t="shared" si="0"/>
        <v>-1.2724097373204568E-2</v>
      </c>
      <c r="F245" s="393"/>
      <c r="G245" s="381"/>
      <c r="H245" s="381"/>
      <c r="I245" s="381"/>
      <c r="J245" s="381"/>
      <c r="K245" s="381"/>
      <c r="L245" s="381"/>
      <c r="M245" s="381"/>
      <c r="N245" s="381"/>
      <c r="O245" s="381"/>
      <c r="P245" s="381"/>
      <c r="Q245" s="381"/>
      <c r="R245" s="381"/>
      <c r="S245" s="381"/>
    </row>
    <row r="246" spans="1:19" ht="12.75" customHeight="1">
      <c r="A246" s="381"/>
      <c r="B246" s="389">
        <v>42655</v>
      </c>
      <c r="C246" s="390">
        <v>834.09</v>
      </c>
      <c r="D246" s="393"/>
      <c r="E246" s="392">
        <f t="shared" si="0"/>
        <v>3.7184115523465344E-3</v>
      </c>
      <c r="F246" s="393"/>
      <c r="G246" s="381"/>
      <c r="H246" s="381"/>
      <c r="I246" s="381"/>
      <c r="J246" s="381"/>
      <c r="K246" s="381"/>
      <c r="L246" s="381"/>
      <c r="M246" s="381"/>
      <c r="N246" s="381"/>
      <c r="O246" s="381"/>
      <c r="P246" s="381"/>
      <c r="Q246" s="381"/>
      <c r="R246" s="381"/>
      <c r="S246" s="381"/>
    </row>
    <row r="247" spans="1:19" ht="12.75" customHeight="1">
      <c r="A247" s="381"/>
      <c r="B247" s="389">
        <v>42656</v>
      </c>
      <c r="C247" s="390">
        <v>829.28</v>
      </c>
      <c r="D247" s="393"/>
      <c r="E247" s="392">
        <f t="shared" si="0"/>
        <v>-5.7667637784891701E-3</v>
      </c>
      <c r="F247" s="393"/>
      <c r="G247" s="381"/>
      <c r="H247" s="381"/>
      <c r="I247" s="381"/>
      <c r="J247" s="381"/>
      <c r="K247" s="381"/>
      <c r="L247" s="381"/>
      <c r="M247" s="381"/>
      <c r="N247" s="381"/>
      <c r="O247" s="381"/>
      <c r="P247" s="381"/>
      <c r="Q247" s="381"/>
      <c r="R247" s="381"/>
      <c r="S247" s="381"/>
    </row>
    <row r="248" spans="1:19" ht="12.75" customHeight="1">
      <c r="A248" s="381"/>
      <c r="B248" s="389">
        <v>42657</v>
      </c>
      <c r="C248" s="390">
        <v>822.96</v>
      </c>
      <c r="D248" s="393"/>
      <c r="E248" s="392">
        <f t="shared" si="0"/>
        <v>-7.6210688790274705E-3</v>
      </c>
      <c r="F248" s="393"/>
      <c r="G248" s="381"/>
      <c r="H248" s="381"/>
      <c r="I248" s="381"/>
      <c r="J248" s="381"/>
      <c r="K248" s="381"/>
      <c r="L248" s="381"/>
      <c r="M248" s="381"/>
      <c r="N248" s="381"/>
      <c r="O248" s="381"/>
      <c r="P248" s="381"/>
      <c r="Q248" s="381"/>
      <c r="R248" s="381"/>
      <c r="S248" s="381"/>
    </row>
    <row r="249" spans="1:19" ht="12.75" customHeight="1">
      <c r="A249" s="381"/>
      <c r="B249" s="389">
        <v>42660</v>
      </c>
      <c r="C249" s="390">
        <v>812.95</v>
      </c>
      <c r="D249" s="393"/>
      <c r="E249" s="392">
        <f t="shared" si="0"/>
        <v>-1.2163410129289343E-2</v>
      </c>
      <c r="F249" s="393"/>
      <c r="G249" s="381"/>
      <c r="H249" s="381"/>
      <c r="I249" s="381"/>
      <c r="J249" s="381"/>
      <c r="K249" s="381"/>
      <c r="L249" s="381"/>
      <c r="M249" s="381"/>
      <c r="N249" s="381"/>
      <c r="O249" s="381"/>
      <c r="P249" s="381"/>
      <c r="Q249" s="381"/>
      <c r="R249" s="381"/>
      <c r="S249" s="381"/>
    </row>
    <row r="250" spans="1:19" ht="12.75" customHeight="1">
      <c r="A250" s="381"/>
      <c r="B250" s="389">
        <v>42661</v>
      </c>
      <c r="C250" s="390">
        <v>817.65</v>
      </c>
      <c r="D250" s="393"/>
      <c r="E250" s="392">
        <f t="shared" si="0"/>
        <v>5.7814133710558657E-3</v>
      </c>
      <c r="F250" s="393"/>
      <c r="G250" s="381"/>
      <c r="H250" s="381"/>
      <c r="I250" s="381"/>
      <c r="J250" s="381"/>
      <c r="K250" s="381"/>
      <c r="L250" s="381"/>
      <c r="M250" s="381"/>
      <c r="N250" s="381"/>
      <c r="O250" s="381"/>
      <c r="P250" s="381"/>
      <c r="Q250" s="381"/>
      <c r="R250" s="381"/>
      <c r="S250" s="381"/>
    </row>
    <row r="251" spans="1:19" ht="12.75" customHeight="1">
      <c r="A251" s="381"/>
      <c r="B251" s="389">
        <v>42662</v>
      </c>
      <c r="C251" s="390">
        <v>817.69</v>
      </c>
      <c r="D251" s="393"/>
      <c r="E251" s="392">
        <f t="shared" si="0"/>
        <v>4.8920687335751722E-5</v>
      </c>
      <c r="F251" s="393"/>
      <c r="G251" s="381"/>
      <c r="H251" s="381"/>
      <c r="I251" s="381"/>
      <c r="J251" s="381"/>
      <c r="K251" s="381"/>
      <c r="L251" s="381"/>
      <c r="M251" s="381"/>
      <c r="N251" s="381"/>
      <c r="O251" s="381"/>
      <c r="P251" s="381"/>
      <c r="Q251" s="381"/>
      <c r="R251" s="381"/>
      <c r="S251" s="381"/>
    </row>
    <row r="252" spans="1:19" ht="12.75" customHeight="1">
      <c r="A252" s="381"/>
      <c r="B252" s="389">
        <v>42663</v>
      </c>
      <c r="C252" s="390">
        <v>810.32</v>
      </c>
      <c r="D252" s="393"/>
      <c r="E252" s="392">
        <f t="shared" si="0"/>
        <v>-9.0131957098655846E-3</v>
      </c>
      <c r="F252" s="393"/>
      <c r="G252" s="381"/>
      <c r="H252" s="381"/>
      <c r="I252" s="381"/>
      <c r="J252" s="381"/>
      <c r="K252" s="381"/>
      <c r="L252" s="381"/>
      <c r="M252" s="381"/>
      <c r="N252" s="381"/>
      <c r="O252" s="381"/>
      <c r="P252" s="381"/>
      <c r="Q252" s="381"/>
      <c r="R252" s="381"/>
      <c r="S252" s="381"/>
    </row>
    <row r="253" spans="1:19" ht="12.75" customHeight="1">
      <c r="A253" s="381"/>
      <c r="B253" s="389">
        <v>42664</v>
      </c>
      <c r="C253" s="390">
        <v>818.99</v>
      </c>
      <c r="D253" s="393"/>
      <c r="E253" s="392">
        <f t="shared" si="0"/>
        <v>1.0699476749925996E-2</v>
      </c>
      <c r="F253" s="393"/>
      <c r="G253" s="381"/>
      <c r="H253" s="381"/>
      <c r="I253" s="381"/>
      <c r="J253" s="381"/>
      <c r="K253" s="381"/>
      <c r="L253" s="381"/>
      <c r="M253" s="381"/>
      <c r="N253" s="381"/>
      <c r="O253" s="381"/>
      <c r="P253" s="381"/>
      <c r="Q253" s="381"/>
      <c r="R253" s="381"/>
      <c r="S253" s="381"/>
    </row>
    <row r="254" spans="1:19" ht="12.75" customHeight="1">
      <c r="A254" s="381"/>
      <c r="B254" s="389">
        <v>42667</v>
      </c>
      <c r="C254" s="390">
        <v>838.09</v>
      </c>
      <c r="D254" s="393"/>
      <c r="E254" s="392">
        <f t="shared" si="0"/>
        <v>2.3321408075800631E-2</v>
      </c>
      <c r="F254" s="393"/>
      <c r="G254" s="381"/>
      <c r="H254" s="381"/>
      <c r="I254" s="381"/>
      <c r="J254" s="381"/>
      <c r="K254" s="381"/>
      <c r="L254" s="381"/>
      <c r="M254" s="381"/>
      <c r="N254" s="381"/>
      <c r="O254" s="381"/>
      <c r="P254" s="381"/>
      <c r="Q254" s="381"/>
      <c r="R254" s="381"/>
      <c r="S254" s="381"/>
    </row>
    <row r="255" spans="1:19" ht="12.75" customHeight="1">
      <c r="A255" s="381"/>
      <c r="B255" s="389">
        <v>42668</v>
      </c>
      <c r="C255" s="390">
        <v>835.18</v>
      </c>
      <c r="D255" s="393"/>
      <c r="E255" s="392">
        <f t="shared" si="0"/>
        <v>-3.4721807920391479E-3</v>
      </c>
      <c r="F255" s="393"/>
      <c r="G255" s="381"/>
      <c r="H255" s="381"/>
      <c r="I255" s="381"/>
      <c r="J255" s="381"/>
      <c r="K255" s="381"/>
      <c r="L255" s="381"/>
      <c r="M255" s="381"/>
      <c r="N255" s="381"/>
      <c r="O255" s="381"/>
      <c r="P255" s="381"/>
      <c r="Q255" s="381"/>
      <c r="R255" s="381"/>
      <c r="S255" s="381"/>
    </row>
    <row r="256" spans="1:19" ht="12.75" customHeight="1">
      <c r="A256" s="381"/>
      <c r="B256" s="389">
        <v>42669</v>
      </c>
      <c r="C256" s="390">
        <v>822.59</v>
      </c>
      <c r="D256" s="393"/>
      <c r="E256" s="392">
        <f t="shared" si="0"/>
        <v>-1.5074594698148758E-2</v>
      </c>
      <c r="F256" s="393"/>
      <c r="G256" s="381"/>
      <c r="H256" s="381"/>
      <c r="I256" s="381"/>
      <c r="J256" s="381"/>
      <c r="K256" s="381"/>
      <c r="L256" s="381"/>
      <c r="M256" s="381"/>
      <c r="N256" s="381"/>
      <c r="O256" s="381"/>
      <c r="P256" s="381"/>
      <c r="Q256" s="381"/>
      <c r="R256" s="381"/>
      <c r="S256" s="381"/>
    </row>
    <row r="257" spans="1:19" ht="12.75" customHeight="1">
      <c r="A257" s="381"/>
      <c r="B257" s="389">
        <v>42670</v>
      </c>
      <c r="C257" s="390">
        <v>818.36</v>
      </c>
      <c r="D257" s="393"/>
      <c r="E257" s="392">
        <f t="shared" si="0"/>
        <v>-5.1422944601806631E-3</v>
      </c>
      <c r="F257" s="393"/>
      <c r="G257" s="381"/>
      <c r="H257" s="381"/>
      <c r="I257" s="381"/>
      <c r="J257" s="381"/>
      <c r="K257" s="381"/>
      <c r="L257" s="381"/>
      <c r="M257" s="381"/>
      <c r="N257" s="381"/>
      <c r="O257" s="381"/>
      <c r="P257" s="381"/>
      <c r="Q257" s="381"/>
      <c r="R257" s="381"/>
      <c r="S257" s="381"/>
    </row>
    <row r="258" spans="1:19" ht="12.75" customHeight="1">
      <c r="A258" s="381"/>
      <c r="B258" s="389">
        <v>42671</v>
      </c>
      <c r="C258" s="390">
        <v>776.32</v>
      </c>
      <c r="D258" s="393"/>
      <c r="E258" s="392">
        <f t="shared" si="0"/>
        <v>-5.1371034752431655E-2</v>
      </c>
      <c r="F258" s="393"/>
      <c r="G258" s="381"/>
      <c r="H258" s="381"/>
      <c r="I258" s="381"/>
      <c r="J258" s="381"/>
      <c r="K258" s="381"/>
      <c r="L258" s="381"/>
      <c r="M258" s="381"/>
      <c r="N258" s="381"/>
      <c r="O258" s="381"/>
      <c r="P258" s="381"/>
      <c r="Q258" s="381"/>
      <c r="R258" s="381"/>
      <c r="S258" s="381"/>
    </row>
    <row r="259" spans="1:19" ht="12.75" customHeight="1">
      <c r="A259" s="381"/>
      <c r="B259" s="389">
        <v>42674</v>
      </c>
      <c r="C259" s="390">
        <v>789.82</v>
      </c>
      <c r="D259" s="393"/>
      <c r="E259" s="392">
        <f t="shared" si="0"/>
        <v>1.7389736191261385E-2</v>
      </c>
      <c r="F259" s="393"/>
      <c r="G259" s="381"/>
      <c r="H259" s="381"/>
      <c r="I259" s="381"/>
      <c r="J259" s="381"/>
      <c r="K259" s="381"/>
      <c r="L259" s="381"/>
      <c r="M259" s="381"/>
      <c r="N259" s="381"/>
      <c r="O259" s="381"/>
      <c r="P259" s="381"/>
      <c r="Q259" s="381"/>
      <c r="R259" s="381"/>
      <c r="S259" s="381"/>
    </row>
    <row r="260" spans="1:19" ht="12.75" customHeight="1">
      <c r="A260" s="381"/>
      <c r="B260" s="389">
        <v>42675</v>
      </c>
      <c r="C260" s="390">
        <v>785.41</v>
      </c>
      <c r="D260" s="393"/>
      <c r="E260" s="392">
        <f t="shared" si="0"/>
        <v>-5.5835506824341019E-3</v>
      </c>
      <c r="F260" s="393"/>
      <c r="G260" s="381"/>
      <c r="H260" s="381"/>
      <c r="I260" s="381"/>
      <c r="J260" s="381"/>
      <c r="K260" s="381"/>
      <c r="L260" s="381"/>
      <c r="M260" s="381"/>
      <c r="N260" s="381"/>
      <c r="O260" s="381"/>
      <c r="P260" s="381"/>
      <c r="Q260" s="381"/>
      <c r="R260" s="381"/>
      <c r="S260" s="381"/>
    </row>
    <row r="261" spans="1:19" ht="12.75" customHeight="1">
      <c r="A261" s="381"/>
      <c r="B261" s="389">
        <v>42676</v>
      </c>
      <c r="C261" s="390">
        <v>765.56</v>
      </c>
      <c r="D261" s="393"/>
      <c r="E261" s="392">
        <f t="shared" si="0"/>
        <v>-2.5273424071504125E-2</v>
      </c>
      <c r="F261" s="393"/>
      <c r="G261" s="381"/>
      <c r="H261" s="381"/>
      <c r="I261" s="381"/>
      <c r="J261" s="381"/>
      <c r="K261" s="381"/>
      <c r="L261" s="381"/>
      <c r="M261" s="381"/>
      <c r="N261" s="381"/>
      <c r="O261" s="381"/>
      <c r="P261" s="381"/>
      <c r="Q261" s="381"/>
      <c r="R261" s="381"/>
      <c r="S261" s="381"/>
    </row>
    <row r="262" spans="1:19" ht="12.75" customHeight="1">
      <c r="A262" s="381"/>
      <c r="B262" s="389">
        <v>42677</v>
      </c>
      <c r="C262" s="390">
        <v>767.03</v>
      </c>
      <c r="D262" s="393"/>
      <c r="E262" s="392">
        <f t="shared" si="0"/>
        <v>1.9201630179215279E-3</v>
      </c>
      <c r="F262" s="393"/>
      <c r="G262" s="381"/>
      <c r="H262" s="381"/>
      <c r="I262" s="381"/>
      <c r="J262" s="381"/>
      <c r="K262" s="381"/>
      <c r="L262" s="381"/>
      <c r="M262" s="381"/>
      <c r="N262" s="381"/>
      <c r="O262" s="381"/>
      <c r="P262" s="381"/>
      <c r="Q262" s="381"/>
      <c r="R262" s="381"/>
      <c r="S262" s="381"/>
    </row>
    <row r="263" spans="1:19" ht="12.75" customHeight="1">
      <c r="A263" s="381"/>
      <c r="B263" s="389">
        <v>42678</v>
      </c>
      <c r="C263" s="390">
        <v>755.05</v>
      </c>
      <c r="D263" s="393"/>
      <c r="E263" s="392">
        <f t="shared" si="0"/>
        <v>-1.5618685057950832E-2</v>
      </c>
      <c r="F263" s="393"/>
      <c r="G263" s="381"/>
      <c r="H263" s="381"/>
      <c r="I263" s="381"/>
      <c r="J263" s="381"/>
      <c r="K263" s="381"/>
      <c r="L263" s="381"/>
      <c r="M263" s="381"/>
      <c r="N263" s="381"/>
      <c r="O263" s="381"/>
      <c r="P263" s="381"/>
      <c r="Q263" s="381"/>
      <c r="R263" s="381"/>
      <c r="S263" s="381"/>
    </row>
    <row r="264" spans="1:19" ht="12.75" customHeight="1">
      <c r="A264" s="381"/>
      <c r="B264" s="389">
        <v>42681</v>
      </c>
      <c r="C264" s="390">
        <v>784.93</v>
      </c>
      <c r="D264" s="393"/>
      <c r="E264" s="392">
        <f t="shared" si="0"/>
        <v>3.9573538176279621E-2</v>
      </c>
      <c r="F264" s="393"/>
      <c r="G264" s="381"/>
      <c r="H264" s="381"/>
      <c r="I264" s="381"/>
      <c r="J264" s="381"/>
      <c r="K264" s="381"/>
      <c r="L264" s="381"/>
      <c r="M264" s="381"/>
      <c r="N264" s="381"/>
      <c r="O264" s="381"/>
      <c r="P264" s="381"/>
      <c r="Q264" s="381"/>
      <c r="R264" s="381"/>
      <c r="S264" s="381"/>
    </row>
    <row r="265" spans="1:19" ht="12.75" customHeight="1">
      <c r="A265" s="381"/>
      <c r="B265" s="389">
        <v>42682</v>
      </c>
      <c r="C265" s="390">
        <v>787.75</v>
      </c>
      <c r="D265" s="393"/>
      <c r="E265" s="392">
        <f t="shared" si="0"/>
        <v>3.5926770540049002E-3</v>
      </c>
      <c r="F265" s="393"/>
      <c r="G265" s="381"/>
      <c r="H265" s="381"/>
      <c r="I265" s="381"/>
      <c r="J265" s="381"/>
      <c r="K265" s="381"/>
      <c r="L265" s="381"/>
      <c r="M265" s="381"/>
      <c r="N265" s="381"/>
      <c r="O265" s="381"/>
      <c r="P265" s="381"/>
      <c r="Q265" s="381"/>
      <c r="R265" s="381"/>
      <c r="S265" s="381"/>
    </row>
    <row r="266" spans="1:19" ht="12.75" customHeight="1">
      <c r="A266" s="381"/>
      <c r="B266" s="389">
        <v>42683</v>
      </c>
      <c r="C266" s="390">
        <v>771.88</v>
      </c>
      <c r="D266" s="393"/>
      <c r="E266" s="392">
        <f t="shared" si="0"/>
        <v>-2.0145985401459843E-2</v>
      </c>
      <c r="F266" s="393"/>
      <c r="G266" s="381"/>
      <c r="H266" s="381"/>
      <c r="I266" s="381"/>
      <c r="J266" s="381"/>
      <c r="K266" s="381"/>
      <c r="L266" s="381"/>
      <c r="M266" s="381"/>
      <c r="N266" s="381"/>
      <c r="O266" s="381"/>
      <c r="P266" s="381"/>
      <c r="Q266" s="381"/>
      <c r="R266" s="381"/>
      <c r="S266" s="381"/>
    </row>
    <row r="267" spans="1:19" ht="12.75" customHeight="1">
      <c r="A267" s="381"/>
      <c r="B267" s="389">
        <v>42684</v>
      </c>
      <c r="C267" s="390">
        <v>742.38</v>
      </c>
      <c r="D267" s="393"/>
      <c r="E267" s="392">
        <f t="shared" si="0"/>
        <v>-3.8218375913354419E-2</v>
      </c>
      <c r="F267" s="393"/>
      <c r="G267" s="381"/>
      <c r="H267" s="381"/>
      <c r="I267" s="381"/>
      <c r="J267" s="381"/>
      <c r="K267" s="381"/>
      <c r="L267" s="381"/>
      <c r="M267" s="381"/>
      <c r="N267" s="381"/>
      <c r="O267" s="381"/>
      <c r="P267" s="381"/>
      <c r="Q267" s="381"/>
      <c r="R267" s="381"/>
      <c r="S267" s="381"/>
    </row>
    <row r="268" spans="1:19" ht="12.75" customHeight="1">
      <c r="A268" s="381"/>
      <c r="B268" s="389">
        <v>42685</v>
      </c>
      <c r="C268" s="390">
        <v>739.01</v>
      </c>
      <c r="D268" s="393"/>
      <c r="E268" s="392">
        <f t="shared" si="0"/>
        <v>-4.5394541878822636E-3</v>
      </c>
      <c r="F268" s="393"/>
      <c r="G268" s="381"/>
      <c r="H268" s="381"/>
      <c r="I268" s="381"/>
      <c r="J268" s="381"/>
      <c r="K268" s="381"/>
      <c r="L268" s="381"/>
      <c r="M268" s="381"/>
      <c r="N268" s="381"/>
      <c r="O268" s="381"/>
      <c r="P268" s="381"/>
      <c r="Q268" s="381"/>
      <c r="R268" s="381"/>
      <c r="S268" s="381"/>
    </row>
    <row r="269" spans="1:19" ht="12.75" customHeight="1">
      <c r="A269" s="381"/>
      <c r="B269" s="389">
        <v>42688</v>
      </c>
      <c r="C269" s="390">
        <v>719.07</v>
      </c>
      <c r="D269" s="393"/>
      <c r="E269" s="392">
        <f t="shared" si="0"/>
        <v>-2.6982043544742207E-2</v>
      </c>
      <c r="F269" s="393"/>
      <c r="G269" s="381"/>
      <c r="H269" s="381"/>
      <c r="I269" s="381"/>
      <c r="J269" s="381"/>
      <c r="K269" s="381"/>
      <c r="L269" s="381"/>
      <c r="M269" s="381"/>
      <c r="N269" s="381"/>
      <c r="O269" s="381"/>
      <c r="P269" s="381"/>
      <c r="Q269" s="381"/>
      <c r="R269" s="381"/>
      <c r="S269" s="381"/>
    </row>
    <row r="270" spans="1:19" ht="12.75" customHeight="1">
      <c r="A270" s="381"/>
      <c r="B270" s="389">
        <v>42689</v>
      </c>
      <c r="C270" s="390">
        <v>743.24</v>
      </c>
      <c r="D270" s="393"/>
      <c r="E270" s="392">
        <f t="shared" si="0"/>
        <v>3.3612861056642629E-2</v>
      </c>
      <c r="F270" s="393"/>
      <c r="G270" s="381"/>
      <c r="H270" s="381"/>
      <c r="I270" s="381"/>
      <c r="J270" s="381"/>
      <c r="K270" s="381"/>
      <c r="L270" s="381"/>
      <c r="M270" s="381"/>
      <c r="N270" s="381"/>
      <c r="O270" s="381"/>
      <c r="P270" s="381"/>
      <c r="Q270" s="381"/>
      <c r="R270" s="381"/>
      <c r="S270" s="381"/>
    </row>
    <row r="271" spans="1:19" ht="12.75" customHeight="1">
      <c r="A271" s="381"/>
      <c r="B271" s="389">
        <v>42690</v>
      </c>
      <c r="C271" s="390">
        <v>746.49</v>
      </c>
      <c r="D271" s="393"/>
      <c r="E271" s="392">
        <f t="shared" si="0"/>
        <v>4.3727463538023592E-3</v>
      </c>
      <c r="F271" s="393"/>
      <c r="G271" s="381"/>
      <c r="H271" s="381"/>
      <c r="I271" s="381"/>
      <c r="J271" s="381"/>
      <c r="K271" s="381"/>
      <c r="L271" s="381"/>
      <c r="M271" s="381"/>
      <c r="N271" s="381"/>
      <c r="O271" s="381"/>
      <c r="P271" s="381"/>
      <c r="Q271" s="381"/>
      <c r="R271" s="381"/>
      <c r="S271" s="381"/>
    </row>
    <row r="272" spans="1:19" ht="12.75" customHeight="1">
      <c r="A272" s="381"/>
      <c r="B272" s="389">
        <v>42691</v>
      </c>
      <c r="C272" s="390">
        <v>756.4</v>
      </c>
      <c r="D272" s="393"/>
      <c r="E272" s="392">
        <f t="shared" si="0"/>
        <v>1.3275462497823076E-2</v>
      </c>
      <c r="F272" s="393"/>
      <c r="G272" s="381"/>
      <c r="H272" s="381"/>
      <c r="I272" s="381"/>
      <c r="J272" s="381"/>
      <c r="K272" s="381"/>
      <c r="L272" s="381"/>
      <c r="M272" s="381"/>
      <c r="N272" s="381"/>
      <c r="O272" s="381"/>
      <c r="P272" s="381"/>
      <c r="Q272" s="381"/>
      <c r="R272" s="381"/>
      <c r="S272" s="381"/>
    </row>
    <row r="273" spans="1:19" ht="12.75" customHeight="1">
      <c r="A273" s="381"/>
      <c r="B273" s="389">
        <v>42692</v>
      </c>
      <c r="C273" s="390">
        <v>760.16</v>
      </c>
      <c r="D273" s="393"/>
      <c r="E273" s="392">
        <f t="shared" si="0"/>
        <v>4.970914859862452E-3</v>
      </c>
      <c r="F273" s="393"/>
      <c r="G273" s="381"/>
      <c r="H273" s="381"/>
      <c r="I273" s="381"/>
      <c r="J273" s="381"/>
      <c r="K273" s="381"/>
      <c r="L273" s="381"/>
      <c r="M273" s="381"/>
      <c r="N273" s="381"/>
      <c r="O273" s="381"/>
      <c r="P273" s="381"/>
      <c r="Q273" s="381"/>
      <c r="R273" s="381"/>
      <c r="S273" s="381"/>
    </row>
    <row r="274" spans="1:19" ht="12.75" customHeight="1">
      <c r="A274" s="381"/>
      <c r="B274" s="389">
        <v>42695</v>
      </c>
      <c r="C274" s="390">
        <v>780</v>
      </c>
      <c r="D274" s="393"/>
      <c r="E274" s="392">
        <f t="shared" si="0"/>
        <v>2.6099768469795892E-2</v>
      </c>
      <c r="F274" s="393"/>
      <c r="G274" s="381"/>
      <c r="H274" s="381"/>
      <c r="I274" s="381"/>
      <c r="J274" s="381"/>
      <c r="K274" s="381"/>
      <c r="L274" s="381"/>
      <c r="M274" s="381"/>
      <c r="N274" s="381"/>
      <c r="O274" s="381"/>
      <c r="P274" s="381"/>
      <c r="Q274" s="381"/>
      <c r="R274" s="381"/>
      <c r="S274" s="381"/>
    </row>
    <row r="275" spans="1:19" ht="12.75" customHeight="1">
      <c r="A275" s="381"/>
      <c r="B275" s="389">
        <v>42696</v>
      </c>
      <c r="C275" s="390">
        <v>785.33</v>
      </c>
      <c r="D275" s="393"/>
      <c r="E275" s="392">
        <f t="shared" si="0"/>
        <v>6.8333333333334689E-3</v>
      </c>
      <c r="F275" s="393"/>
      <c r="G275" s="381"/>
      <c r="H275" s="381"/>
      <c r="I275" s="381"/>
      <c r="J275" s="381"/>
      <c r="K275" s="381"/>
      <c r="L275" s="381"/>
      <c r="M275" s="381"/>
      <c r="N275" s="381"/>
      <c r="O275" s="381"/>
      <c r="P275" s="381"/>
      <c r="Q275" s="381"/>
      <c r="R275" s="381"/>
      <c r="S275" s="381"/>
    </row>
    <row r="276" spans="1:19" ht="12.75" customHeight="1">
      <c r="A276" s="381"/>
      <c r="B276" s="389">
        <v>42697</v>
      </c>
      <c r="C276" s="390">
        <v>780.12</v>
      </c>
      <c r="D276" s="393"/>
      <c r="E276" s="392">
        <f t="shared" si="0"/>
        <v>-6.6341537952199214E-3</v>
      </c>
      <c r="F276" s="393"/>
      <c r="G276" s="381"/>
      <c r="H276" s="381"/>
      <c r="I276" s="381"/>
      <c r="J276" s="381"/>
      <c r="K276" s="381"/>
      <c r="L276" s="381"/>
      <c r="M276" s="381"/>
      <c r="N276" s="381"/>
      <c r="O276" s="381"/>
      <c r="P276" s="381"/>
      <c r="Q276" s="381"/>
      <c r="R276" s="381"/>
      <c r="S276" s="381"/>
    </row>
    <row r="277" spans="1:19" ht="12.75" customHeight="1">
      <c r="A277" s="381"/>
      <c r="B277" s="389">
        <v>42699</v>
      </c>
      <c r="C277" s="390">
        <v>780.37</v>
      </c>
      <c r="D277" s="393"/>
      <c r="E277" s="392">
        <f t="shared" si="0"/>
        <v>3.2046351843306731E-4</v>
      </c>
      <c r="F277" s="393"/>
      <c r="G277" s="381"/>
      <c r="H277" s="381"/>
      <c r="I277" s="381"/>
      <c r="J277" s="381"/>
      <c r="K277" s="381"/>
      <c r="L277" s="381"/>
      <c r="M277" s="381"/>
      <c r="N277" s="381"/>
      <c r="O277" s="381"/>
      <c r="P277" s="381"/>
      <c r="Q277" s="381"/>
      <c r="R277" s="381"/>
      <c r="S277" s="381"/>
    </row>
    <row r="278" spans="1:19" ht="12.75" customHeight="1">
      <c r="A278" s="381"/>
      <c r="B278" s="389">
        <v>42702</v>
      </c>
      <c r="C278" s="390">
        <v>766.77</v>
      </c>
      <c r="D278" s="393"/>
      <c r="E278" s="392">
        <f t="shared" si="0"/>
        <v>-1.742763048297602E-2</v>
      </c>
      <c r="F278" s="393"/>
      <c r="G278" s="381"/>
      <c r="H278" s="381"/>
      <c r="I278" s="381"/>
      <c r="J278" s="381"/>
      <c r="K278" s="381"/>
      <c r="L278" s="381"/>
      <c r="M278" s="381"/>
      <c r="N278" s="381"/>
      <c r="O278" s="381"/>
      <c r="P278" s="381"/>
      <c r="Q278" s="381"/>
      <c r="R278" s="381"/>
      <c r="S278" s="381"/>
    </row>
    <row r="279" spans="1:19" ht="12.75" customHeight="1">
      <c r="A279" s="381"/>
      <c r="B279" s="389">
        <v>42703</v>
      </c>
      <c r="C279" s="390">
        <v>762.52</v>
      </c>
      <c r="D279" s="393"/>
      <c r="E279" s="392">
        <f t="shared" si="0"/>
        <v>-5.5427311970994708E-3</v>
      </c>
      <c r="F279" s="393"/>
      <c r="G279" s="381"/>
      <c r="H279" s="381"/>
      <c r="I279" s="381"/>
      <c r="J279" s="381"/>
      <c r="K279" s="381"/>
      <c r="L279" s="381"/>
      <c r="M279" s="381"/>
      <c r="N279" s="381"/>
      <c r="O279" s="381"/>
      <c r="P279" s="381"/>
      <c r="Q279" s="381"/>
      <c r="R279" s="381"/>
      <c r="S279" s="381"/>
    </row>
    <row r="280" spans="1:19" ht="12.75" customHeight="1">
      <c r="A280" s="381"/>
      <c r="B280" s="389">
        <v>42704</v>
      </c>
      <c r="C280" s="390">
        <v>750.57</v>
      </c>
      <c r="D280" s="393"/>
      <c r="E280" s="392">
        <f t="shared" si="0"/>
        <v>-1.5671720086030461E-2</v>
      </c>
      <c r="F280" s="393"/>
      <c r="G280" s="381"/>
      <c r="H280" s="381"/>
      <c r="I280" s="381"/>
      <c r="J280" s="381"/>
      <c r="K280" s="381"/>
      <c r="L280" s="381"/>
      <c r="M280" s="381"/>
      <c r="N280" s="381"/>
      <c r="O280" s="381"/>
      <c r="P280" s="381"/>
      <c r="Q280" s="381"/>
      <c r="R280" s="381"/>
      <c r="S280" s="381"/>
    </row>
    <row r="281" spans="1:19" ht="12.75" customHeight="1">
      <c r="A281" s="381"/>
      <c r="B281" s="389">
        <v>42705</v>
      </c>
      <c r="C281" s="390">
        <v>743.65</v>
      </c>
      <c r="D281" s="393"/>
      <c r="E281" s="392">
        <f t="shared" si="0"/>
        <v>-9.2196597252756085E-3</v>
      </c>
      <c r="F281" s="393"/>
      <c r="G281" s="381"/>
      <c r="H281" s="381"/>
      <c r="I281" s="381"/>
      <c r="J281" s="381"/>
      <c r="K281" s="381"/>
      <c r="L281" s="381"/>
      <c r="M281" s="381"/>
      <c r="N281" s="381"/>
      <c r="O281" s="381"/>
      <c r="P281" s="381"/>
      <c r="Q281" s="381"/>
      <c r="R281" s="381"/>
      <c r="S281" s="381"/>
    </row>
    <row r="282" spans="1:19" ht="12.75" customHeight="1">
      <c r="A282" s="381"/>
      <c r="B282" s="389">
        <v>42706</v>
      </c>
      <c r="C282" s="390">
        <v>740.34</v>
      </c>
      <c r="D282" s="393"/>
      <c r="E282" s="392">
        <f t="shared" si="0"/>
        <v>-4.4510186243528205E-3</v>
      </c>
      <c r="F282" s="393"/>
      <c r="G282" s="381"/>
      <c r="H282" s="381"/>
      <c r="I282" s="381"/>
      <c r="J282" s="381"/>
      <c r="K282" s="381"/>
      <c r="L282" s="381"/>
      <c r="M282" s="381"/>
      <c r="N282" s="381"/>
      <c r="O282" s="381"/>
      <c r="P282" s="381"/>
      <c r="Q282" s="381"/>
      <c r="R282" s="381"/>
      <c r="S282" s="381"/>
    </row>
    <row r="283" spans="1:19" ht="12.75" customHeight="1">
      <c r="A283" s="381"/>
      <c r="B283" s="389">
        <v>42709</v>
      </c>
      <c r="C283" s="390">
        <v>759.36</v>
      </c>
      <c r="D283" s="393"/>
      <c r="E283" s="392">
        <f t="shared" si="0"/>
        <v>2.5690898776237869E-2</v>
      </c>
      <c r="F283" s="393"/>
      <c r="G283" s="381"/>
      <c r="H283" s="381"/>
      <c r="I283" s="381"/>
      <c r="J283" s="381"/>
      <c r="K283" s="381"/>
      <c r="L283" s="381"/>
      <c r="M283" s="381"/>
      <c r="N283" s="381"/>
      <c r="O283" s="381"/>
      <c r="P283" s="381"/>
      <c r="Q283" s="381"/>
      <c r="R283" s="381"/>
      <c r="S283" s="381"/>
    </row>
    <row r="284" spans="1:19" ht="12.75" customHeight="1">
      <c r="A284" s="381"/>
      <c r="B284" s="389">
        <v>42710</v>
      </c>
      <c r="C284" s="390">
        <v>764.72</v>
      </c>
      <c r="D284" s="393"/>
      <c r="E284" s="392">
        <f t="shared" si="0"/>
        <v>7.0585756426464474E-3</v>
      </c>
      <c r="F284" s="393"/>
      <c r="G284" s="381"/>
      <c r="H284" s="381"/>
      <c r="I284" s="381"/>
      <c r="J284" s="381"/>
      <c r="K284" s="381"/>
      <c r="L284" s="381"/>
      <c r="M284" s="381"/>
      <c r="N284" s="381"/>
      <c r="O284" s="381"/>
      <c r="P284" s="381"/>
      <c r="Q284" s="381"/>
      <c r="R284" s="381"/>
      <c r="S284" s="381"/>
    </row>
    <row r="285" spans="1:19" ht="12.75" customHeight="1">
      <c r="A285" s="381"/>
      <c r="B285" s="389">
        <v>42711</v>
      </c>
      <c r="C285" s="390">
        <v>770.42</v>
      </c>
      <c r="D285" s="393"/>
      <c r="E285" s="392">
        <f t="shared" si="0"/>
        <v>7.4537085469190689E-3</v>
      </c>
      <c r="F285" s="393"/>
      <c r="G285" s="381"/>
      <c r="H285" s="381"/>
      <c r="I285" s="381"/>
      <c r="J285" s="381"/>
      <c r="K285" s="381"/>
      <c r="L285" s="381"/>
      <c r="M285" s="381"/>
      <c r="N285" s="381"/>
      <c r="O285" s="381"/>
      <c r="P285" s="381"/>
      <c r="Q285" s="381"/>
      <c r="R285" s="381"/>
      <c r="S285" s="381"/>
    </row>
    <row r="286" spans="1:19" ht="12.75" customHeight="1">
      <c r="A286" s="381"/>
      <c r="B286" s="389">
        <v>42712</v>
      </c>
      <c r="C286" s="390">
        <v>767.33</v>
      </c>
      <c r="D286" s="393"/>
      <c r="E286" s="392">
        <f t="shared" si="0"/>
        <v>-4.010799304275503E-3</v>
      </c>
      <c r="F286" s="393"/>
      <c r="G286" s="381"/>
      <c r="H286" s="381"/>
      <c r="I286" s="381"/>
      <c r="J286" s="381"/>
      <c r="K286" s="381"/>
      <c r="L286" s="381"/>
      <c r="M286" s="381"/>
      <c r="N286" s="381"/>
      <c r="O286" s="381"/>
      <c r="P286" s="381"/>
      <c r="Q286" s="381"/>
      <c r="R286" s="381"/>
      <c r="S286" s="381"/>
    </row>
    <row r="287" spans="1:19" ht="12.75" customHeight="1">
      <c r="A287" s="381"/>
      <c r="B287" s="389">
        <v>42713</v>
      </c>
      <c r="C287" s="390">
        <v>768.66</v>
      </c>
      <c r="D287" s="393"/>
      <c r="E287" s="392">
        <f t="shared" si="0"/>
        <v>1.7332829421499163E-3</v>
      </c>
      <c r="F287" s="393"/>
      <c r="G287" s="381"/>
      <c r="H287" s="381"/>
      <c r="I287" s="381"/>
      <c r="J287" s="381"/>
      <c r="K287" s="381"/>
      <c r="L287" s="381"/>
      <c r="M287" s="381"/>
      <c r="N287" s="381"/>
      <c r="O287" s="381"/>
      <c r="P287" s="381"/>
      <c r="Q287" s="381"/>
      <c r="R287" s="381"/>
      <c r="S287" s="381"/>
    </row>
    <row r="288" spans="1:19" ht="12.75" customHeight="1">
      <c r="A288" s="381"/>
      <c r="B288" s="389">
        <v>42716</v>
      </c>
      <c r="C288" s="390">
        <v>760.12</v>
      </c>
      <c r="D288" s="393"/>
      <c r="E288" s="392">
        <f t="shared" si="0"/>
        <v>-1.1110243800900199E-2</v>
      </c>
      <c r="F288" s="393"/>
      <c r="G288" s="381"/>
      <c r="H288" s="381"/>
      <c r="I288" s="381"/>
      <c r="J288" s="381"/>
      <c r="K288" s="381"/>
      <c r="L288" s="381"/>
      <c r="M288" s="381"/>
      <c r="N288" s="381"/>
      <c r="O288" s="381"/>
      <c r="P288" s="381"/>
      <c r="Q288" s="381"/>
      <c r="R288" s="381"/>
      <c r="S288" s="381"/>
    </row>
    <row r="289" spans="1:19" ht="12.75" customHeight="1">
      <c r="A289" s="381"/>
      <c r="B289" s="389">
        <v>42717</v>
      </c>
      <c r="C289" s="390">
        <v>774.34</v>
      </c>
      <c r="D289" s="393"/>
      <c r="E289" s="392">
        <f t="shared" si="0"/>
        <v>1.8707572488554369E-2</v>
      </c>
      <c r="F289" s="393"/>
      <c r="G289" s="381"/>
      <c r="H289" s="381"/>
      <c r="I289" s="381"/>
      <c r="J289" s="381"/>
      <c r="K289" s="381"/>
      <c r="L289" s="381"/>
      <c r="M289" s="381"/>
      <c r="N289" s="381"/>
      <c r="O289" s="381"/>
      <c r="P289" s="381"/>
      <c r="Q289" s="381"/>
      <c r="R289" s="381"/>
      <c r="S289" s="381"/>
    </row>
    <row r="290" spans="1:19" ht="12.75" customHeight="1">
      <c r="A290" s="381"/>
      <c r="B290" s="389">
        <v>42718</v>
      </c>
      <c r="C290" s="390">
        <v>768.82</v>
      </c>
      <c r="D290" s="393"/>
      <c r="E290" s="392">
        <f t="shared" si="0"/>
        <v>-7.1286514967584536E-3</v>
      </c>
      <c r="F290" s="393"/>
      <c r="G290" s="381"/>
      <c r="H290" s="381"/>
      <c r="I290" s="381"/>
      <c r="J290" s="381"/>
      <c r="K290" s="381"/>
      <c r="L290" s="381"/>
      <c r="M290" s="381"/>
      <c r="N290" s="381"/>
      <c r="O290" s="381"/>
      <c r="P290" s="381"/>
      <c r="Q290" s="381"/>
      <c r="R290" s="381"/>
      <c r="S290" s="381"/>
    </row>
    <row r="291" spans="1:19" ht="12.75" customHeight="1">
      <c r="A291" s="381"/>
      <c r="B291" s="389">
        <v>42719</v>
      </c>
      <c r="C291" s="390">
        <v>761</v>
      </c>
      <c r="D291" s="393"/>
      <c r="E291" s="392">
        <f t="shared" si="0"/>
        <v>-1.0171431544444776E-2</v>
      </c>
      <c r="F291" s="393"/>
      <c r="G291" s="381"/>
      <c r="H291" s="381"/>
      <c r="I291" s="381"/>
      <c r="J291" s="381"/>
      <c r="K291" s="381"/>
      <c r="L291" s="381"/>
      <c r="M291" s="381"/>
      <c r="N291" s="381"/>
      <c r="O291" s="381"/>
      <c r="P291" s="381"/>
      <c r="Q291" s="381"/>
      <c r="R291" s="381"/>
      <c r="S291" s="381"/>
    </row>
    <row r="292" spans="1:19" ht="12.75" customHeight="1">
      <c r="A292" s="381"/>
      <c r="B292" s="389">
        <v>42720</v>
      </c>
      <c r="C292" s="390">
        <v>757.77</v>
      </c>
      <c r="D292" s="393"/>
      <c r="E292" s="392">
        <f t="shared" si="0"/>
        <v>-4.2444152431011517E-3</v>
      </c>
      <c r="F292" s="393"/>
      <c r="G292" s="381"/>
      <c r="H292" s="381"/>
      <c r="I292" s="381"/>
      <c r="J292" s="381"/>
      <c r="K292" s="381"/>
      <c r="L292" s="381"/>
      <c r="M292" s="381"/>
      <c r="N292" s="381"/>
      <c r="O292" s="381"/>
      <c r="P292" s="381"/>
      <c r="Q292" s="381"/>
      <c r="R292" s="381"/>
      <c r="S292" s="381"/>
    </row>
    <row r="293" spans="1:19" ht="12.75" customHeight="1">
      <c r="A293" s="381"/>
      <c r="B293" s="389">
        <v>42723</v>
      </c>
      <c r="C293" s="390">
        <v>766</v>
      </c>
      <c r="D293" s="393"/>
      <c r="E293" s="392">
        <f t="shared" si="0"/>
        <v>1.0860815286960479E-2</v>
      </c>
      <c r="F293" s="393"/>
      <c r="G293" s="381"/>
      <c r="H293" s="381"/>
      <c r="I293" s="381"/>
      <c r="J293" s="381"/>
      <c r="K293" s="381"/>
      <c r="L293" s="381"/>
      <c r="M293" s="381"/>
      <c r="N293" s="381"/>
      <c r="O293" s="381"/>
      <c r="P293" s="381"/>
      <c r="Q293" s="381"/>
      <c r="R293" s="381"/>
      <c r="S293" s="381"/>
    </row>
    <row r="294" spans="1:19" ht="12.75" customHeight="1">
      <c r="A294" s="381"/>
      <c r="B294" s="389">
        <v>42724</v>
      </c>
      <c r="C294" s="390">
        <v>771.22</v>
      </c>
      <c r="D294" s="393"/>
      <c r="E294" s="392">
        <f t="shared" si="0"/>
        <v>6.8146214099216174E-3</v>
      </c>
      <c r="F294" s="393"/>
      <c r="G294" s="381"/>
      <c r="H294" s="381"/>
      <c r="I294" s="381"/>
      <c r="J294" s="381"/>
      <c r="K294" s="381"/>
      <c r="L294" s="381"/>
      <c r="M294" s="381"/>
      <c r="N294" s="381"/>
      <c r="O294" s="381"/>
      <c r="P294" s="381"/>
      <c r="Q294" s="381"/>
      <c r="R294" s="381"/>
      <c r="S294" s="381"/>
    </row>
    <row r="295" spans="1:19" ht="12.75" customHeight="1">
      <c r="A295" s="381"/>
      <c r="B295" s="389">
        <v>42725</v>
      </c>
      <c r="C295" s="390">
        <v>770.6</v>
      </c>
      <c r="D295" s="393"/>
      <c r="E295" s="392">
        <f t="shared" si="0"/>
        <v>-8.0392106013849052E-4</v>
      </c>
      <c r="F295" s="393"/>
      <c r="G295" s="381"/>
      <c r="H295" s="381"/>
      <c r="I295" s="381"/>
      <c r="J295" s="381"/>
      <c r="K295" s="381"/>
      <c r="L295" s="381"/>
      <c r="M295" s="381"/>
      <c r="N295" s="381"/>
      <c r="O295" s="381"/>
      <c r="P295" s="381"/>
      <c r="Q295" s="381"/>
      <c r="R295" s="381"/>
      <c r="S295" s="381"/>
    </row>
    <row r="296" spans="1:19" ht="12.75" customHeight="1">
      <c r="A296" s="381"/>
      <c r="B296" s="389">
        <v>42726</v>
      </c>
      <c r="C296" s="390">
        <v>766.34</v>
      </c>
      <c r="D296" s="393"/>
      <c r="E296" s="392">
        <f t="shared" si="0"/>
        <v>-5.5281598754217676E-3</v>
      </c>
      <c r="F296" s="393"/>
      <c r="G296" s="381"/>
      <c r="H296" s="381"/>
      <c r="I296" s="381"/>
      <c r="J296" s="381"/>
      <c r="K296" s="381"/>
      <c r="L296" s="381"/>
      <c r="M296" s="381"/>
      <c r="N296" s="381"/>
      <c r="O296" s="381"/>
      <c r="P296" s="381"/>
      <c r="Q296" s="381"/>
      <c r="R296" s="381"/>
      <c r="S296" s="381"/>
    </row>
    <row r="297" spans="1:19" ht="12.75" customHeight="1">
      <c r="A297" s="381"/>
      <c r="B297" s="389">
        <v>42727</v>
      </c>
      <c r="C297" s="390">
        <v>760.59</v>
      </c>
      <c r="D297" s="393"/>
      <c r="E297" s="392">
        <f t="shared" si="0"/>
        <v>-7.5031970143800697E-3</v>
      </c>
      <c r="F297" s="393"/>
      <c r="G297" s="381"/>
      <c r="H297" s="381"/>
      <c r="I297" s="381"/>
      <c r="J297" s="381"/>
      <c r="K297" s="381"/>
      <c r="L297" s="381"/>
      <c r="M297" s="381"/>
      <c r="N297" s="381"/>
      <c r="O297" s="381"/>
      <c r="P297" s="381"/>
      <c r="Q297" s="381"/>
      <c r="R297" s="381"/>
      <c r="S297" s="381"/>
    </row>
    <row r="298" spans="1:19" ht="12.75" customHeight="1">
      <c r="A298" s="381"/>
      <c r="B298" s="389">
        <v>42731</v>
      </c>
      <c r="C298" s="390">
        <v>771.4</v>
      </c>
      <c r="D298" s="393"/>
      <c r="E298" s="392">
        <f t="shared" si="0"/>
        <v>1.4212650705373475E-2</v>
      </c>
      <c r="F298" s="393"/>
      <c r="G298" s="381"/>
      <c r="H298" s="381"/>
      <c r="I298" s="381"/>
      <c r="J298" s="381"/>
      <c r="K298" s="381"/>
      <c r="L298" s="381"/>
      <c r="M298" s="381"/>
      <c r="N298" s="381"/>
      <c r="O298" s="381"/>
      <c r="P298" s="381"/>
      <c r="Q298" s="381"/>
      <c r="R298" s="381"/>
      <c r="S298" s="381"/>
    </row>
    <row r="299" spans="1:19" ht="12.75" customHeight="1">
      <c r="A299" s="381"/>
      <c r="B299" s="389">
        <v>42732</v>
      </c>
      <c r="C299" s="390">
        <v>772.13</v>
      </c>
      <c r="D299" s="393"/>
      <c r="E299" s="392">
        <f t="shared" si="0"/>
        <v>9.4633134560551113E-4</v>
      </c>
      <c r="F299" s="393"/>
      <c r="G299" s="381"/>
      <c r="H299" s="381"/>
      <c r="I299" s="381"/>
      <c r="J299" s="381"/>
      <c r="K299" s="381"/>
      <c r="L299" s="381"/>
      <c r="M299" s="381"/>
      <c r="N299" s="381"/>
      <c r="O299" s="381"/>
      <c r="P299" s="381"/>
      <c r="Q299" s="381"/>
      <c r="R299" s="381"/>
      <c r="S299" s="381"/>
    </row>
    <row r="300" spans="1:19" ht="12.75" customHeight="1">
      <c r="A300" s="381"/>
      <c r="B300" s="389">
        <v>42733</v>
      </c>
      <c r="C300" s="390">
        <v>765.15</v>
      </c>
      <c r="D300" s="393"/>
      <c r="E300" s="392">
        <f t="shared" si="0"/>
        <v>-9.0399285094479032E-3</v>
      </c>
      <c r="F300" s="393"/>
      <c r="G300" s="381"/>
      <c r="H300" s="381"/>
      <c r="I300" s="381"/>
      <c r="J300" s="381"/>
      <c r="K300" s="381"/>
      <c r="L300" s="381"/>
      <c r="M300" s="381"/>
      <c r="N300" s="381"/>
      <c r="O300" s="381"/>
      <c r="P300" s="381"/>
      <c r="Q300" s="381"/>
      <c r="R300" s="381"/>
      <c r="S300" s="381"/>
    </row>
    <row r="301" spans="1:19" ht="12.75" customHeight="1">
      <c r="A301" s="381"/>
      <c r="B301" s="389">
        <v>42734</v>
      </c>
      <c r="C301" s="390">
        <v>749.87</v>
      </c>
      <c r="D301" s="393"/>
      <c r="E301" s="392">
        <f t="shared" si="0"/>
        <v>-1.9969940534535713E-2</v>
      </c>
      <c r="F301" s="393"/>
      <c r="G301" s="381"/>
      <c r="H301" s="381"/>
      <c r="I301" s="381"/>
      <c r="J301" s="381"/>
      <c r="K301" s="381"/>
      <c r="L301" s="381"/>
      <c r="M301" s="381"/>
      <c r="N301" s="381"/>
      <c r="O301" s="381"/>
      <c r="P301" s="381"/>
      <c r="Q301" s="381"/>
      <c r="R301" s="381"/>
      <c r="S301" s="381"/>
    </row>
    <row r="302" spans="1:19" ht="12.75" customHeight="1">
      <c r="A302" s="381"/>
      <c r="B302" s="389">
        <v>42738</v>
      </c>
      <c r="C302" s="390">
        <v>753.67</v>
      </c>
      <c r="D302" s="393"/>
      <c r="E302" s="392">
        <f t="shared" si="0"/>
        <v>5.0675450411403755E-3</v>
      </c>
      <c r="F302" s="393"/>
      <c r="G302" s="381"/>
      <c r="H302" s="381"/>
      <c r="I302" s="381"/>
      <c r="J302" s="381"/>
      <c r="K302" s="381"/>
      <c r="L302" s="381"/>
      <c r="M302" s="381"/>
      <c r="N302" s="381"/>
      <c r="O302" s="381"/>
      <c r="P302" s="381"/>
      <c r="Q302" s="381"/>
      <c r="R302" s="381"/>
      <c r="S302" s="381"/>
    </row>
    <row r="303" spans="1:19" ht="12.75" customHeight="1">
      <c r="A303" s="381"/>
      <c r="B303" s="389">
        <v>42739</v>
      </c>
      <c r="C303" s="390">
        <v>757.18</v>
      </c>
      <c r="D303" s="393"/>
      <c r="E303" s="392">
        <f t="shared" si="0"/>
        <v>4.6572107155651299E-3</v>
      </c>
      <c r="F303" s="393"/>
      <c r="G303" s="381"/>
      <c r="H303" s="381"/>
      <c r="I303" s="381"/>
      <c r="J303" s="381"/>
      <c r="K303" s="381"/>
      <c r="L303" s="381"/>
      <c r="M303" s="381"/>
      <c r="N303" s="381"/>
      <c r="O303" s="381"/>
      <c r="P303" s="381"/>
      <c r="Q303" s="381"/>
      <c r="R303" s="381"/>
      <c r="S303" s="381"/>
    </row>
    <row r="304" spans="1:19" ht="12.75" customHeight="1">
      <c r="A304" s="381"/>
      <c r="B304" s="389">
        <v>42740</v>
      </c>
      <c r="C304" s="390">
        <v>780.45</v>
      </c>
      <c r="D304" s="393"/>
      <c r="E304" s="392">
        <f t="shared" si="0"/>
        <v>3.0732454634301076E-2</v>
      </c>
      <c r="F304" s="393"/>
      <c r="G304" s="381"/>
      <c r="H304" s="381"/>
      <c r="I304" s="381"/>
      <c r="J304" s="381"/>
      <c r="K304" s="381"/>
      <c r="L304" s="381"/>
      <c r="M304" s="381"/>
      <c r="N304" s="381"/>
      <c r="O304" s="381"/>
      <c r="P304" s="381"/>
      <c r="Q304" s="381"/>
      <c r="R304" s="381"/>
      <c r="S304" s="381"/>
    </row>
    <row r="305" spans="1:19" ht="12.75" customHeight="1">
      <c r="A305" s="381"/>
      <c r="B305" s="389">
        <v>42741</v>
      </c>
      <c r="C305" s="390">
        <v>795.99</v>
      </c>
      <c r="D305" s="393"/>
      <c r="E305" s="392">
        <f t="shared" si="0"/>
        <v>1.9911589467614732E-2</v>
      </c>
      <c r="F305" s="393"/>
      <c r="G305" s="381"/>
      <c r="H305" s="381"/>
      <c r="I305" s="381"/>
      <c r="J305" s="381"/>
      <c r="K305" s="381"/>
      <c r="L305" s="381"/>
      <c r="M305" s="381"/>
      <c r="N305" s="381"/>
      <c r="O305" s="381"/>
      <c r="P305" s="381"/>
      <c r="Q305" s="381"/>
      <c r="R305" s="381"/>
      <c r="S305" s="381"/>
    </row>
    <row r="306" spans="1:19" ht="12.75" customHeight="1">
      <c r="A306" s="381"/>
      <c r="B306" s="389">
        <v>42744</v>
      </c>
      <c r="C306" s="390">
        <v>796.92</v>
      </c>
      <c r="D306" s="393"/>
      <c r="E306" s="392">
        <f t="shared" si="0"/>
        <v>1.1683563863866819E-3</v>
      </c>
      <c r="F306" s="393"/>
      <c r="G306" s="381"/>
      <c r="H306" s="381"/>
      <c r="I306" s="381"/>
      <c r="J306" s="381"/>
      <c r="K306" s="381"/>
      <c r="L306" s="381"/>
      <c r="M306" s="381"/>
      <c r="N306" s="381"/>
      <c r="O306" s="381"/>
      <c r="P306" s="381"/>
      <c r="Q306" s="381"/>
      <c r="R306" s="381"/>
      <c r="S306" s="381"/>
    </row>
    <row r="307" spans="1:19" ht="12.75" customHeight="1">
      <c r="A307" s="381"/>
      <c r="B307" s="389">
        <v>42745</v>
      </c>
      <c r="C307" s="390">
        <v>795.9</v>
      </c>
      <c r="D307" s="393"/>
      <c r="E307" s="392">
        <f t="shared" si="0"/>
        <v>-1.2799277217285798E-3</v>
      </c>
      <c r="F307" s="393"/>
      <c r="G307" s="381"/>
      <c r="H307" s="381"/>
      <c r="I307" s="381"/>
      <c r="J307" s="381"/>
      <c r="K307" s="381"/>
      <c r="L307" s="381"/>
      <c r="M307" s="381"/>
      <c r="N307" s="381"/>
      <c r="O307" s="381"/>
      <c r="P307" s="381"/>
      <c r="Q307" s="381"/>
      <c r="R307" s="381"/>
      <c r="S307" s="381"/>
    </row>
    <row r="308" spans="1:19" ht="12.75" customHeight="1">
      <c r="A308" s="381"/>
      <c r="B308" s="389">
        <v>42746</v>
      </c>
      <c r="C308" s="390">
        <v>799.02</v>
      </c>
      <c r="D308" s="393"/>
      <c r="E308" s="392">
        <f t="shared" si="0"/>
        <v>3.9200904636260692E-3</v>
      </c>
      <c r="F308" s="393"/>
      <c r="G308" s="381"/>
      <c r="H308" s="381"/>
      <c r="I308" s="381"/>
      <c r="J308" s="381"/>
      <c r="K308" s="381"/>
      <c r="L308" s="381"/>
      <c r="M308" s="381"/>
      <c r="N308" s="381"/>
      <c r="O308" s="381"/>
      <c r="P308" s="381"/>
      <c r="Q308" s="381"/>
      <c r="R308" s="381"/>
      <c r="S308" s="381"/>
    </row>
    <row r="309" spans="1:19" ht="12.75" customHeight="1">
      <c r="A309" s="381"/>
      <c r="B309" s="389">
        <v>42747</v>
      </c>
      <c r="C309" s="390">
        <v>813.64</v>
      </c>
      <c r="D309" s="393"/>
      <c r="E309" s="392">
        <f t="shared" si="0"/>
        <v>1.8297414332557382E-2</v>
      </c>
      <c r="F309" s="393"/>
      <c r="G309" s="381"/>
      <c r="H309" s="381"/>
      <c r="I309" s="381"/>
      <c r="J309" s="381"/>
      <c r="K309" s="381"/>
      <c r="L309" s="381"/>
      <c r="M309" s="381"/>
      <c r="N309" s="381"/>
      <c r="O309" s="381"/>
      <c r="P309" s="381"/>
      <c r="Q309" s="381"/>
      <c r="R309" s="381"/>
      <c r="S309" s="381"/>
    </row>
    <row r="310" spans="1:19" ht="12.75" customHeight="1">
      <c r="A310" s="381"/>
      <c r="B310" s="389">
        <v>42748</v>
      </c>
      <c r="C310" s="390">
        <v>817.14</v>
      </c>
      <c r="D310" s="393"/>
      <c r="E310" s="392">
        <f t="shared" si="0"/>
        <v>4.3016567523721516E-3</v>
      </c>
      <c r="F310" s="393"/>
      <c r="G310" s="381"/>
      <c r="H310" s="381"/>
      <c r="I310" s="381"/>
      <c r="J310" s="381"/>
      <c r="K310" s="381"/>
      <c r="L310" s="381"/>
      <c r="M310" s="381"/>
      <c r="N310" s="381"/>
      <c r="O310" s="381"/>
      <c r="P310" s="381"/>
      <c r="Q310" s="381"/>
      <c r="R310" s="381"/>
      <c r="S310" s="381"/>
    </row>
    <row r="311" spans="1:19" ht="12.75" customHeight="1">
      <c r="A311" s="381"/>
      <c r="B311" s="389">
        <v>42752</v>
      </c>
      <c r="C311" s="390">
        <v>809.72</v>
      </c>
      <c r="D311" s="393"/>
      <c r="E311" s="392">
        <f t="shared" si="0"/>
        <v>-9.0804513302493728E-3</v>
      </c>
      <c r="F311" s="393"/>
      <c r="G311" s="381"/>
      <c r="H311" s="381"/>
      <c r="I311" s="381"/>
      <c r="J311" s="381"/>
      <c r="K311" s="381"/>
      <c r="L311" s="381"/>
      <c r="M311" s="381"/>
      <c r="N311" s="381"/>
      <c r="O311" s="381"/>
      <c r="P311" s="381"/>
      <c r="Q311" s="381"/>
      <c r="R311" s="381"/>
      <c r="S311" s="381"/>
    </row>
    <row r="312" spans="1:19" ht="12.75" customHeight="1">
      <c r="A312" s="381"/>
      <c r="B312" s="389">
        <v>42753</v>
      </c>
      <c r="C312" s="390">
        <v>807.48</v>
      </c>
      <c r="D312" s="393"/>
      <c r="E312" s="392">
        <f t="shared" si="0"/>
        <v>-2.7663883811688272E-3</v>
      </c>
      <c r="F312" s="393"/>
      <c r="G312" s="381"/>
      <c r="H312" s="381"/>
      <c r="I312" s="381"/>
      <c r="J312" s="381"/>
      <c r="K312" s="381"/>
      <c r="L312" s="381"/>
      <c r="M312" s="381"/>
      <c r="N312" s="381"/>
      <c r="O312" s="381"/>
      <c r="P312" s="381"/>
      <c r="Q312" s="381"/>
      <c r="R312" s="381"/>
      <c r="S312" s="381"/>
    </row>
    <row r="313" spans="1:19" ht="12.75" customHeight="1">
      <c r="A313" s="381"/>
      <c r="B313" s="389">
        <v>42754</v>
      </c>
      <c r="C313" s="390">
        <v>809.04</v>
      </c>
      <c r="D313" s="393"/>
      <c r="E313" s="392">
        <f t="shared" si="0"/>
        <v>1.9319363947094548E-3</v>
      </c>
      <c r="F313" s="393"/>
      <c r="G313" s="381"/>
      <c r="H313" s="381"/>
      <c r="I313" s="381"/>
      <c r="J313" s="381"/>
      <c r="K313" s="381"/>
      <c r="L313" s="381"/>
      <c r="M313" s="381"/>
      <c r="N313" s="381"/>
      <c r="O313" s="381"/>
      <c r="P313" s="381"/>
      <c r="Q313" s="381"/>
      <c r="R313" s="381"/>
      <c r="S313" s="381"/>
    </row>
    <row r="314" spans="1:19" ht="12.75" customHeight="1">
      <c r="A314" s="381"/>
      <c r="B314" s="389">
        <v>42755</v>
      </c>
      <c r="C314" s="390">
        <v>808.33</v>
      </c>
      <c r="D314" s="393"/>
      <c r="E314" s="392">
        <f t="shared" si="0"/>
        <v>-8.7758330861253953E-4</v>
      </c>
      <c r="F314" s="393"/>
      <c r="G314" s="381"/>
      <c r="H314" s="381"/>
      <c r="I314" s="381"/>
      <c r="J314" s="381"/>
      <c r="K314" s="381"/>
      <c r="L314" s="381"/>
      <c r="M314" s="381"/>
      <c r="N314" s="381"/>
      <c r="O314" s="381"/>
      <c r="P314" s="381"/>
      <c r="Q314" s="381"/>
      <c r="R314" s="381"/>
      <c r="S314" s="381"/>
    </row>
    <row r="315" spans="1:19" ht="12.75" customHeight="1">
      <c r="A315" s="381"/>
      <c r="B315" s="389">
        <v>42758</v>
      </c>
      <c r="C315" s="390">
        <v>817.88</v>
      </c>
      <c r="D315" s="393"/>
      <c r="E315" s="392">
        <f t="shared" si="0"/>
        <v>1.1814481709202962E-2</v>
      </c>
      <c r="F315" s="393"/>
      <c r="G315" s="381"/>
      <c r="H315" s="381"/>
      <c r="I315" s="381"/>
      <c r="J315" s="381"/>
      <c r="K315" s="381"/>
      <c r="L315" s="381"/>
      <c r="M315" s="381"/>
      <c r="N315" s="381"/>
      <c r="O315" s="381"/>
      <c r="P315" s="381"/>
      <c r="Q315" s="381"/>
      <c r="R315" s="381"/>
      <c r="S315" s="381"/>
    </row>
    <row r="316" spans="1:19" ht="12.75" customHeight="1">
      <c r="A316" s="381"/>
      <c r="B316" s="389">
        <v>42759</v>
      </c>
      <c r="C316" s="390">
        <v>822.44</v>
      </c>
      <c r="D316" s="393"/>
      <c r="E316" s="392">
        <f t="shared" si="0"/>
        <v>5.5753900327677464E-3</v>
      </c>
      <c r="F316" s="393"/>
      <c r="G316" s="381"/>
      <c r="H316" s="381"/>
      <c r="I316" s="381"/>
      <c r="J316" s="381"/>
      <c r="K316" s="381"/>
      <c r="L316" s="381"/>
      <c r="M316" s="381"/>
      <c r="N316" s="381"/>
      <c r="O316" s="381"/>
      <c r="P316" s="381"/>
      <c r="Q316" s="381"/>
      <c r="R316" s="381"/>
      <c r="S316" s="381"/>
    </row>
    <row r="317" spans="1:19" ht="12.75" customHeight="1">
      <c r="A317" s="381"/>
      <c r="B317" s="389">
        <v>42760</v>
      </c>
      <c r="C317" s="390">
        <v>836.52</v>
      </c>
      <c r="D317" s="393"/>
      <c r="E317" s="392">
        <f t="shared" si="0"/>
        <v>1.7119789893487614E-2</v>
      </c>
      <c r="F317" s="393"/>
      <c r="G317" s="381"/>
      <c r="H317" s="381"/>
      <c r="I317" s="381"/>
      <c r="J317" s="381"/>
      <c r="K317" s="381"/>
      <c r="L317" s="381"/>
      <c r="M317" s="381"/>
      <c r="N317" s="381"/>
      <c r="O317" s="381"/>
      <c r="P317" s="381"/>
      <c r="Q317" s="381"/>
      <c r="R317" s="381"/>
      <c r="S317" s="381"/>
    </row>
    <row r="318" spans="1:19" ht="12.75" customHeight="1">
      <c r="A318" s="381"/>
      <c r="B318" s="389">
        <v>42761</v>
      </c>
      <c r="C318" s="390">
        <v>839.15</v>
      </c>
      <c r="D318" s="393"/>
      <c r="E318" s="392">
        <f t="shared" si="0"/>
        <v>3.1439774303065882E-3</v>
      </c>
      <c r="F318" s="393"/>
      <c r="G318" s="381"/>
      <c r="H318" s="381"/>
      <c r="I318" s="381"/>
      <c r="J318" s="381"/>
      <c r="K318" s="381"/>
      <c r="L318" s="381"/>
      <c r="M318" s="381"/>
      <c r="N318" s="381"/>
      <c r="O318" s="381"/>
      <c r="P318" s="381"/>
      <c r="Q318" s="381"/>
      <c r="R318" s="381"/>
      <c r="S318" s="381"/>
    </row>
    <row r="319" spans="1:19" ht="12.75" customHeight="1">
      <c r="A319" s="381"/>
      <c r="B319" s="389">
        <v>42762</v>
      </c>
      <c r="C319" s="390">
        <v>835.77</v>
      </c>
      <c r="D319" s="393"/>
      <c r="E319" s="392">
        <f t="shared" si="0"/>
        <v>-4.0278853601859455E-3</v>
      </c>
      <c r="F319" s="393"/>
      <c r="G319" s="381"/>
      <c r="H319" s="381"/>
      <c r="I319" s="381"/>
      <c r="J319" s="381"/>
      <c r="K319" s="381"/>
      <c r="L319" s="381"/>
      <c r="M319" s="381"/>
      <c r="N319" s="381"/>
      <c r="O319" s="381"/>
      <c r="P319" s="381"/>
      <c r="Q319" s="381"/>
      <c r="R319" s="381"/>
      <c r="S319" s="381"/>
    </row>
    <row r="320" spans="1:19" ht="12.75" customHeight="1">
      <c r="A320" s="381"/>
      <c r="B320" s="389">
        <v>42765</v>
      </c>
      <c r="C320" s="390">
        <v>830.38</v>
      </c>
      <c r="D320" s="393"/>
      <c r="E320" s="392">
        <f t="shared" si="0"/>
        <v>-6.4491427067254747E-3</v>
      </c>
      <c r="F320" s="393"/>
      <c r="G320" s="381"/>
      <c r="H320" s="381"/>
      <c r="I320" s="381"/>
      <c r="J320" s="381"/>
      <c r="K320" s="381"/>
      <c r="L320" s="381"/>
      <c r="M320" s="381"/>
      <c r="N320" s="381"/>
      <c r="O320" s="381"/>
      <c r="P320" s="381"/>
      <c r="Q320" s="381"/>
      <c r="R320" s="381"/>
      <c r="S320" s="381"/>
    </row>
    <row r="321" spans="1:19" ht="12.75" customHeight="1">
      <c r="A321" s="381"/>
      <c r="B321" s="389">
        <v>42766</v>
      </c>
      <c r="C321" s="390">
        <v>823.48</v>
      </c>
      <c r="D321" s="393"/>
      <c r="E321" s="392">
        <f t="shared" si="0"/>
        <v>-8.3094486861436945E-3</v>
      </c>
      <c r="F321" s="393"/>
      <c r="G321" s="381"/>
      <c r="H321" s="381"/>
      <c r="I321" s="381"/>
      <c r="J321" s="381"/>
      <c r="K321" s="381"/>
      <c r="L321" s="381"/>
      <c r="M321" s="381"/>
      <c r="N321" s="381"/>
      <c r="O321" s="381"/>
      <c r="P321" s="381"/>
      <c r="Q321" s="381"/>
      <c r="R321" s="381"/>
      <c r="S321" s="381"/>
    </row>
    <row r="322" spans="1:19" ht="12.75" customHeight="1">
      <c r="A322" s="381"/>
      <c r="B322" s="389">
        <v>42767</v>
      </c>
      <c r="C322" s="390">
        <v>832.35</v>
      </c>
      <c r="D322" s="393"/>
      <c r="E322" s="392">
        <f t="shared" si="0"/>
        <v>1.0771360567348287E-2</v>
      </c>
      <c r="F322" s="393"/>
      <c r="G322" s="381"/>
      <c r="H322" s="381"/>
      <c r="I322" s="381"/>
      <c r="J322" s="381"/>
      <c r="K322" s="381"/>
      <c r="L322" s="381"/>
      <c r="M322" s="381"/>
      <c r="N322" s="381"/>
      <c r="O322" s="381"/>
      <c r="P322" s="381"/>
      <c r="Q322" s="381"/>
      <c r="R322" s="381"/>
      <c r="S322" s="381"/>
    </row>
    <row r="323" spans="1:19" ht="12.75" customHeight="1">
      <c r="A323" s="381"/>
      <c r="B323" s="389">
        <v>42768</v>
      </c>
      <c r="C323" s="390">
        <v>839.95</v>
      </c>
      <c r="D323" s="393"/>
      <c r="E323" s="392">
        <f t="shared" si="0"/>
        <v>9.1307743136901376E-3</v>
      </c>
      <c r="F323" s="393"/>
      <c r="G323" s="381"/>
      <c r="H323" s="381"/>
      <c r="I323" s="381"/>
      <c r="J323" s="381"/>
      <c r="K323" s="381"/>
      <c r="L323" s="381"/>
      <c r="M323" s="381"/>
      <c r="N323" s="381"/>
      <c r="O323" s="381"/>
      <c r="P323" s="381"/>
      <c r="Q323" s="381"/>
      <c r="R323" s="381"/>
      <c r="S323" s="381"/>
    </row>
    <row r="324" spans="1:19" ht="12.75" customHeight="1">
      <c r="A324" s="381"/>
      <c r="B324" s="389">
        <v>42769</v>
      </c>
      <c r="C324" s="390">
        <v>810.2</v>
      </c>
      <c r="D324" s="393"/>
      <c r="E324" s="392">
        <f t="shared" si="0"/>
        <v>-3.5418774927079011E-2</v>
      </c>
      <c r="F324" s="393"/>
      <c r="G324" s="381"/>
      <c r="H324" s="381"/>
      <c r="I324" s="381"/>
      <c r="J324" s="381"/>
      <c r="K324" s="381"/>
      <c r="L324" s="381"/>
      <c r="M324" s="381"/>
      <c r="N324" s="381"/>
      <c r="O324" s="381"/>
      <c r="P324" s="381"/>
      <c r="Q324" s="381"/>
      <c r="R324" s="381"/>
      <c r="S324" s="381"/>
    </row>
    <row r="325" spans="1:19" ht="12.75" customHeight="1">
      <c r="A325" s="381"/>
      <c r="B325" s="389">
        <v>42772</v>
      </c>
      <c r="C325" s="390">
        <v>807.64</v>
      </c>
      <c r="D325" s="393"/>
      <c r="E325" s="392">
        <f t="shared" si="0"/>
        <v>-3.1597136509504686E-3</v>
      </c>
      <c r="F325" s="393"/>
      <c r="G325" s="381"/>
      <c r="H325" s="381"/>
      <c r="I325" s="381"/>
      <c r="J325" s="381"/>
      <c r="K325" s="381"/>
      <c r="L325" s="381"/>
      <c r="M325" s="381"/>
      <c r="N325" s="381"/>
      <c r="O325" s="381"/>
      <c r="P325" s="381"/>
      <c r="Q325" s="381"/>
      <c r="R325" s="381"/>
      <c r="S325" s="381"/>
    </row>
    <row r="326" spans="1:19" ht="12.75" customHeight="1">
      <c r="A326" s="381"/>
      <c r="B326" s="389">
        <v>42773</v>
      </c>
      <c r="C326" s="390">
        <v>812.5</v>
      </c>
      <c r="D326" s="393"/>
      <c r="E326" s="392">
        <f t="shared" si="0"/>
        <v>6.0175325640137167E-3</v>
      </c>
      <c r="F326" s="393"/>
      <c r="G326" s="381"/>
      <c r="H326" s="381"/>
      <c r="I326" s="381"/>
      <c r="J326" s="381"/>
      <c r="K326" s="381"/>
      <c r="L326" s="381"/>
      <c r="M326" s="381"/>
      <c r="N326" s="381"/>
      <c r="O326" s="381"/>
      <c r="P326" s="381"/>
      <c r="Q326" s="381"/>
      <c r="R326" s="381"/>
      <c r="S326" s="381"/>
    </row>
    <row r="327" spans="1:19" ht="12.75" customHeight="1">
      <c r="A327" s="381"/>
      <c r="B327" s="389">
        <v>42774</v>
      </c>
      <c r="C327" s="390">
        <v>819.71</v>
      </c>
      <c r="D327" s="393"/>
      <c r="E327" s="392">
        <f t="shared" si="0"/>
        <v>8.8738461538462321E-3</v>
      </c>
      <c r="F327" s="393"/>
      <c r="G327" s="381"/>
      <c r="H327" s="381"/>
      <c r="I327" s="381"/>
      <c r="J327" s="381"/>
      <c r="K327" s="381"/>
      <c r="L327" s="381"/>
      <c r="M327" s="381"/>
      <c r="N327" s="381"/>
      <c r="O327" s="381"/>
      <c r="P327" s="381"/>
      <c r="Q327" s="381"/>
      <c r="R327" s="381"/>
      <c r="S327" s="381"/>
    </row>
    <row r="328" spans="1:19" ht="12.75" customHeight="1">
      <c r="A328" s="381"/>
      <c r="B328" s="389">
        <v>42775</v>
      </c>
      <c r="C328" s="390">
        <v>821.36</v>
      </c>
      <c r="D328" s="393"/>
      <c r="E328" s="392">
        <f t="shared" si="0"/>
        <v>2.0129070036964958E-3</v>
      </c>
      <c r="F328" s="393"/>
      <c r="G328" s="381"/>
      <c r="H328" s="381"/>
      <c r="I328" s="381"/>
      <c r="J328" s="381"/>
      <c r="K328" s="381"/>
      <c r="L328" s="381"/>
      <c r="M328" s="381"/>
      <c r="N328" s="381"/>
      <c r="O328" s="381"/>
      <c r="P328" s="381"/>
      <c r="Q328" s="381"/>
      <c r="R328" s="381"/>
      <c r="S328" s="381"/>
    </row>
    <row r="329" spans="1:19" ht="12.75" customHeight="1">
      <c r="A329" s="381"/>
      <c r="B329" s="389">
        <v>42776</v>
      </c>
      <c r="C329" s="390">
        <v>827.46</v>
      </c>
      <c r="D329" s="393"/>
      <c r="E329" s="392">
        <f t="shared" si="0"/>
        <v>7.4267069250999462E-3</v>
      </c>
      <c r="F329" s="393"/>
      <c r="G329" s="381"/>
      <c r="H329" s="381"/>
      <c r="I329" s="381"/>
      <c r="J329" s="381"/>
      <c r="K329" s="381"/>
      <c r="L329" s="381"/>
      <c r="M329" s="381"/>
      <c r="N329" s="381"/>
      <c r="O329" s="381"/>
      <c r="P329" s="381"/>
      <c r="Q329" s="381"/>
      <c r="R329" s="381"/>
      <c r="S329" s="381"/>
    </row>
    <row r="330" spans="1:19" ht="12.75" customHeight="1">
      <c r="A330" s="381"/>
      <c r="B330" s="389">
        <v>42779</v>
      </c>
      <c r="C330" s="390">
        <v>836.53</v>
      </c>
      <c r="D330" s="393"/>
      <c r="E330" s="392">
        <f t="shared" si="0"/>
        <v>1.096125492470934E-2</v>
      </c>
      <c r="F330" s="393"/>
      <c r="G330" s="381"/>
      <c r="H330" s="381"/>
      <c r="I330" s="381"/>
      <c r="J330" s="381"/>
      <c r="K330" s="381"/>
      <c r="L330" s="381"/>
      <c r="M330" s="381"/>
      <c r="N330" s="381"/>
      <c r="O330" s="381"/>
      <c r="P330" s="381"/>
      <c r="Q330" s="381"/>
      <c r="R330" s="381"/>
      <c r="S330" s="381"/>
    </row>
    <row r="331" spans="1:19" ht="12.75" customHeight="1">
      <c r="A331" s="381"/>
      <c r="B331" s="389">
        <v>42780</v>
      </c>
      <c r="C331" s="390">
        <v>836.39</v>
      </c>
      <c r="D331" s="393"/>
      <c r="E331" s="392">
        <f t="shared" si="0"/>
        <v>-1.6735801465572742E-4</v>
      </c>
      <c r="F331" s="393"/>
      <c r="G331" s="381"/>
      <c r="H331" s="381"/>
      <c r="I331" s="381"/>
      <c r="J331" s="381"/>
      <c r="K331" s="381"/>
      <c r="L331" s="381"/>
      <c r="M331" s="381"/>
      <c r="N331" s="381"/>
      <c r="O331" s="381"/>
      <c r="P331" s="381"/>
      <c r="Q331" s="381"/>
      <c r="R331" s="381"/>
      <c r="S331" s="381"/>
    </row>
    <row r="332" spans="1:19" ht="12.75" customHeight="1">
      <c r="A332" s="381"/>
      <c r="B332" s="389">
        <v>42781</v>
      </c>
      <c r="C332" s="390">
        <v>842.7</v>
      </c>
      <c r="D332" s="393"/>
      <c r="E332" s="392">
        <f t="shared" si="0"/>
        <v>7.5443274070710054E-3</v>
      </c>
      <c r="F332" s="393"/>
      <c r="G332" s="381"/>
      <c r="H332" s="381"/>
      <c r="I332" s="381"/>
      <c r="J332" s="381"/>
      <c r="K332" s="381"/>
      <c r="L332" s="381"/>
      <c r="M332" s="381"/>
      <c r="N332" s="381"/>
      <c r="O332" s="381"/>
      <c r="P332" s="381"/>
      <c r="Q332" s="381"/>
      <c r="R332" s="381"/>
      <c r="S332" s="381"/>
    </row>
    <row r="333" spans="1:19" ht="12.75" customHeight="1">
      <c r="A333" s="381"/>
      <c r="B333" s="389">
        <v>42782</v>
      </c>
      <c r="C333" s="390">
        <v>844.14</v>
      </c>
      <c r="D333" s="393"/>
      <c r="E333" s="392">
        <f t="shared" si="0"/>
        <v>1.7087931648271937E-3</v>
      </c>
      <c r="F333" s="393"/>
      <c r="G333" s="381"/>
      <c r="H333" s="381"/>
      <c r="I333" s="381"/>
      <c r="J333" s="381"/>
      <c r="K333" s="381"/>
      <c r="L333" s="381"/>
      <c r="M333" s="381"/>
      <c r="N333" s="381"/>
      <c r="O333" s="381"/>
      <c r="P333" s="381"/>
      <c r="Q333" s="381"/>
      <c r="R333" s="381"/>
      <c r="S333" s="381"/>
    </row>
    <row r="334" spans="1:19" ht="12.75" customHeight="1">
      <c r="A334" s="381"/>
      <c r="B334" s="389">
        <v>42783</v>
      </c>
      <c r="C334" s="390">
        <v>845.07</v>
      </c>
      <c r="D334" s="393"/>
      <c r="E334" s="392">
        <f t="shared" si="0"/>
        <v>1.1017129859975938E-3</v>
      </c>
      <c r="F334" s="393"/>
      <c r="G334" s="381"/>
      <c r="H334" s="381"/>
      <c r="I334" s="381"/>
      <c r="J334" s="381"/>
      <c r="K334" s="381"/>
      <c r="L334" s="381"/>
      <c r="M334" s="381"/>
      <c r="N334" s="381"/>
      <c r="O334" s="381"/>
      <c r="P334" s="381"/>
      <c r="Q334" s="381"/>
      <c r="R334" s="381"/>
      <c r="S334" s="381"/>
    </row>
    <row r="335" spans="1:19" ht="12.75" customHeight="1">
      <c r="A335" s="381"/>
      <c r="B335" s="389">
        <v>42787</v>
      </c>
      <c r="C335" s="390">
        <v>856.44</v>
      </c>
      <c r="D335" s="393"/>
      <c r="E335" s="392">
        <f t="shared" si="0"/>
        <v>1.3454506727253346E-2</v>
      </c>
      <c r="F335" s="393"/>
      <c r="G335" s="381"/>
      <c r="H335" s="381"/>
      <c r="I335" s="381"/>
      <c r="J335" s="381"/>
      <c r="K335" s="381"/>
      <c r="L335" s="381"/>
      <c r="M335" s="381"/>
      <c r="N335" s="381"/>
      <c r="O335" s="381"/>
      <c r="P335" s="381"/>
      <c r="Q335" s="381"/>
      <c r="R335" s="381"/>
      <c r="S335" s="381"/>
    </row>
    <row r="336" spans="1:19" ht="12.75" customHeight="1">
      <c r="A336" s="381"/>
      <c r="B336" s="389">
        <v>42788</v>
      </c>
      <c r="C336" s="390">
        <v>855.61</v>
      </c>
      <c r="D336" s="393"/>
      <c r="E336" s="392">
        <f t="shared" si="0"/>
        <v>-9.6912801830839612E-4</v>
      </c>
      <c r="F336" s="393"/>
      <c r="G336" s="381"/>
      <c r="H336" s="381"/>
      <c r="I336" s="381"/>
      <c r="J336" s="381"/>
      <c r="K336" s="381"/>
      <c r="L336" s="381"/>
      <c r="M336" s="381"/>
      <c r="N336" s="381"/>
      <c r="O336" s="381"/>
      <c r="P336" s="381"/>
      <c r="Q336" s="381"/>
      <c r="R336" s="381"/>
      <c r="S336" s="381"/>
    </row>
    <row r="337" spans="1:19" ht="12.75" customHeight="1">
      <c r="A337" s="381"/>
      <c r="B337" s="389">
        <v>42789</v>
      </c>
      <c r="C337" s="390">
        <v>852.19</v>
      </c>
      <c r="D337" s="393"/>
      <c r="E337" s="392">
        <f t="shared" si="0"/>
        <v>-3.9971482334240083E-3</v>
      </c>
      <c r="F337" s="393"/>
      <c r="G337" s="381"/>
      <c r="H337" s="381"/>
      <c r="I337" s="381"/>
      <c r="J337" s="381"/>
      <c r="K337" s="381"/>
      <c r="L337" s="381"/>
      <c r="M337" s="381"/>
      <c r="N337" s="381"/>
      <c r="O337" s="381"/>
      <c r="P337" s="381"/>
      <c r="Q337" s="381"/>
      <c r="R337" s="381"/>
      <c r="S337" s="381"/>
    </row>
    <row r="338" spans="1:19" ht="12.75" customHeight="1">
      <c r="A338" s="381"/>
      <c r="B338" s="389">
        <v>42790</v>
      </c>
      <c r="C338" s="390">
        <v>845.24</v>
      </c>
      <c r="D338" s="393"/>
      <c r="E338" s="392">
        <f t="shared" si="0"/>
        <v>-8.1554582898180072E-3</v>
      </c>
      <c r="F338" s="393"/>
      <c r="G338" s="381"/>
      <c r="H338" s="381"/>
      <c r="I338" s="381"/>
      <c r="J338" s="381"/>
      <c r="K338" s="381"/>
      <c r="L338" s="381"/>
      <c r="M338" s="381"/>
      <c r="N338" s="381"/>
      <c r="O338" s="381"/>
      <c r="P338" s="381"/>
      <c r="Q338" s="381"/>
      <c r="R338" s="381"/>
      <c r="S338" s="381"/>
    </row>
    <row r="339" spans="1:19" ht="12.75" customHeight="1">
      <c r="A339" s="381"/>
      <c r="B339" s="389">
        <v>42793</v>
      </c>
      <c r="C339" s="390">
        <v>848.64</v>
      </c>
      <c r="D339" s="393"/>
      <c r="E339" s="392">
        <f t="shared" si="0"/>
        <v>4.022526146419958E-3</v>
      </c>
      <c r="F339" s="393"/>
      <c r="G339" s="381"/>
      <c r="H339" s="381"/>
      <c r="I339" s="381"/>
      <c r="J339" s="381"/>
      <c r="K339" s="381"/>
      <c r="L339" s="381"/>
      <c r="M339" s="381"/>
      <c r="N339" s="381"/>
      <c r="O339" s="381"/>
      <c r="P339" s="381"/>
      <c r="Q339" s="381"/>
      <c r="R339" s="381"/>
      <c r="S339" s="381"/>
    </row>
    <row r="340" spans="1:19" ht="12.75" customHeight="1">
      <c r="A340" s="381"/>
      <c r="B340" s="389">
        <v>42794</v>
      </c>
      <c r="C340" s="390">
        <v>845.04</v>
      </c>
      <c r="D340" s="393"/>
      <c r="E340" s="392">
        <f t="shared" si="0"/>
        <v>-4.2420814479637858E-3</v>
      </c>
      <c r="F340" s="393"/>
      <c r="G340" s="381"/>
      <c r="H340" s="381"/>
      <c r="I340" s="381"/>
      <c r="J340" s="381"/>
      <c r="K340" s="381"/>
      <c r="L340" s="381"/>
      <c r="M340" s="381"/>
      <c r="N340" s="381"/>
      <c r="O340" s="381"/>
      <c r="P340" s="381"/>
      <c r="Q340" s="381"/>
      <c r="R340" s="381"/>
      <c r="S340" s="381"/>
    </row>
    <row r="341" spans="1:19" ht="12.75" customHeight="1">
      <c r="A341" s="381"/>
      <c r="B341" s="389">
        <v>42795</v>
      </c>
      <c r="C341" s="390">
        <v>853.08</v>
      </c>
      <c r="D341" s="393"/>
      <c r="E341" s="392">
        <f t="shared" si="0"/>
        <v>9.5143425163306539E-3</v>
      </c>
      <c r="F341" s="393"/>
      <c r="G341" s="381"/>
      <c r="H341" s="381"/>
      <c r="I341" s="381"/>
      <c r="J341" s="381"/>
      <c r="K341" s="381"/>
      <c r="L341" s="381"/>
      <c r="M341" s="381"/>
      <c r="N341" s="381"/>
      <c r="O341" s="381"/>
      <c r="P341" s="381"/>
      <c r="Q341" s="381"/>
      <c r="R341" s="381"/>
      <c r="S341" s="381"/>
    </row>
    <row r="342" spans="1:19" ht="12.75" customHeight="1">
      <c r="A342" s="381"/>
      <c r="B342" s="389">
        <v>42796</v>
      </c>
      <c r="C342" s="390">
        <v>848.91</v>
      </c>
      <c r="D342" s="393"/>
      <c r="E342" s="392">
        <f t="shared" si="0"/>
        <v>-4.888169925446717E-3</v>
      </c>
      <c r="F342" s="393"/>
      <c r="G342" s="381"/>
      <c r="H342" s="381"/>
      <c r="I342" s="381"/>
      <c r="J342" s="381"/>
      <c r="K342" s="381"/>
      <c r="L342" s="381"/>
      <c r="M342" s="381"/>
      <c r="N342" s="381"/>
      <c r="O342" s="381"/>
      <c r="P342" s="381"/>
      <c r="Q342" s="381"/>
      <c r="R342" s="381"/>
      <c r="S342" s="381"/>
    </row>
    <row r="343" spans="1:19" ht="12.75" customHeight="1">
      <c r="A343" s="381"/>
      <c r="B343" s="389">
        <v>42797</v>
      </c>
      <c r="C343" s="390">
        <v>849.88</v>
      </c>
      <c r="D343" s="393"/>
      <c r="E343" s="392">
        <f t="shared" si="0"/>
        <v>1.142641740585093E-3</v>
      </c>
      <c r="F343" s="393"/>
      <c r="G343" s="381"/>
      <c r="H343" s="381"/>
      <c r="I343" s="381"/>
      <c r="J343" s="381"/>
      <c r="K343" s="381"/>
      <c r="L343" s="381"/>
      <c r="M343" s="381"/>
      <c r="N343" s="381"/>
      <c r="O343" s="381"/>
      <c r="P343" s="381"/>
      <c r="Q343" s="381"/>
      <c r="R343" s="381"/>
      <c r="S343" s="381"/>
    </row>
    <row r="344" spans="1:19" ht="12.75" customHeight="1">
      <c r="A344" s="381"/>
      <c r="B344" s="389">
        <v>42800</v>
      </c>
      <c r="C344" s="390">
        <v>846.61</v>
      </c>
      <c r="D344" s="393"/>
      <c r="E344" s="392">
        <f t="shared" si="0"/>
        <v>-3.8476020144020406E-3</v>
      </c>
      <c r="F344" s="393"/>
      <c r="G344" s="381"/>
      <c r="H344" s="381"/>
      <c r="I344" s="381"/>
      <c r="J344" s="381"/>
      <c r="K344" s="381"/>
      <c r="L344" s="381"/>
      <c r="M344" s="381"/>
      <c r="N344" s="381"/>
      <c r="O344" s="381"/>
      <c r="P344" s="381"/>
      <c r="Q344" s="381"/>
      <c r="R344" s="381"/>
      <c r="S344" s="381"/>
    </row>
    <row r="345" spans="1:19" ht="12.75" customHeight="1">
      <c r="A345" s="381"/>
      <c r="B345" s="389">
        <v>42801</v>
      </c>
      <c r="C345" s="390">
        <v>846.02</v>
      </c>
      <c r="D345" s="393"/>
      <c r="E345" s="392">
        <f t="shared" si="0"/>
        <v>-6.9689703641584444E-4</v>
      </c>
      <c r="F345" s="393"/>
      <c r="G345" s="381"/>
      <c r="H345" s="381"/>
      <c r="I345" s="381"/>
      <c r="J345" s="381"/>
      <c r="K345" s="381"/>
      <c r="L345" s="381"/>
      <c r="M345" s="381"/>
      <c r="N345" s="381"/>
      <c r="O345" s="381"/>
      <c r="P345" s="381"/>
      <c r="Q345" s="381"/>
      <c r="R345" s="381"/>
      <c r="S345" s="381"/>
    </row>
    <row r="346" spans="1:19" ht="12.75" customHeight="1">
      <c r="A346" s="381"/>
      <c r="B346" s="389">
        <v>42802</v>
      </c>
      <c r="C346" s="390">
        <v>850.5</v>
      </c>
      <c r="D346" s="393"/>
      <c r="E346" s="392">
        <f t="shared" si="0"/>
        <v>5.2953830878703645E-3</v>
      </c>
      <c r="F346" s="393"/>
      <c r="G346" s="381"/>
      <c r="H346" s="381"/>
      <c r="I346" s="381"/>
      <c r="J346" s="381"/>
      <c r="K346" s="381"/>
      <c r="L346" s="381"/>
      <c r="M346" s="381"/>
      <c r="N346" s="381"/>
      <c r="O346" s="381"/>
      <c r="P346" s="381"/>
      <c r="Q346" s="381"/>
      <c r="R346" s="381"/>
      <c r="S346" s="381"/>
    </row>
    <row r="347" spans="1:19" ht="12.75" customHeight="1">
      <c r="A347" s="381"/>
      <c r="B347" s="389">
        <v>42803</v>
      </c>
      <c r="C347" s="390">
        <v>853</v>
      </c>
      <c r="D347" s="393"/>
      <c r="E347" s="392">
        <f t="shared" si="0"/>
        <v>2.9394473838917357E-3</v>
      </c>
      <c r="F347" s="393"/>
      <c r="G347" s="381"/>
      <c r="H347" s="381"/>
      <c r="I347" s="381"/>
      <c r="J347" s="381"/>
      <c r="K347" s="381"/>
      <c r="L347" s="381"/>
      <c r="M347" s="381"/>
      <c r="N347" s="381"/>
      <c r="O347" s="381"/>
      <c r="P347" s="381"/>
      <c r="Q347" s="381"/>
      <c r="R347" s="381"/>
      <c r="S347" s="381"/>
    </row>
    <row r="348" spans="1:19" ht="12.75" customHeight="1">
      <c r="A348" s="381"/>
      <c r="B348" s="389">
        <v>42804</v>
      </c>
      <c r="C348" s="390">
        <v>852.46</v>
      </c>
      <c r="D348" s="393"/>
      <c r="E348" s="392">
        <f t="shared" si="0"/>
        <v>-6.3305978897998383E-4</v>
      </c>
      <c r="F348" s="393"/>
      <c r="G348" s="381"/>
      <c r="H348" s="381"/>
      <c r="I348" s="381"/>
      <c r="J348" s="381"/>
      <c r="K348" s="381"/>
      <c r="L348" s="381"/>
      <c r="M348" s="381"/>
      <c r="N348" s="381"/>
      <c r="O348" s="381"/>
      <c r="P348" s="381"/>
      <c r="Q348" s="381"/>
      <c r="R348" s="381"/>
      <c r="S348" s="381"/>
    </row>
    <row r="349" spans="1:19" ht="12.75" customHeight="1">
      <c r="A349" s="381"/>
      <c r="B349" s="389">
        <v>42807</v>
      </c>
      <c r="C349" s="390">
        <v>854.59</v>
      </c>
      <c r="D349" s="393"/>
      <c r="E349" s="392">
        <f t="shared" si="0"/>
        <v>2.4986509630950948E-3</v>
      </c>
      <c r="F349" s="393"/>
      <c r="G349" s="381"/>
      <c r="H349" s="381"/>
      <c r="I349" s="381"/>
      <c r="J349" s="381"/>
      <c r="K349" s="381"/>
      <c r="L349" s="381"/>
      <c r="M349" s="381"/>
      <c r="N349" s="381"/>
      <c r="O349" s="381"/>
      <c r="P349" s="381"/>
      <c r="Q349" s="381"/>
      <c r="R349" s="381"/>
      <c r="S349" s="381"/>
    </row>
    <row r="350" spans="1:19" ht="12.75" customHeight="1">
      <c r="A350" s="381"/>
      <c r="B350" s="389">
        <v>42808</v>
      </c>
      <c r="C350" s="390">
        <v>852.53</v>
      </c>
      <c r="D350" s="393"/>
      <c r="E350" s="392">
        <f t="shared" si="0"/>
        <v>-2.4105126434899038E-3</v>
      </c>
      <c r="F350" s="393"/>
      <c r="G350" s="381"/>
      <c r="H350" s="381"/>
      <c r="I350" s="381"/>
      <c r="J350" s="381"/>
      <c r="K350" s="381"/>
      <c r="L350" s="381"/>
      <c r="M350" s="381"/>
      <c r="N350" s="381"/>
      <c r="O350" s="381"/>
      <c r="P350" s="381"/>
      <c r="Q350" s="381"/>
      <c r="R350" s="381"/>
      <c r="S350" s="381"/>
    </row>
    <row r="351" spans="1:19" ht="12.75" customHeight="1">
      <c r="A351" s="381"/>
      <c r="B351" s="389">
        <v>42809</v>
      </c>
      <c r="C351" s="390">
        <v>852.97</v>
      </c>
      <c r="D351" s="393"/>
      <c r="E351" s="392">
        <f t="shared" si="0"/>
        <v>5.1611086999869826E-4</v>
      </c>
      <c r="F351" s="393"/>
      <c r="G351" s="381"/>
      <c r="H351" s="381"/>
      <c r="I351" s="381"/>
      <c r="J351" s="381"/>
      <c r="K351" s="381"/>
      <c r="L351" s="381"/>
      <c r="M351" s="381"/>
      <c r="N351" s="381"/>
      <c r="O351" s="381"/>
      <c r="P351" s="381"/>
      <c r="Q351" s="381"/>
      <c r="R351" s="381"/>
      <c r="S351" s="381"/>
    </row>
    <row r="352" spans="1:19" ht="12.75" customHeight="1">
      <c r="A352" s="381"/>
      <c r="B352" s="389">
        <v>42810</v>
      </c>
      <c r="C352" s="390">
        <v>853.42</v>
      </c>
      <c r="D352" s="393"/>
      <c r="E352" s="392">
        <f t="shared" si="0"/>
        <v>5.2756837872358631E-4</v>
      </c>
      <c r="F352" s="393"/>
      <c r="G352" s="381"/>
      <c r="H352" s="381"/>
      <c r="I352" s="381"/>
      <c r="J352" s="381"/>
      <c r="K352" s="381"/>
      <c r="L352" s="381"/>
      <c r="M352" s="381"/>
      <c r="N352" s="381"/>
      <c r="O352" s="381"/>
      <c r="P352" s="381"/>
      <c r="Q352" s="381"/>
      <c r="R352" s="381"/>
      <c r="S352" s="381"/>
    </row>
    <row r="353" spans="1:19" ht="12.75" customHeight="1">
      <c r="A353" s="381"/>
      <c r="B353" s="389">
        <v>42811</v>
      </c>
      <c r="C353" s="390">
        <v>852.31</v>
      </c>
      <c r="D353" s="393"/>
      <c r="E353" s="392">
        <f t="shared" si="0"/>
        <v>-1.3006491528204656E-3</v>
      </c>
      <c r="F353" s="393"/>
      <c r="G353" s="381"/>
      <c r="H353" s="381"/>
      <c r="I353" s="381"/>
      <c r="J353" s="381"/>
      <c r="K353" s="381"/>
      <c r="L353" s="381"/>
      <c r="M353" s="381"/>
      <c r="N353" s="381"/>
      <c r="O353" s="381"/>
      <c r="P353" s="381"/>
      <c r="Q353" s="381"/>
      <c r="R353" s="381"/>
      <c r="S353" s="381"/>
    </row>
    <row r="354" spans="1:19" ht="12.75" customHeight="1">
      <c r="A354" s="381"/>
      <c r="B354" s="389">
        <v>42814</v>
      </c>
      <c r="C354" s="390">
        <v>856.97</v>
      </c>
      <c r="D354" s="393"/>
      <c r="E354" s="392">
        <f t="shared" si="0"/>
        <v>5.467494221586211E-3</v>
      </c>
      <c r="F354" s="393"/>
      <c r="G354" s="381"/>
      <c r="H354" s="381"/>
      <c r="I354" s="381"/>
      <c r="J354" s="381"/>
      <c r="K354" s="381"/>
      <c r="L354" s="381"/>
      <c r="M354" s="381"/>
      <c r="N354" s="381"/>
      <c r="O354" s="381"/>
      <c r="P354" s="381"/>
      <c r="Q354" s="381"/>
      <c r="R354" s="381"/>
      <c r="S354" s="381"/>
    </row>
    <row r="355" spans="1:19" ht="12.75" customHeight="1">
      <c r="A355" s="381"/>
      <c r="B355" s="389">
        <v>42815</v>
      </c>
      <c r="C355" s="390">
        <v>843.2</v>
      </c>
      <c r="D355" s="393"/>
      <c r="E355" s="392">
        <f t="shared" si="0"/>
        <v>-1.6068240428486424E-2</v>
      </c>
      <c r="F355" s="393"/>
      <c r="G355" s="381"/>
      <c r="H355" s="381"/>
      <c r="I355" s="381"/>
      <c r="J355" s="381"/>
      <c r="K355" s="381"/>
      <c r="L355" s="381"/>
      <c r="M355" s="381"/>
      <c r="N355" s="381"/>
      <c r="O355" s="381"/>
      <c r="P355" s="381"/>
      <c r="Q355" s="381"/>
      <c r="R355" s="381"/>
      <c r="S355" s="381"/>
    </row>
    <row r="356" spans="1:19" ht="12.75" customHeight="1">
      <c r="A356" s="381"/>
      <c r="B356" s="389">
        <v>42816</v>
      </c>
      <c r="C356" s="390">
        <v>848.06</v>
      </c>
      <c r="D356" s="393"/>
      <c r="E356" s="392">
        <f t="shared" si="0"/>
        <v>5.7637571157493905E-3</v>
      </c>
      <c r="F356" s="393"/>
      <c r="G356" s="381"/>
      <c r="H356" s="381"/>
      <c r="I356" s="381"/>
      <c r="J356" s="381"/>
      <c r="K356" s="381"/>
      <c r="L356" s="381"/>
      <c r="M356" s="381"/>
      <c r="N356" s="381"/>
      <c r="O356" s="381"/>
      <c r="P356" s="381"/>
      <c r="Q356" s="381"/>
      <c r="R356" s="381"/>
      <c r="S356" s="381"/>
    </row>
    <row r="357" spans="1:19" ht="12.75" customHeight="1">
      <c r="A357" s="381"/>
      <c r="B357" s="389">
        <v>42817</v>
      </c>
      <c r="C357" s="390">
        <v>847.38</v>
      </c>
      <c r="D357" s="393"/>
      <c r="E357" s="392">
        <f t="shared" si="0"/>
        <v>-8.018300591938754E-4</v>
      </c>
      <c r="F357" s="393"/>
      <c r="G357" s="381"/>
      <c r="H357" s="381"/>
      <c r="I357" s="381"/>
      <c r="J357" s="381"/>
      <c r="K357" s="381"/>
      <c r="L357" s="381"/>
      <c r="M357" s="381"/>
      <c r="N357" s="381"/>
      <c r="O357" s="381"/>
      <c r="P357" s="381"/>
      <c r="Q357" s="381"/>
      <c r="R357" s="381"/>
      <c r="S357" s="381"/>
    </row>
    <row r="358" spans="1:19" ht="12.75" customHeight="1">
      <c r="A358" s="381"/>
      <c r="B358" s="389">
        <v>42818</v>
      </c>
      <c r="C358" s="390">
        <v>845.61</v>
      </c>
      <c r="D358" s="393"/>
      <c r="E358" s="392">
        <f t="shared" si="0"/>
        <v>-2.0887913332860997E-3</v>
      </c>
      <c r="F358" s="393"/>
      <c r="G358" s="381"/>
      <c r="H358" s="381"/>
      <c r="I358" s="381"/>
      <c r="J358" s="381"/>
      <c r="K358" s="381"/>
      <c r="L358" s="381"/>
      <c r="M358" s="381"/>
      <c r="N358" s="381"/>
      <c r="O358" s="381"/>
      <c r="P358" s="381"/>
      <c r="Q358" s="381"/>
      <c r="R358" s="381"/>
      <c r="S358" s="381"/>
    </row>
    <row r="359" spans="1:19" ht="12.75" customHeight="1">
      <c r="A359" s="381"/>
      <c r="B359" s="389">
        <v>42821</v>
      </c>
      <c r="C359" s="390">
        <v>846.82</v>
      </c>
      <c r="D359" s="393"/>
      <c r="E359" s="392">
        <f t="shared" si="0"/>
        <v>1.4309196911106437E-3</v>
      </c>
      <c r="F359" s="393"/>
      <c r="G359" s="381"/>
      <c r="H359" s="381"/>
      <c r="I359" s="381"/>
      <c r="J359" s="381"/>
      <c r="K359" s="381"/>
      <c r="L359" s="381"/>
      <c r="M359" s="381"/>
      <c r="N359" s="381"/>
      <c r="O359" s="381"/>
      <c r="P359" s="381"/>
      <c r="Q359" s="381"/>
      <c r="R359" s="381"/>
      <c r="S359" s="381"/>
    </row>
    <row r="360" spans="1:19" ht="12.75" customHeight="1">
      <c r="A360" s="381"/>
      <c r="B360" s="389">
        <v>42822</v>
      </c>
      <c r="C360" s="390">
        <v>856</v>
      </c>
      <c r="D360" s="393"/>
      <c r="E360" s="392">
        <f t="shared" si="0"/>
        <v>1.0840556434661419E-2</v>
      </c>
      <c r="F360" s="393"/>
      <c r="G360" s="381"/>
      <c r="H360" s="381"/>
      <c r="I360" s="381"/>
      <c r="J360" s="381"/>
      <c r="K360" s="381"/>
      <c r="L360" s="381"/>
      <c r="M360" s="381"/>
      <c r="N360" s="381"/>
      <c r="O360" s="381"/>
      <c r="P360" s="381"/>
      <c r="Q360" s="381"/>
      <c r="R360" s="381"/>
      <c r="S360" s="381"/>
    </row>
    <row r="361" spans="1:19" ht="12.75" customHeight="1">
      <c r="A361" s="381"/>
      <c r="B361" s="389">
        <v>42823</v>
      </c>
      <c r="C361" s="390">
        <v>874.32</v>
      </c>
      <c r="D361" s="393"/>
      <c r="E361" s="392">
        <f t="shared" si="0"/>
        <v>2.140186915887865E-2</v>
      </c>
      <c r="F361" s="393"/>
      <c r="G361" s="381"/>
      <c r="H361" s="381"/>
      <c r="I361" s="381"/>
      <c r="J361" s="381"/>
      <c r="K361" s="381"/>
      <c r="L361" s="381"/>
      <c r="M361" s="381"/>
      <c r="N361" s="381"/>
      <c r="O361" s="381"/>
      <c r="P361" s="381"/>
      <c r="Q361" s="381"/>
      <c r="R361" s="381"/>
      <c r="S361" s="381"/>
    </row>
    <row r="362" spans="1:19" ht="12.75" customHeight="1">
      <c r="A362" s="381"/>
      <c r="B362" s="389">
        <v>42824</v>
      </c>
      <c r="C362" s="390">
        <v>876.34</v>
      </c>
      <c r="D362" s="393"/>
      <c r="E362" s="392">
        <f t="shared" si="0"/>
        <v>2.3103669137158889E-3</v>
      </c>
      <c r="F362" s="393"/>
      <c r="G362" s="381"/>
      <c r="H362" s="381"/>
      <c r="I362" s="381"/>
      <c r="J362" s="381"/>
      <c r="K362" s="381"/>
      <c r="L362" s="381"/>
      <c r="M362" s="381"/>
      <c r="N362" s="381"/>
      <c r="O362" s="381"/>
      <c r="P362" s="381"/>
      <c r="Q362" s="381"/>
      <c r="R362" s="381"/>
      <c r="S362" s="381"/>
    </row>
    <row r="363" spans="1:19" ht="12.75" customHeight="1">
      <c r="A363" s="381"/>
      <c r="B363" s="389">
        <v>42825</v>
      </c>
      <c r="C363" s="390">
        <v>886.54</v>
      </c>
      <c r="D363" s="393"/>
      <c r="E363" s="392">
        <f t="shared" si="0"/>
        <v>1.1639318072893978E-2</v>
      </c>
      <c r="F363" s="393"/>
      <c r="G363" s="381"/>
      <c r="H363" s="381"/>
      <c r="I363" s="381"/>
      <c r="J363" s="381"/>
      <c r="K363" s="381"/>
      <c r="L363" s="381"/>
      <c r="M363" s="381"/>
      <c r="N363" s="381"/>
      <c r="O363" s="381"/>
      <c r="P363" s="381"/>
      <c r="Q363" s="381"/>
      <c r="R363" s="381"/>
      <c r="S363" s="381"/>
    </row>
    <row r="364" spans="1:19" ht="12.75" customHeight="1">
      <c r="A364" s="381"/>
      <c r="B364" s="389">
        <v>42828</v>
      </c>
      <c r="C364" s="390">
        <v>891.51</v>
      </c>
      <c r="D364" s="393"/>
      <c r="E364" s="392">
        <f t="shared" si="0"/>
        <v>5.6060640241839543E-3</v>
      </c>
      <c r="F364" s="393"/>
      <c r="G364" s="381"/>
      <c r="H364" s="381"/>
      <c r="I364" s="381"/>
      <c r="J364" s="381"/>
      <c r="K364" s="381"/>
      <c r="L364" s="381"/>
      <c r="M364" s="381"/>
      <c r="N364" s="381"/>
      <c r="O364" s="381"/>
      <c r="P364" s="381"/>
      <c r="Q364" s="381"/>
      <c r="R364" s="381"/>
      <c r="S364" s="381"/>
    </row>
    <row r="365" spans="1:19" ht="12.75" customHeight="1">
      <c r="A365" s="381"/>
      <c r="B365" s="389">
        <v>42829</v>
      </c>
      <c r="C365" s="390">
        <v>906.83</v>
      </c>
      <c r="D365" s="393"/>
      <c r="E365" s="392">
        <f t="shared" si="0"/>
        <v>1.7184327713654524E-2</v>
      </c>
      <c r="F365" s="393"/>
      <c r="G365" s="381"/>
      <c r="H365" s="381"/>
      <c r="I365" s="381"/>
      <c r="J365" s="381"/>
      <c r="K365" s="381"/>
      <c r="L365" s="381"/>
      <c r="M365" s="381"/>
      <c r="N365" s="381"/>
      <c r="O365" s="381"/>
      <c r="P365" s="381"/>
      <c r="Q365" s="381"/>
      <c r="R365" s="381"/>
      <c r="S365" s="381"/>
    </row>
    <row r="366" spans="1:19" ht="12.75" customHeight="1">
      <c r="A366" s="381"/>
      <c r="B366" s="389">
        <v>42830</v>
      </c>
      <c r="C366" s="390">
        <v>909.28</v>
      </c>
      <c r="D366" s="393"/>
      <c r="E366" s="392">
        <f t="shared" si="0"/>
        <v>2.7017191755895897E-3</v>
      </c>
      <c r="F366" s="393"/>
      <c r="G366" s="381"/>
      <c r="H366" s="381"/>
      <c r="I366" s="381"/>
      <c r="J366" s="381"/>
      <c r="K366" s="381"/>
      <c r="L366" s="381"/>
      <c r="M366" s="381"/>
      <c r="N366" s="381"/>
      <c r="O366" s="381"/>
      <c r="P366" s="381"/>
      <c r="Q366" s="381"/>
      <c r="R366" s="381"/>
      <c r="S366" s="381"/>
    </row>
    <row r="367" spans="1:19" ht="12.75" customHeight="1">
      <c r="A367" s="381"/>
      <c r="B367" s="389">
        <v>42831</v>
      </c>
      <c r="C367" s="390">
        <v>898.28</v>
      </c>
      <c r="D367" s="393"/>
      <c r="E367" s="392">
        <f t="shared" si="0"/>
        <v>-1.2097483723385483E-2</v>
      </c>
      <c r="F367" s="393"/>
      <c r="G367" s="381"/>
      <c r="H367" s="381"/>
      <c r="I367" s="381"/>
      <c r="J367" s="381"/>
      <c r="K367" s="381"/>
      <c r="L367" s="381"/>
      <c r="M367" s="381"/>
      <c r="N367" s="381"/>
      <c r="O367" s="381"/>
      <c r="P367" s="381"/>
      <c r="Q367" s="381"/>
      <c r="R367" s="381"/>
      <c r="S367" s="381"/>
    </row>
    <row r="368" spans="1:19" ht="12.75" customHeight="1">
      <c r="A368" s="381"/>
      <c r="B368" s="389">
        <v>42832</v>
      </c>
      <c r="C368" s="390">
        <v>894.88</v>
      </c>
      <c r="D368" s="393"/>
      <c r="E368" s="392">
        <f t="shared" si="0"/>
        <v>-3.7850113550340625E-3</v>
      </c>
      <c r="F368" s="393"/>
      <c r="G368" s="381"/>
      <c r="H368" s="381"/>
      <c r="I368" s="381"/>
      <c r="J368" s="381"/>
      <c r="K368" s="381"/>
      <c r="L368" s="381"/>
      <c r="M368" s="381"/>
      <c r="N368" s="381"/>
      <c r="O368" s="381"/>
      <c r="P368" s="381"/>
      <c r="Q368" s="381"/>
      <c r="R368" s="381"/>
      <c r="S368" s="381"/>
    </row>
    <row r="369" spans="1:19" ht="12.75" customHeight="1">
      <c r="A369" s="381"/>
      <c r="B369" s="389">
        <v>42835</v>
      </c>
      <c r="C369" s="390">
        <v>907.04</v>
      </c>
      <c r="D369" s="393"/>
      <c r="E369" s="392">
        <f t="shared" si="0"/>
        <v>1.358841408903988E-2</v>
      </c>
      <c r="F369" s="393"/>
      <c r="G369" s="381"/>
      <c r="H369" s="381"/>
      <c r="I369" s="381"/>
      <c r="J369" s="381"/>
      <c r="K369" s="381"/>
      <c r="L369" s="381"/>
      <c r="M369" s="381"/>
      <c r="N369" s="381"/>
      <c r="O369" s="381"/>
      <c r="P369" s="381"/>
      <c r="Q369" s="381"/>
      <c r="R369" s="381"/>
      <c r="S369" s="381"/>
    </row>
    <row r="370" spans="1:19" ht="12.75" customHeight="1">
      <c r="A370" s="381"/>
      <c r="B370" s="389">
        <v>42836</v>
      </c>
      <c r="C370" s="390">
        <v>902.36</v>
      </c>
      <c r="D370" s="393"/>
      <c r="E370" s="392">
        <f t="shared" si="0"/>
        <v>-5.1596401481742715E-3</v>
      </c>
      <c r="F370" s="393"/>
      <c r="G370" s="381"/>
      <c r="H370" s="381"/>
      <c r="I370" s="381"/>
      <c r="J370" s="381"/>
      <c r="K370" s="381"/>
      <c r="L370" s="381"/>
      <c r="M370" s="381"/>
      <c r="N370" s="381"/>
      <c r="O370" s="381"/>
      <c r="P370" s="381"/>
      <c r="Q370" s="381"/>
      <c r="R370" s="381"/>
      <c r="S370" s="381"/>
    </row>
    <row r="371" spans="1:19" ht="12.75" customHeight="1">
      <c r="A371" s="381"/>
      <c r="B371" s="389">
        <v>42837</v>
      </c>
      <c r="C371" s="390">
        <v>896.23</v>
      </c>
      <c r="D371" s="393"/>
      <c r="E371" s="392">
        <f t="shared" si="0"/>
        <v>-6.7932975752471592E-3</v>
      </c>
      <c r="F371" s="393"/>
      <c r="G371" s="381"/>
      <c r="H371" s="381"/>
      <c r="I371" s="381"/>
      <c r="J371" s="381"/>
      <c r="K371" s="381"/>
      <c r="L371" s="381"/>
      <c r="M371" s="381"/>
      <c r="N371" s="381"/>
      <c r="O371" s="381"/>
      <c r="P371" s="381"/>
      <c r="Q371" s="381"/>
      <c r="R371" s="381"/>
      <c r="S371" s="381"/>
    </row>
    <row r="372" spans="1:19" ht="12.75" customHeight="1">
      <c r="A372" s="381"/>
      <c r="B372" s="389">
        <v>42838</v>
      </c>
      <c r="C372" s="390">
        <v>884.67</v>
      </c>
      <c r="D372" s="393"/>
      <c r="E372" s="392">
        <f t="shared" si="0"/>
        <v>-1.2898474721890651E-2</v>
      </c>
      <c r="F372" s="393"/>
      <c r="G372" s="381"/>
      <c r="H372" s="381"/>
      <c r="I372" s="381"/>
      <c r="J372" s="381"/>
      <c r="K372" s="381"/>
      <c r="L372" s="381"/>
      <c r="M372" s="381"/>
      <c r="N372" s="381"/>
      <c r="O372" s="381"/>
      <c r="P372" s="381"/>
      <c r="Q372" s="381"/>
      <c r="R372" s="381"/>
      <c r="S372" s="381"/>
    </row>
    <row r="373" spans="1:19" ht="12.75" customHeight="1">
      <c r="A373" s="381"/>
      <c r="B373" s="389">
        <v>42842</v>
      </c>
      <c r="C373" s="390">
        <v>901.99</v>
      </c>
      <c r="D373" s="393"/>
      <c r="E373" s="392">
        <f t="shared" si="0"/>
        <v>1.9577921710920432E-2</v>
      </c>
      <c r="F373" s="393"/>
      <c r="G373" s="381"/>
      <c r="H373" s="381"/>
      <c r="I373" s="381"/>
      <c r="J373" s="381"/>
      <c r="K373" s="381"/>
      <c r="L373" s="381"/>
      <c r="M373" s="381"/>
      <c r="N373" s="381"/>
      <c r="O373" s="381"/>
      <c r="P373" s="381"/>
      <c r="Q373" s="381"/>
      <c r="R373" s="381"/>
      <c r="S373" s="381"/>
    </row>
    <row r="374" spans="1:19" ht="12.75" customHeight="1">
      <c r="A374" s="381"/>
      <c r="B374" s="389">
        <v>42843</v>
      </c>
      <c r="C374" s="390">
        <v>903.78</v>
      </c>
      <c r="D374" s="393"/>
      <c r="E374" s="392">
        <f t="shared" si="0"/>
        <v>1.9845009368173461E-3</v>
      </c>
      <c r="F374" s="393"/>
      <c r="G374" s="381"/>
      <c r="H374" s="381"/>
      <c r="I374" s="381"/>
      <c r="J374" s="381"/>
      <c r="K374" s="381"/>
      <c r="L374" s="381"/>
      <c r="M374" s="381"/>
      <c r="N374" s="381"/>
      <c r="O374" s="381"/>
      <c r="P374" s="381"/>
      <c r="Q374" s="381"/>
      <c r="R374" s="381"/>
      <c r="S374" s="381"/>
    </row>
    <row r="375" spans="1:19" ht="12.75" customHeight="1">
      <c r="A375" s="381"/>
      <c r="B375" s="389">
        <v>42844</v>
      </c>
      <c r="C375" s="390">
        <v>899.2</v>
      </c>
      <c r="D375" s="393"/>
      <c r="E375" s="392">
        <f t="shared" si="0"/>
        <v>-5.0676049481067631E-3</v>
      </c>
      <c r="F375" s="393"/>
      <c r="G375" s="381"/>
      <c r="H375" s="381"/>
      <c r="I375" s="381"/>
      <c r="J375" s="381"/>
      <c r="K375" s="381"/>
      <c r="L375" s="381"/>
      <c r="M375" s="381"/>
      <c r="N375" s="381"/>
      <c r="O375" s="381"/>
      <c r="P375" s="381"/>
      <c r="Q375" s="381"/>
      <c r="R375" s="381"/>
      <c r="S375" s="381"/>
    </row>
    <row r="376" spans="1:19" ht="12.75" customHeight="1">
      <c r="A376" s="381"/>
      <c r="B376" s="389">
        <v>42845</v>
      </c>
      <c r="C376" s="390">
        <v>902.06</v>
      </c>
      <c r="D376" s="393"/>
      <c r="E376" s="392">
        <f t="shared" si="0"/>
        <v>3.1806049822062921E-3</v>
      </c>
      <c r="F376" s="393"/>
      <c r="G376" s="381"/>
      <c r="H376" s="381"/>
      <c r="I376" s="381"/>
      <c r="J376" s="381"/>
      <c r="K376" s="381"/>
      <c r="L376" s="381"/>
      <c r="M376" s="381"/>
      <c r="N376" s="381"/>
      <c r="O376" s="381"/>
      <c r="P376" s="381"/>
      <c r="Q376" s="381"/>
      <c r="R376" s="381"/>
      <c r="S376" s="381"/>
    </row>
    <row r="377" spans="1:19" ht="12.75" customHeight="1">
      <c r="A377" s="381"/>
      <c r="B377" s="389">
        <v>42846</v>
      </c>
      <c r="C377" s="390">
        <v>898.53</v>
      </c>
      <c r="D377" s="393"/>
      <c r="E377" s="392">
        <f t="shared" si="0"/>
        <v>-3.913265193002613E-3</v>
      </c>
      <c r="F377" s="393"/>
      <c r="G377" s="381"/>
      <c r="H377" s="381"/>
      <c r="I377" s="381"/>
      <c r="J377" s="381"/>
      <c r="K377" s="381"/>
      <c r="L377" s="381"/>
      <c r="M377" s="381"/>
      <c r="N377" s="381"/>
      <c r="O377" s="381"/>
      <c r="P377" s="381"/>
      <c r="Q377" s="381"/>
      <c r="R377" s="381"/>
      <c r="S377" s="381"/>
    </row>
    <row r="378" spans="1:19" ht="12.75" customHeight="1">
      <c r="A378" s="381"/>
      <c r="B378" s="389">
        <v>42849</v>
      </c>
      <c r="C378" s="390">
        <v>907.41</v>
      </c>
      <c r="D378" s="393"/>
      <c r="E378" s="392">
        <f t="shared" si="0"/>
        <v>9.8828085873594596E-3</v>
      </c>
      <c r="F378" s="393"/>
      <c r="G378" s="381"/>
      <c r="H378" s="381"/>
      <c r="I378" s="381"/>
      <c r="J378" s="381"/>
      <c r="K378" s="381"/>
      <c r="L378" s="381"/>
      <c r="M378" s="381"/>
      <c r="N378" s="381"/>
      <c r="O378" s="381"/>
      <c r="P378" s="381"/>
      <c r="Q378" s="381"/>
      <c r="R378" s="381"/>
      <c r="S378" s="381"/>
    </row>
    <row r="379" spans="1:19" ht="12.75" customHeight="1">
      <c r="A379" s="381"/>
      <c r="B379" s="389">
        <v>42850</v>
      </c>
      <c r="C379" s="390">
        <v>907.62</v>
      </c>
      <c r="D379" s="393"/>
      <c r="E379" s="392">
        <f t="shared" si="0"/>
        <v>2.3142791020602793E-4</v>
      </c>
      <c r="F379" s="393"/>
      <c r="G379" s="381"/>
      <c r="H379" s="381"/>
      <c r="I379" s="381"/>
      <c r="J379" s="381"/>
      <c r="K379" s="381"/>
      <c r="L379" s="381"/>
      <c r="M379" s="381"/>
      <c r="N379" s="381"/>
      <c r="O379" s="381"/>
      <c r="P379" s="381"/>
      <c r="Q379" s="381"/>
      <c r="R379" s="381"/>
      <c r="S379" s="381"/>
    </row>
    <row r="380" spans="1:19" ht="12.75" customHeight="1">
      <c r="A380" s="381"/>
      <c r="B380" s="389">
        <v>42851</v>
      </c>
      <c r="C380" s="390">
        <v>909.29</v>
      </c>
      <c r="D380" s="393"/>
      <c r="E380" s="392">
        <f t="shared" si="0"/>
        <v>1.8399770829200524E-3</v>
      </c>
      <c r="F380" s="393"/>
      <c r="G380" s="381"/>
      <c r="H380" s="381"/>
      <c r="I380" s="381"/>
      <c r="J380" s="381"/>
      <c r="K380" s="381"/>
      <c r="L380" s="381"/>
      <c r="M380" s="381"/>
      <c r="N380" s="381"/>
      <c r="O380" s="381"/>
      <c r="P380" s="381"/>
      <c r="Q380" s="381"/>
      <c r="R380" s="381"/>
      <c r="S380" s="381"/>
    </row>
    <row r="381" spans="1:19" ht="12.75" customHeight="1">
      <c r="A381" s="381"/>
      <c r="B381" s="389">
        <v>42852</v>
      </c>
      <c r="C381" s="390">
        <v>918.38</v>
      </c>
      <c r="D381" s="393"/>
      <c r="E381" s="392">
        <f t="shared" si="0"/>
        <v>9.9968106984571481E-3</v>
      </c>
      <c r="F381" s="393"/>
      <c r="G381" s="381"/>
      <c r="H381" s="381"/>
      <c r="I381" s="381"/>
      <c r="J381" s="381"/>
      <c r="K381" s="381"/>
      <c r="L381" s="381"/>
      <c r="M381" s="381"/>
      <c r="N381" s="381"/>
      <c r="O381" s="381"/>
      <c r="P381" s="381"/>
      <c r="Q381" s="381"/>
      <c r="R381" s="381"/>
      <c r="S381" s="381"/>
    </row>
    <row r="382" spans="1:19" ht="12.75" customHeight="1">
      <c r="A382" s="381"/>
      <c r="B382" s="389">
        <v>42853</v>
      </c>
      <c r="C382" s="390">
        <v>924.99</v>
      </c>
      <c r="D382" s="393"/>
      <c r="E382" s="392">
        <f t="shared" si="0"/>
        <v>7.1974563906007649E-3</v>
      </c>
      <c r="F382" s="393"/>
      <c r="G382" s="381"/>
      <c r="H382" s="381"/>
      <c r="I382" s="381"/>
      <c r="J382" s="381"/>
      <c r="K382" s="381"/>
      <c r="L382" s="381"/>
      <c r="M382" s="381"/>
      <c r="N382" s="381"/>
      <c r="O382" s="381"/>
      <c r="P382" s="381"/>
      <c r="Q382" s="381"/>
      <c r="R382" s="381"/>
      <c r="S382" s="381"/>
    </row>
    <row r="383" spans="1:19" ht="12.75" customHeight="1">
      <c r="A383" s="381"/>
      <c r="B383" s="389">
        <v>42856</v>
      </c>
      <c r="C383" s="390">
        <v>948.23</v>
      </c>
      <c r="D383" s="393"/>
      <c r="E383" s="392">
        <f t="shared" si="0"/>
        <v>2.5124595941577788E-2</v>
      </c>
      <c r="F383" s="393"/>
      <c r="G383" s="381"/>
      <c r="H383" s="381"/>
      <c r="I383" s="381"/>
      <c r="J383" s="381"/>
      <c r="K383" s="381"/>
      <c r="L383" s="381"/>
      <c r="M383" s="381"/>
      <c r="N383" s="381"/>
      <c r="O383" s="381"/>
      <c r="P383" s="381"/>
      <c r="Q383" s="381"/>
      <c r="R383" s="381"/>
      <c r="S383" s="381"/>
    </row>
    <row r="384" spans="1:19" ht="12.75" customHeight="1">
      <c r="A384" s="381"/>
      <c r="B384" s="389">
        <v>42857</v>
      </c>
      <c r="C384" s="390">
        <v>946.94</v>
      </c>
      <c r="D384" s="393"/>
      <c r="E384" s="392">
        <f t="shared" si="0"/>
        <v>-1.360429431677912E-3</v>
      </c>
      <c r="F384" s="393"/>
      <c r="G384" s="381"/>
      <c r="H384" s="381"/>
      <c r="I384" s="381"/>
      <c r="J384" s="381"/>
      <c r="K384" s="381"/>
      <c r="L384" s="381"/>
      <c r="M384" s="381"/>
      <c r="N384" s="381"/>
      <c r="O384" s="381"/>
      <c r="P384" s="381"/>
      <c r="Q384" s="381"/>
      <c r="R384" s="381"/>
      <c r="S384" s="381"/>
    </row>
    <row r="385" spans="1:19" ht="12.75" customHeight="1">
      <c r="A385" s="381"/>
      <c r="B385" s="389">
        <v>42858</v>
      </c>
      <c r="C385" s="390">
        <v>941.03</v>
      </c>
      <c r="D385" s="393"/>
      <c r="E385" s="392">
        <f t="shared" si="0"/>
        <v>-6.2411557226434988E-3</v>
      </c>
      <c r="F385" s="393"/>
      <c r="G385" s="381"/>
      <c r="H385" s="381"/>
      <c r="I385" s="381"/>
      <c r="J385" s="381"/>
      <c r="K385" s="381"/>
      <c r="L385" s="381"/>
      <c r="M385" s="381"/>
      <c r="N385" s="381"/>
      <c r="O385" s="381"/>
      <c r="P385" s="381"/>
      <c r="Q385" s="381"/>
      <c r="R385" s="381"/>
      <c r="S385" s="381"/>
    </row>
    <row r="386" spans="1:19" ht="12.75" customHeight="1">
      <c r="A386" s="381"/>
      <c r="B386" s="389">
        <v>42859</v>
      </c>
      <c r="C386" s="390">
        <v>937.53</v>
      </c>
      <c r="D386" s="393"/>
      <c r="E386" s="392">
        <f t="shared" si="0"/>
        <v>-3.7193288205477071E-3</v>
      </c>
      <c r="F386" s="393"/>
      <c r="G386" s="381"/>
      <c r="H386" s="381"/>
      <c r="I386" s="381"/>
      <c r="J386" s="381"/>
      <c r="K386" s="381"/>
      <c r="L386" s="381"/>
      <c r="M386" s="381"/>
      <c r="N386" s="381"/>
      <c r="O386" s="381"/>
      <c r="P386" s="381"/>
      <c r="Q386" s="381"/>
      <c r="R386" s="381"/>
      <c r="S386" s="381"/>
    </row>
    <row r="387" spans="1:19" ht="12.75" customHeight="1">
      <c r="A387" s="381"/>
      <c r="B387" s="389">
        <v>42860</v>
      </c>
      <c r="C387" s="390">
        <v>934.15</v>
      </c>
      <c r="D387" s="393"/>
      <c r="E387" s="392">
        <f t="shared" si="0"/>
        <v>-3.6052179663583761E-3</v>
      </c>
      <c r="F387" s="393"/>
      <c r="G387" s="381"/>
      <c r="H387" s="381"/>
      <c r="I387" s="381"/>
      <c r="J387" s="381"/>
      <c r="K387" s="381"/>
      <c r="L387" s="381"/>
      <c r="M387" s="381"/>
      <c r="N387" s="381"/>
      <c r="O387" s="381"/>
      <c r="P387" s="381"/>
      <c r="Q387" s="381"/>
      <c r="R387" s="381"/>
      <c r="S387" s="381"/>
    </row>
    <row r="388" spans="1:19" ht="12.75" customHeight="1">
      <c r="A388" s="381"/>
      <c r="B388" s="389">
        <v>42863</v>
      </c>
      <c r="C388" s="390">
        <v>949.04</v>
      </c>
      <c r="D388" s="393"/>
      <c r="E388" s="392">
        <f t="shared" si="0"/>
        <v>1.5939624257346185E-2</v>
      </c>
      <c r="F388" s="393"/>
      <c r="G388" s="381"/>
      <c r="H388" s="381"/>
      <c r="I388" s="381"/>
      <c r="J388" s="381"/>
      <c r="K388" s="381"/>
      <c r="L388" s="381"/>
      <c r="M388" s="381"/>
      <c r="N388" s="381"/>
      <c r="O388" s="381"/>
      <c r="P388" s="381"/>
      <c r="Q388" s="381"/>
      <c r="R388" s="381"/>
      <c r="S388" s="381"/>
    </row>
    <row r="389" spans="1:19" ht="12.75" customHeight="1">
      <c r="A389" s="381"/>
      <c r="B389" s="389">
        <v>42864</v>
      </c>
      <c r="C389" s="390">
        <v>952.82</v>
      </c>
      <c r="D389" s="393"/>
      <c r="E389" s="392">
        <f t="shared" si="0"/>
        <v>3.9829722667117373E-3</v>
      </c>
      <c r="F389" s="393"/>
      <c r="G389" s="381"/>
      <c r="H389" s="381"/>
      <c r="I389" s="381"/>
      <c r="J389" s="381"/>
      <c r="K389" s="381"/>
      <c r="L389" s="381"/>
      <c r="M389" s="381"/>
      <c r="N389" s="381"/>
      <c r="O389" s="381"/>
      <c r="P389" s="381"/>
      <c r="Q389" s="381"/>
      <c r="R389" s="381"/>
      <c r="S389" s="381"/>
    </row>
    <row r="390" spans="1:19" ht="12.75" customHeight="1">
      <c r="A390" s="381"/>
      <c r="B390" s="389">
        <v>42865</v>
      </c>
      <c r="C390" s="390">
        <v>948.95</v>
      </c>
      <c r="D390" s="393"/>
      <c r="E390" s="392">
        <f t="shared" si="0"/>
        <v>-4.0616275896812049E-3</v>
      </c>
      <c r="F390" s="393"/>
      <c r="G390" s="381"/>
      <c r="H390" s="381"/>
      <c r="I390" s="381"/>
      <c r="J390" s="381"/>
      <c r="K390" s="381"/>
      <c r="L390" s="381"/>
      <c r="M390" s="381"/>
      <c r="N390" s="381"/>
      <c r="O390" s="381"/>
      <c r="P390" s="381"/>
      <c r="Q390" s="381"/>
      <c r="R390" s="381"/>
      <c r="S390" s="381"/>
    </row>
    <row r="391" spans="1:19" ht="12.75" customHeight="1">
      <c r="A391" s="381"/>
      <c r="B391" s="389">
        <v>42866</v>
      </c>
      <c r="C391" s="390">
        <v>947.62</v>
      </c>
      <c r="D391" s="393"/>
      <c r="E391" s="392">
        <f t="shared" si="0"/>
        <v>-1.4015490805627806E-3</v>
      </c>
      <c r="F391" s="393"/>
      <c r="G391" s="381"/>
      <c r="H391" s="381"/>
      <c r="I391" s="381"/>
      <c r="J391" s="381"/>
      <c r="K391" s="381"/>
      <c r="L391" s="381"/>
      <c r="M391" s="381"/>
      <c r="N391" s="381"/>
      <c r="O391" s="381"/>
      <c r="P391" s="381"/>
      <c r="Q391" s="381"/>
      <c r="R391" s="381"/>
      <c r="S391" s="381"/>
    </row>
    <row r="392" spans="1:19" ht="12.75" customHeight="1">
      <c r="A392" s="381"/>
      <c r="B392" s="389">
        <v>42867</v>
      </c>
      <c r="C392" s="390">
        <v>961.35</v>
      </c>
      <c r="D392" s="393"/>
      <c r="E392" s="392">
        <f t="shared" si="0"/>
        <v>1.4488930161879354E-2</v>
      </c>
      <c r="F392" s="393"/>
      <c r="G392" s="381"/>
      <c r="H392" s="381"/>
      <c r="I392" s="381"/>
      <c r="J392" s="381"/>
      <c r="K392" s="381"/>
      <c r="L392" s="381"/>
      <c r="M392" s="381"/>
      <c r="N392" s="381"/>
      <c r="O392" s="381"/>
      <c r="P392" s="381"/>
      <c r="Q392" s="381"/>
      <c r="R392" s="381"/>
      <c r="S392" s="381"/>
    </row>
    <row r="393" spans="1:19" ht="12.75" customHeight="1">
      <c r="A393" s="381"/>
      <c r="B393" s="389">
        <v>42870</v>
      </c>
      <c r="C393" s="390">
        <v>957.97</v>
      </c>
      <c r="D393" s="393"/>
      <c r="E393" s="392">
        <f t="shared" si="0"/>
        <v>-3.5158891142663684E-3</v>
      </c>
      <c r="F393" s="393"/>
      <c r="G393" s="381"/>
      <c r="H393" s="381"/>
      <c r="I393" s="381"/>
      <c r="J393" s="381"/>
      <c r="K393" s="381"/>
      <c r="L393" s="381"/>
      <c r="M393" s="381"/>
      <c r="N393" s="381"/>
      <c r="O393" s="381"/>
      <c r="P393" s="381"/>
      <c r="Q393" s="381"/>
      <c r="R393" s="381"/>
      <c r="S393" s="381"/>
    </row>
    <row r="394" spans="1:19" ht="12.75" customHeight="1">
      <c r="A394" s="381"/>
      <c r="B394" s="389">
        <v>42871</v>
      </c>
      <c r="C394" s="390">
        <v>966.07</v>
      </c>
      <c r="D394" s="393"/>
      <c r="E394" s="392">
        <f t="shared" si="0"/>
        <v>8.4553796047892593E-3</v>
      </c>
      <c r="F394" s="393"/>
      <c r="G394" s="381"/>
      <c r="H394" s="381"/>
      <c r="I394" s="381"/>
      <c r="J394" s="381"/>
      <c r="K394" s="381"/>
      <c r="L394" s="381"/>
      <c r="M394" s="381"/>
      <c r="N394" s="381"/>
      <c r="O394" s="381"/>
      <c r="P394" s="381"/>
      <c r="Q394" s="381"/>
      <c r="R394" s="381"/>
      <c r="S394" s="381"/>
    </row>
    <row r="395" spans="1:19" ht="12.75" customHeight="1">
      <c r="A395" s="381"/>
      <c r="B395" s="389">
        <v>42872</v>
      </c>
      <c r="C395" s="390">
        <v>944.76</v>
      </c>
      <c r="D395" s="393"/>
      <c r="E395" s="392">
        <f t="shared" si="0"/>
        <v>-2.205844296997117E-2</v>
      </c>
      <c r="F395" s="393"/>
      <c r="G395" s="381"/>
      <c r="H395" s="381"/>
      <c r="I395" s="381"/>
      <c r="J395" s="381"/>
      <c r="K395" s="381"/>
      <c r="L395" s="381"/>
      <c r="M395" s="381"/>
      <c r="N395" s="381"/>
      <c r="O395" s="381"/>
      <c r="P395" s="381"/>
      <c r="Q395" s="381"/>
      <c r="R395" s="381"/>
      <c r="S395" s="381"/>
    </row>
    <row r="396" spans="1:19" ht="12.75" customHeight="1">
      <c r="A396" s="381"/>
      <c r="B396" s="389">
        <v>42873</v>
      </c>
      <c r="C396" s="390">
        <v>958.49</v>
      </c>
      <c r="D396" s="393"/>
      <c r="E396" s="392">
        <f t="shared" si="0"/>
        <v>1.4532791396756783E-2</v>
      </c>
      <c r="F396" s="393"/>
      <c r="G396" s="381"/>
      <c r="H396" s="381"/>
      <c r="I396" s="381"/>
      <c r="J396" s="381"/>
      <c r="K396" s="381"/>
      <c r="L396" s="381"/>
      <c r="M396" s="381"/>
      <c r="N396" s="381"/>
      <c r="O396" s="381"/>
      <c r="P396" s="381"/>
      <c r="Q396" s="381"/>
      <c r="R396" s="381"/>
      <c r="S396" s="381"/>
    </row>
    <row r="397" spans="1:19" ht="12.75" customHeight="1">
      <c r="A397" s="381"/>
      <c r="B397" s="389">
        <v>42874</v>
      </c>
      <c r="C397" s="390">
        <v>959.84</v>
      </c>
      <c r="D397" s="393"/>
      <c r="E397" s="392">
        <f t="shared" si="0"/>
        <v>1.4084653987000983E-3</v>
      </c>
      <c r="F397" s="393"/>
      <c r="G397" s="381"/>
      <c r="H397" s="381"/>
      <c r="I397" s="381"/>
      <c r="J397" s="381"/>
      <c r="K397" s="381"/>
      <c r="L397" s="381"/>
      <c r="M397" s="381"/>
      <c r="N397" s="381"/>
      <c r="O397" s="381"/>
      <c r="P397" s="381"/>
      <c r="Q397" s="381"/>
      <c r="R397" s="381"/>
      <c r="S397" s="381"/>
    </row>
    <row r="398" spans="1:19" ht="12.75" customHeight="1">
      <c r="A398" s="381"/>
      <c r="B398" s="389">
        <v>42877</v>
      </c>
      <c r="C398" s="390">
        <v>970.67</v>
      </c>
      <c r="D398" s="393"/>
      <c r="E398" s="392">
        <f t="shared" si="0"/>
        <v>1.1283130521753559E-2</v>
      </c>
      <c r="F398" s="393"/>
      <c r="G398" s="381"/>
      <c r="H398" s="381"/>
      <c r="I398" s="381"/>
      <c r="J398" s="381"/>
      <c r="K398" s="381"/>
      <c r="L398" s="381"/>
      <c r="M398" s="381"/>
      <c r="N398" s="381"/>
      <c r="O398" s="381"/>
      <c r="P398" s="381"/>
      <c r="Q398" s="381"/>
      <c r="R398" s="381"/>
      <c r="S398" s="381"/>
    </row>
    <row r="399" spans="1:19" ht="12.75" customHeight="1">
      <c r="A399" s="381"/>
      <c r="B399" s="389">
        <v>42878</v>
      </c>
      <c r="C399" s="390">
        <v>971.54</v>
      </c>
      <c r="D399" s="393"/>
      <c r="E399" s="392">
        <f t="shared" si="0"/>
        <v>8.9628813087871961E-4</v>
      </c>
      <c r="F399" s="393"/>
      <c r="G399" s="381"/>
      <c r="H399" s="381"/>
      <c r="I399" s="381"/>
      <c r="J399" s="381"/>
      <c r="K399" s="381"/>
      <c r="L399" s="381"/>
      <c r="M399" s="381"/>
      <c r="N399" s="381"/>
      <c r="O399" s="381"/>
      <c r="P399" s="381"/>
      <c r="Q399" s="381"/>
      <c r="R399" s="381"/>
      <c r="S399" s="381"/>
    </row>
    <row r="400" spans="1:19" ht="12.75" customHeight="1">
      <c r="A400" s="381"/>
      <c r="B400" s="389">
        <v>42879</v>
      </c>
      <c r="C400" s="390">
        <v>980.35</v>
      </c>
      <c r="D400" s="393"/>
      <c r="E400" s="392">
        <f t="shared" si="0"/>
        <v>9.068077485229642E-3</v>
      </c>
      <c r="F400" s="393"/>
      <c r="G400" s="381"/>
      <c r="H400" s="381"/>
      <c r="I400" s="381"/>
      <c r="J400" s="381"/>
      <c r="K400" s="381"/>
      <c r="L400" s="381"/>
      <c r="M400" s="381"/>
      <c r="N400" s="381"/>
      <c r="O400" s="381"/>
      <c r="P400" s="381"/>
      <c r="Q400" s="381"/>
      <c r="R400" s="381"/>
      <c r="S400" s="381"/>
    </row>
    <row r="401" spans="1:19" ht="12.75" customHeight="1">
      <c r="A401" s="381"/>
      <c r="B401" s="389">
        <v>42880</v>
      </c>
      <c r="C401" s="390">
        <v>993.38</v>
      </c>
      <c r="D401" s="393"/>
      <c r="E401" s="392">
        <f t="shared" si="0"/>
        <v>1.32911715203754E-2</v>
      </c>
      <c r="F401" s="393"/>
      <c r="G401" s="381"/>
      <c r="H401" s="381"/>
      <c r="I401" s="381"/>
      <c r="J401" s="381"/>
      <c r="K401" s="381"/>
      <c r="L401" s="381"/>
      <c r="M401" s="381"/>
      <c r="N401" s="381"/>
      <c r="O401" s="381"/>
      <c r="P401" s="381"/>
      <c r="Q401" s="381"/>
      <c r="R401" s="381"/>
      <c r="S401" s="381"/>
    </row>
    <row r="402" spans="1:19" ht="12.75" customHeight="1">
      <c r="A402" s="381"/>
      <c r="B402" s="389">
        <v>42881</v>
      </c>
      <c r="C402" s="390">
        <v>995.78</v>
      </c>
      <c r="D402" s="393"/>
      <c r="E402" s="392">
        <f t="shared" si="0"/>
        <v>2.4159938794821034E-3</v>
      </c>
      <c r="F402" s="393"/>
      <c r="G402" s="381"/>
      <c r="H402" s="381"/>
      <c r="I402" s="381"/>
      <c r="J402" s="381"/>
      <c r="K402" s="381"/>
      <c r="L402" s="381"/>
      <c r="M402" s="381"/>
      <c r="N402" s="381"/>
      <c r="O402" s="381"/>
      <c r="P402" s="381"/>
      <c r="Q402" s="381"/>
      <c r="R402" s="381"/>
      <c r="S402" s="381"/>
    </row>
    <row r="403" spans="1:19" ht="12.75" customHeight="1">
      <c r="A403" s="381"/>
      <c r="B403" s="389">
        <v>42885</v>
      </c>
      <c r="C403" s="390">
        <v>996.7</v>
      </c>
      <c r="D403" s="393"/>
      <c r="E403" s="392">
        <f t="shared" si="0"/>
        <v>9.2389885316035425E-4</v>
      </c>
      <c r="F403" s="393"/>
      <c r="G403" s="381"/>
      <c r="H403" s="381"/>
      <c r="I403" s="381"/>
      <c r="J403" s="381"/>
      <c r="K403" s="381"/>
      <c r="L403" s="381"/>
      <c r="M403" s="381"/>
      <c r="N403" s="381"/>
      <c r="O403" s="381"/>
      <c r="P403" s="381"/>
      <c r="Q403" s="381"/>
      <c r="R403" s="381"/>
      <c r="S403" s="381"/>
    </row>
    <row r="404" spans="1:19" ht="12.75" customHeight="1">
      <c r="A404" s="381"/>
      <c r="B404" s="389">
        <v>42886</v>
      </c>
      <c r="C404" s="390">
        <v>994.62</v>
      </c>
      <c r="D404" s="393"/>
      <c r="E404" s="392">
        <f t="shared" si="0"/>
        <v>-2.0868867261965018E-3</v>
      </c>
      <c r="F404" s="393"/>
      <c r="G404" s="381"/>
      <c r="H404" s="381"/>
      <c r="I404" s="381"/>
      <c r="J404" s="381"/>
      <c r="K404" s="381"/>
      <c r="L404" s="381"/>
      <c r="M404" s="381"/>
      <c r="N404" s="381"/>
      <c r="O404" s="381"/>
      <c r="P404" s="381"/>
      <c r="Q404" s="381"/>
      <c r="R404" s="381"/>
      <c r="S404" s="381"/>
    </row>
    <row r="405" spans="1:19" ht="12.75" customHeight="1">
      <c r="A405" s="381"/>
      <c r="B405" s="389">
        <v>42887</v>
      </c>
      <c r="C405" s="390">
        <v>995.95</v>
      </c>
      <c r="D405" s="393"/>
      <c r="E405" s="392">
        <f t="shared" si="0"/>
        <v>1.3371941042810143E-3</v>
      </c>
      <c r="F405" s="393"/>
      <c r="G405" s="381"/>
      <c r="H405" s="381"/>
      <c r="I405" s="381"/>
      <c r="J405" s="381"/>
      <c r="K405" s="381"/>
      <c r="L405" s="381"/>
      <c r="M405" s="381"/>
      <c r="N405" s="381"/>
      <c r="O405" s="381"/>
      <c r="P405" s="381"/>
      <c r="Q405" s="381"/>
      <c r="R405" s="381"/>
      <c r="S405" s="381"/>
    </row>
    <row r="406" spans="1:19" ht="12.75" customHeight="1">
      <c r="A406" s="381"/>
      <c r="B406" s="389">
        <v>42888</v>
      </c>
      <c r="C406" s="390">
        <v>1006.73</v>
      </c>
      <c r="D406" s="393"/>
      <c r="E406" s="392">
        <f t="shared" si="0"/>
        <v>1.0823836537978693E-2</v>
      </c>
      <c r="F406" s="393"/>
      <c r="G406" s="381"/>
      <c r="H406" s="381"/>
      <c r="I406" s="381"/>
      <c r="J406" s="381"/>
      <c r="K406" s="381"/>
      <c r="L406" s="381"/>
      <c r="M406" s="381"/>
      <c r="N406" s="381"/>
      <c r="O406" s="381"/>
      <c r="P406" s="381"/>
      <c r="Q406" s="381"/>
      <c r="R406" s="381"/>
      <c r="S406" s="381"/>
    </row>
    <row r="407" spans="1:19" ht="12.75" customHeight="1">
      <c r="A407" s="381"/>
      <c r="B407" s="389">
        <v>42891</v>
      </c>
      <c r="C407" s="390">
        <v>1011.34</v>
      </c>
      <c r="D407" s="393"/>
      <c r="E407" s="392">
        <f t="shared" si="0"/>
        <v>4.5791821044371961E-3</v>
      </c>
      <c r="F407" s="393"/>
      <c r="G407" s="381"/>
      <c r="H407" s="381"/>
      <c r="I407" s="381"/>
      <c r="J407" s="381"/>
      <c r="K407" s="381"/>
      <c r="L407" s="381"/>
      <c r="M407" s="381"/>
      <c r="N407" s="381"/>
      <c r="O407" s="381"/>
      <c r="P407" s="381"/>
      <c r="Q407" s="381"/>
      <c r="R407" s="381"/>
      <c r="S407" s="381"/>
    </row>
    <row r="408" spans="1:19" ht="12.75" customHeight="1">
      <c r="A408" s="381"/>
      <c r="B408" s="389">
        <v>42892</v>
      </c>
      <c r="C408" s="390">
        <v>1003</v>
      </c>
      <c r="D408" s="393"/>
      <c r="E408" s="392">
        <f t="shared" si="0"/>
        <v>-8.2464848616686792E-3</v>
      </c>
      <c r="F408" s="393"/>
      <c r="G408" s="381"/>
      <c r="H408" s="381"/>
      <c r="I408" s="381"/>
      <c r="J408" s="381"/>
      <c r="K408" s="381"/>
      <c r="L408" s="381"/>
      <c r="M408" s="381"/>
      <c r="N408" s="381"/>
      <c r="O408" s="381"/>
      <c r="P408" s="381"/>
      <c r="Q408" s="381"/>
      <c r="R408" s="381"/>
      <c r="S408" s="381"/>
    </row>
    <row r="409" spans="1:19" ht="12.75" customHeight="1">
      <c r="A409" s="381"/>
      <c r="B409" s="389">
        <v>42893</v>
      </c>
      <c r="C409" s="390">
        <v>1010.07</v>
      </c>
      <c r="D409" s="393"/>
      <c r="E409" s="392">
        <f t="shared" si="0"/>
        <v>7.0488534396810909E-3</v>
      </c>
      <c r="F409" s="393"/>
      <c r="G409" s="381"/>
      <c r="H409" s="381"/>
      <c r="I409" s="381"/>
      <c r="J409" s="381"/>
      <c r="K409" s="381"/>
      <c r="L409" s="381"/>
      <c r="M409" s="381"/>
      <c r="N409" s="381"/>
      <c r="O409" s="381"/>
      <c r="P409" s="381"/>
      <c r="Q409" s="381"/>
      <c r="R409" s="381"/>
      <c r="S409" s="381"/>
    </row>
    <row r="410" spans="1:19" ht="12.75" customHeight="1">
      <c r="A410" s="381"/>
      <c r="B410" s="389">
        <v>42894</v>
      </c>
      <c r="C410" s="390">
        <v>1010.27</v>
      </c>
      <c r="D410" s="393"/>
      <c r="E410" s="392">
        <f t="shared" si="0"/>
        <v>1.9800607878650567E-4</v>
      </c>
      <c r="F410" s="393"/>
      <c r="G410" s="381"/>
      <c r="H410" s="381"/>
      <c r="I410" s="381"/>
      <c r="J410" s="381"/>
      <c r="K410" s="381"/>
      <c r="L410" s="381"/>
      <c r="M410" s="381"/>
      <c r="N410" s="381"/>
      <c r="O410" s="381"/>
      <c r="P410" s="381"/>
      <c r="Q410" s="381"/>
      <c r="R410" s="381"/>
      <c r="S410" s="381"/>
    </row>
    <row r="411" spans="1:19" ht="12.75" customHeight="1">
      <c r="A411" s="381"/>
      <c r="B411" s="389">
        <v>42895</v>
      </c>
      <c r="C411" s="390">
        <v>978.31</v>
      </c>
      <c r="D411" s="393"/>
      <c r="E411" s="392">
        <f t="shared" si="0"/>
        <v>-3.1635107446524202E-2</v>
      </c>
      <c r="F411" s="393"/>
      <c r="G411" s="381"/>
      <c r="H411" s="381"/>
      <c r="I411" s="381"/>
      <c r="J411" s="381"/>
      <c r="K411" s="381"/>
      <c r="L411" s="381"/>
      <c r="M411" s="381"/>
      <c r="N411" s="381"/>
      <c r="O411" s="381"/>
      <c r="P411" s="381"/>
      <c r="Q411" s="381"/>
      <c r="R411" s="381"/>
      <c r="S411" s="381"/>
    </row>
    <row r="412" spans="1:19" ht="12.75" customHeight="1">
      <c r="A412" s="381"/>
      <c r="B412" s="389">
        <v>42898</v>
      </c>
      <c r="C412" s="390">
        <v>964.91</v>
      </c>
      <c r="D412" s="393"/>
      <c r="E412" s="392">
        <f t="shared" si="0"/>
        <v>-1.3697089879486035E-2</v>
      </c>
      <c r="F412" s="393"/>
      <c r="G412" s="381"/>
      <c r="H412" s="381"/>
      <c r="I412" s="381"/>
      <c r="J412" s="381"/>
      <c r="K412" s="381"/>
      <c r="L412" s="381"/>
      <c r="M412" s="381"/>
      <c r="N412" s="381"/>
      <c r="O412" s="381"/>
      <c r="P412" s="381"/>
      <c r="Q412" s="381"/>
      <c r="R412" s="381"/>
      <c r="S412" s="381"/>
    </row>
    <row r="413" spans="1:19" ht="12.75" customHeight="1">
      <c r="A413" s="381"/>
      <c r="B413" s="389">
        <v>42899</v>
      </c>
      <c r="C413" s="390">
        <v>980.79</v>
      </c>
      <c r="D413" s="393"/>
      <c r="E413" s="392">
        <f t="shared" si="0"/>
        <v>1.6457493444984594E-2</v>
      </c>
      <c r="F413" s="393"/>
      <c r="G413" s="381"/>
      <c r="H413" s="381"/>
      <c r="I413" s="381"/>
      <c r="J413" s="381"/>
      <c r="K413" s="381"/>
      <c r="L413" s="381"/>
      <c r="M413" s="381"/>
      <c r="N413" s="381"/>
      <c r="O413" s="381"/>
      <c r="P413" s="381"/>
      <c r="Q413" s="381"/>
      <c r="R413" s="381"/>
      <c r="S413" s="381"/>
    </row>
    <row r="414" spans="1:19" ht="12.75" customHeight="1">
      <c r="A414" s="381"/>
      <c r="B414" s="389">
        <v>42900</v>
      </c>
      <c r="C414" s="390">
        <v>976.47</v>
      </c>
      <c r="D414" s="393"/>
      <c r="E414" s="392">
        <f t="shared" si="0"/>
        <v>-4.404612608203573E-3</v>
      </c>
      <c r="F414" s="393"/>
      <c r="G414" s="381"/>
      <c r="H414" s="381"/>
      <c r="I414" s="381"/>
      <c r="J414" s="381"/>
      <c r="K414" s="381"/>
      <c r="L414" s="381"/>
      <c r="M414" s="381"/>
      <c r="N414" s="381"/>
      <c r="O414" s="381"/>
      <c r="P414" s="381"/>
      <c r="Q414" s="381"/>
      <c r="R414" s="381"/>
      <c r="S414" s="381"/>
    </row>
    <row r="415" spans="1:19" ht="12.75" customHeight="1">
      <c r="A415" s="381"/>
      <c r="B415" s="389">
        <v>42901</v>
      </c>
      <c r="C415" s="390">
        <v>964.17</v>
      </c>
      <c r="D415" s="393"/>
      <c r="E415" s="392">
        <f t="shared" si="0"/>
        <v>-1.2596393130357431E-2</v>
      </c>
      <c r="F415" s="393"/>
      <c r="G415" s="381"/>
      <c r="H415" s="381"/>
      <c r="I415" s="381"/>
      <c r="J415" s="381"/>
      <c r="K415" s="381"/>
      <c r="L415" s="381"/>
      <c r="M415" s="381"/>
      <c r="N415" s="381"/>
      <c r="O415" s="381"/>
      <c r="P415" s="381"/>
      <c r="Q415" s="381"/>
      <c r="R415" s="381"/>
      <c r="S415" s="381"/>
    </row>
    <row r="416" spans="1:19" ht="12.75" customHeight="1">
      <c r="A416" s="381"/>
      <c r="B416" s="389">
        <v>42902</v>
      </c>
      <c r="C416" s="390">
        <v>987.71</v>
      </c>
      <c r="D416" s="393"/>
      <c r="E416" s="392">
        <f t="shared" si="0"/>
        <v>2.4414781625647031E-2</v>
      </c>
      <c r="F416" s="393"/>
      <c r="G416" s="381"/>
      <c r="H416" s="381"/>
      <c r="I416" s="381"/>
      <c r="J416" s="381"/>
      <c r="K416" s="381"/>
      <c r="L416" s="381"/>
      <c r="M416" s="381"/>
      <c r="N416" s="381"/>
      <c r="O416" s="381"/>
      <c r="P416" s="381"/>
      <c r="Q416" s="381"/>
      <c r="R416" s="381"/>
      <c r="S416" s="381"/>
    </row>
    <row r="417" spans="1:19" ht="12.75" customHeight="1">
      <c r="A417" s="381"/>
      <c r="B417" s="389">
        <v>42905</v>
      </c>
      <c r="C417" s="390">
        <v>995.17</v>
      </c>
      <c r="D417" s="393"/>
      <c r="E417" s="392">
        <f t="shared" si="0"/>
        <v>7.5528242095350695E-3</v>
      </c>
      <c r="F417" s="393"/>
      <c r="G417" s="381"/>
      <c r="H417" s="381"/>
      <c r="I417" s="381"/>
      <c r="J417" s="381"/>
      <c r="K417" s="381"/>
      <c r="L417" s="381"/>
      <c r="M417" s="381"/>
      <c r="N417" s="381"/>
      <c r="O417" s="381"/>
      <c r="P417" s="381"/>
      <c r="Q417" s="381"/>
      <c r="R417" s="381"/>
      <c r="S417" s="381"/>
    </row>
    <row r="418" spans="1:19" ht="12.75" customHeight="1">
      <c r="A418" s="381"/>
      <c r="B418" s="389">
        <v>42906</v>
      </c>
      <c r="C418" s="390">
        <v>992.59</v>
      </c>
      <c r="D418" s="393"/>
      <c r="E418" s="392">
        <f t="shared" si="0"/>
        <v>-2.5925218806835959E-3</v>
      </c>
      <c r="F418" s="393"/>
      <c r="G418" s="381"/>
      <c r="H418" s="381"/>
      <c r="I418" s="381"/>
      <c r="J418" s="381"/>
      <c r="K418" s="381"/>
      <c r="L418" s="381"/>
      <c r="M418" s="381"/>
      <c r="N418" s="381"/>
      <c r="O418" s="381"/>
      <c r="P418" s="381"/>
      <c r="Q418" s="381"/>
      <c r="R418" s="381"/>
      <c r="S418" s="381"/>
    </row>
    <row r="419" spans="1:19" ht="12.75" customHeight="1">
      <c r="A419" s="381"/>
      <c r="B419" s="389">
        <v>42907</v>
      </c>
      <c r="C419" s="390">
        <v>1002.23</v>
      </c>
      <c r="D419" s="393"/>
      <c r="E419" s="392">
        <f t="shared" si="0"/>
        <v>9.7119656655819675E-3</v>
      </c>
      <c r="F419" s="393"/>
      <c r="G419" s="381"/>
      <c r="H419" s="381"/>
      <c r="I419" s="381"/>
      <c r="J419" s="381"/>
      <c r="K419" s="381"/>
      <c r="L419" s="381"/>
      <c r="M419" s="381"/>
      <c r="N419" s="381"/>
      <c r="O419" s="381"/>
      <c r="P419" s="381"/>
      <c r="Q419" s="381"/>
      <c r="R419" s="381"/>
      <c r="S419" s="381"/>
    </row>
    <row r="420" spans="1:19" ht="12.75" customHeight="1">
      <c r="A420" s="381"/>
      <c r="B420" s="389">
        <v>42908</v>
      </c>
      <c r="C420" s="390">
        <v>1001.3</v>
      </c>
      <c r="D420" s="393"/>
      <c r="E420" s="392">
        <f t="shared" si="0"/>
        <v>-9.2793071450669729E-4</v>
      </c>
      <c r="F420" s="393"/>
      <c r="G420" s="381"/>
      <c r="H420" s="381"/>
      <c r="I420" s="381"/>
      <c r="J420" s="381"/>
      <c r="K420" s="381"/>
      <c r="L420" s="381"/>
      <c r="M420" s="381"/>
      <c r="N420" s="381"/>
      <c r="O420" s="381"/>
      <c r="P420" s="381"/>
      <c r="Q420" s="381"/>
      <c r="R420" s="381"/>
      <c r="S420" s="381"/>
    </row>
    <row r="421" spans="1:19" ht="12.75" customHeight="1">
      <c r="A421" s="381"/>
      <c r="B421" s="389">
        <v>42909</v>
      </c>
      <c r="C421" s="390">
        <v>1003.74</v>
      </c>
      <c r="D421" s="393"/>
      <c r="E421" s="392">
        <f t="shared" si="0"/>
        <v>2.4368321182464125E-3</v>
      </c>
      <c r="F421" s="393"/>
      <c r="G421" s="381"/>
      <c r="H421" s="381"/>
      <c r="I421" s="381"/>
      <c r="J421" s="381"/>
      <c r="K421" s="381"/>
      <c r="L421" s="381"/>
      <c r="M421" s="381"/>
      <c r="N421" s="381"/>
      <c r="O421" s="381"/>
      <c r="P421" s="381"/>
      <c r="Q421" s="381"/>
      <c r="R421" s="381"/>
      <c r="S421" s="381"/>
    </row>
    <row r="422" spans="1:19" ht="12.75" customHeight="1">
      <c r="A422" s="381"/>
      <c r="B422" s="389">
        <v>42912</v>
      </c>
      <c r="C422" s="390">
        <v>993.98</v>
      </c>
      <c r="D422" s="393"/>
      <c r="E422" s="392">
        <f t="shared" si="0"/>
        <v>-9.7236336102974885E-3</v>
      </c>
      <c r="F422" s="393"/>
      <c r="G422" s="381"/>
      <c r="H422" s="381"/>
      <c r="I422" s="381"/>
      <c r="J422" s="381"/>
      <c r="K422" s="381"/>
      <c r="L422" s="381"/>
      <c r="M422" s="381"/>
      <c r="N422" s="381"/>
      <c r="O422" s="381"/>
      <c r="P422" s="381"/>
      <c r="Q422" s="381"/>
      <c r="R422" s="381"/>
      <c r="S422" s="381"/>
    </row>
    <row r="423" spans="1:19" ht="12.75" customHeight="1">
      <c r="A423" s="381"/>
      <c r="B423" s="389">
        <v>42913</v>
      </c>
      <c r="C423" s="390">
        <v>976.78</v>
      </c>
      <c r="D423" s="393"/>
      <c r="E423" s="392">
        <f t="shared" si="0"/>
        <v>-1.7304171110082756E-2</v>
      </c>
      <c r="F423" s="393"/>
      <c r="G423" s="381"/>
      <c r="H423" s="381"/>
      <c r="I423" s="381"/>
      <c r="J423" s="381"/>
      <c r="K423" s="381"/>
      <c r="L423" s="381"/>
      <c r="M423" s="381"/>
      <c r="N423" s="381"/>
      <c r="O423" s="381"/>
      <c r="P423" s="381"/>
      <c r="Q423" s="381"/>
      <c r="R423" s="381"/>
      <c r="S423" s="381"/>
    </row>
    <row r="424" spans="1:19" ht="12.75" customHeight="1">
      <c r="A424" s="381"/>
      <c r="B424" s="389">
        <v>42914</v>
      </c>
      <c r="C424" s="390">
        <v>990.33</v>
      </c>
      <c r="D424" s="393"/>
      <c r="E424" s="392">
        <f t="shared" si="0"/>
        <v>1.3872110403571059E-2</v>
      </c>
      <c r="F424" s="393"/>
      <c r="G424" s="381"/>
      <c r="H424" s="381"/>
      <c r="I424" s="381"/>
      <c r="J424" s="381"/>
      <c r="K424" s="381"/>
      <c r="L424" s="381"/>
      <c r="M424" s="381"/>
      <c r="N424" s="381"/>
      <c r="O424" s="381"/>
      <c r="P424" s="381"/>
      <c r="Q424" s="381"/>
      <c r="R424" s="381"/>
      <c r="S424" s="381"/>
    </row>
    <row r="425" spans="1:19" ht="12.75" customHeight="1">
      <c r="A425" s="381"/>
      <c r="B425" s="389">
        <v>42915</v>
      </c>
      <c r="C425" s="390">
        <v>975.93</v>
      </c>
      <c r="D425" s="393"/>
      <c r="E425" s="392">
        <f t="shared" si="0"/>
        <v>-1.4540607676229222E-2</v>
      </c>
      <c r="F425" s="393"/>
      <c r="G425" s="381"/>
      <c r="H425" s="381"/>
      <c r="I425" s="381"/>
      <c r="J425" s="381"/>
      <c r="K425" s="381"/>
      <c r="L425" s="381"/>
      <c r="M425" s="381"/>
      <c r="N425" s="381"/>
      <c r="O425" s="381"/>
      <c r="P425" s="381"/>
      <c r="Q425" s="381"/>
      <c r="R425" s="381"/>
      <c r="S425" s="381"/>
    </row>
    <row r="426" spans="1:19" ht="12.75" customHeight="1">
      <c r="A426" s="381"/>
      <c r="B426" s="389">
        <v>42916</v>
      </c>
      <c r="C426" s="390">
        <v>968</v>
      </c>
      <c r="D426" s="393"/>
      <c r="E426" s="392">
        <f t="shared" si="0"/>
        <v>-8.125582777453233E-3</v>
      </c>
      <c r="F426" s="393"/>
      <c r="G426" s="381"/>
      <c r="H426" s="381"/>
      <c r="I426" s="381"/>
      <c r="J426" s="381"/>
      <c r="K426" s="381"/>
      <c r="L426" s="381"/>
      <c r="M426" s="381"/>
      <c r="N426" s="381"/>
      <c r="O426" s="381"/>
      <c r="P426" s="381"/>
      <c r="Q426" s="381"/>
      <c r="R426" s="381"/>
      <c r="S426" s="381"/>
    </row>
    <row r="427" spans="1:19" ht="12.75" customHeight="1">
      <c r="A427" s="381"/>
      <c r="B427" s="389">
        <v>42919</v>
      </c>
      <c r="C427" s="390">
        <v>953.66</v>
      </c>
      <c r="D427" s="393"/>
      <c r="E427" s="392">
        <f t="shared" si="0"/>
        <v>-1.4814049586776901E-2</v>
      </c>
      <c r="F427" s="393"/>
      <c r="G427" s="381"/>
      <c r="H427" s="381"/>
      <c r="I427" s="381"/>
      <c r="J427" s="381"/>
      <c r="K427" s="381"/>
      <c r="L427" s="381"/>
      <c r="M427" s="381"/>
      <c r="N427" s="381"/>
      <c r="O427" s="381"/>
      <c r="P427" s="381"/>
      <c r="Q427" s="381"/>
      <c r="R427" s="381"/>
      <c r="S427" s="381"/>
    </row>
    <row r="428" spans="1:19" ht="12.75" customHeight="1">
      <c r="A428" s="381"/>
      <c r="B428" s="389">
        <v>42921</v>
      </c>
      <c r="C428" s="390">
        <v>971.4</v>
      </c>
      <c r="D428" s="393"/>
      <c r="E428" s="392">
        <f t="shared" si="0"/>
        <v>1.8602017490510159E-2</v>
      </c>
      <c r="F428" s="393"/>
      <c r="G428" s="381"/>
      <c r="H428" s="381"/>
      <c r="I428" s="381"/>
      <c r="J428" s="381"/>
      <c r="K428" s="381"/>
      <c r="L428" s="381"/>
      <c r="M428" s="381"/>
      <c r="N428" s="381"/>
      <c r="O428" s="381"/>
      <c r="P428" s="381"/>
      <c r="Q428" s="381"/>
      <c r="R428" s="381"/>
      <c r="S428" s="381"/>
    </row>
    <row r="429" spans="1:19" ht="12.75" customHeight="1">
      <c r="A429" s="381"/>
      <c r="B429" s="389">
        <v>42922</v>
      </c>
      <c r="C429" s="390">
        <v>965.14</v>
      </c>
      <c r="D429" s="393"/>
      <c r="E429" s="392">
        <f t="shared" si="0"/>
        <v>-6.4443071855054823E-3</v>
      </c>
      <c r="F429" s="393"/>
      <c r="G429" s="381"/>
      <c r="H429" s="381"/>
      <c r="I429" s="381"/>
      <c r="J429" s="381"/>
      <c r="K429" s="381"/>
      <c r="L429" s="381"/>
      <c r="M429" s="381"/>
      <c r="N429" s="381"/>
      <c r="O429" s="381"/>
      <c r="P429" s="381"/>
      <c r="Q429" s="381"/>
      <c r="R429" s="381"/>
      <c r="S429" s="381"/>
    </row>
    <row r="430" spans="1:19" ht="12.75" customHeight="1">
      <c r="A430" s="381"/>
      <c r="B430" s="389">
        <v>42923</v>
      </c>
      <c r="C430" s="390">
        <v>978.76</v>
      </c>
      <c r="D430" s="393"/>
      <c r="E430" s="392">
        <f t="shared" si="0"/>
        <v>1.4111942308887793E-2</v>
      </c>
      <c r="F430" s="393"/>
      <c r="G430" s="381"/>
      <c r="H430" s="381"/>
      <c r="I430" s="381"/>
      <c r="J430" s="381"/>
      <c r="K430" s="381"/>
      <c r="L430" s="381"/>
      <c r="M430" s="381"/>
      <c r="N430" s="381"/>
      <c r="O430" s="381"/>
      <c r="P430" s="381"/>
      <c r="Q430" s="381"/>
      <c r="R430" s="381"/>
      <c r="S430" s="381"/>
    </row>
    <row r="431" spans="1:19" ht="12.75" customHeight="1">
      <c r="A431" s="381"/>
      <c r="B431" s="389">
        <v>42926</v>
      </c>
      <c r="C431" s="390">
        <v>996.47</v>
      </c>
      <c r="D431" s="393"/>
      <c r="E431" s="392">
        <f t="shared" si="0"/>
        <v>1.8094323429645787E-2</v>
      </c>
      <c r="F431" s="393"/>
      <c r="G431" s="381"/>
      <c r="H431" s="381"/>
      <c r="I431" s="381"/>
      <c r="J431" s="381"/>
      <c r="K431" s="381"/>
      <c r="L431" s="381"/>
      <c r="M431" s="381"/>
      <c r="N431" s="381"/>
      <c r="O431" s="381"/>
      <c r="P431" s="381"/>
      <c r="Q431" s="381"/>
      <c r="R431" s="381"/>
      <c r="S431" s="381"/>
    </row>
    <row r="432" spans="1:19" ht="12.75" customHeight="1">
      <c r="A432" s="381"/>
      <c r="B432" s="389">
        <v>42927</v>
      </c>
      <c r="C432" s="390">
        <v>994.13</v>
      </c>
      <c r="D432" s="393"/>
      <c r="E432" s="392">
        <f t="shared" si="0"/>
        <v>-2.3482894618002126E-3</v>
      </c>
      <c r="F432" s="393"/>
      <c r="G432" s="381"/>
      <c r="H432" s="381"/>
      <c r="I432" s="381"/>
      <c r="J432" s="381"/>
      <c r="K432" s="381"/>
      <c r="L432" s="381"/>
      <c r="M432" s="381"/>
      <c r="N432" s="381"/>
      <c r="O432" s="381"/>
      <c r="P432" s="381"/>
      <c r="Q432" s="381"/>
      <c r="R432" s="381"/>
      <c r="S432" s="381"/>
    </row>
    <row r="433" spans="1:19" ht="12.75" customHeight="1">
      <c r="A433" s="381"/>
      <c r="B433" s="389">
        <v>42928</v>
      </c>
      <c r="C433" s="390">
        <v>1006.51</v>
      </c>
      <c r="D433" s="393"/>
      <c r="E433" s="392">
        <f t="shared" si="0"/>
        <v>1.2453099695210801E-2</v>
      </c>
      <c r="F433" s="393"/>
      <c r="G433" s="381"/>
      <c r="H433" s="381"/>
      <c r="I433" s="381"/>
      <c r="J433" s="381"/>
      <c r="K433" s="381"/>
      <c r="L433" s="381"/>
      <c r="M433" s="381"/>
      <c r="N433" s="381"/>
      <c r="O433" s="381"/>
      <c r="P433" s="381"/>
      <c r="Q433" s="381"/>
      <c r="R433" s="381"/>
      <c r="S433" s="381"/>
    </row>
    <row r="434" spans="1:19" ht="12.75" customHeight="1">
      <c r="A434" s="381"/>
      <c r="B434" s="389">
        <v>42929</v>
      </c>
      <c r="C434" s="390">
        <v>1000.63</v>
      </c>
      <c r="D434" s="393"/>
      <c r="E434" s="392">
        <f t="shared" si="0"/>
        <v>-5.8419687832211853E-3</v>
      </c>
      <c r="F434" s="393"/>
      <c r="G434" s="381"/>
      <c r="H434" s="381"/>
      <c r="I434" s="381"/>
      <c r="J434" s="381"/>
      <c r="K434" s="381"/>
      <c r="L434" s="381"/>
      <c r="M434" s="381"/>
      <c r="N434" s="381"/>
      <c r="O434" s="381"/>
      <c r="P434" s="381"/>
      <c r="Q434" s="381"/>
      <c r="R434" s="381"/>
      <c r="S434" s="381"/>
    </row>
    <row r="435" spans="1:19" ht="12.75" customHeight="1">
      <c r="A435" s="381"/>
      <c r="B435" s="389">
        <v>42930</v>
      </c>
      <c r="C435" s="390">
        <v>1001.81</v>
      </c>
      <c r="D435" s="393"/>
      <c r="E435" s="392">
        <f t="shared" si="0"/>
        <v>1.1792570680471126E-3</v>
      </c>
      <c r="F435" s="393"/>
      <c r="G435" s="381"/>
      <c r="H435" s="381"/>
      <c r="I435" s="381"/>
      <c r="J435" s="381"/>
      <c r="K435" s="381"/>
      <c r="L435" s="381"/>
      <c r="M435" s="381"/>
      <c r="N435" s="381"/>
      <c r="O435" s="381"/>
      <c r="P435" s="381"/>
      <c r="Q435" s="381"/>
      <c r="R435" s="381"/>
      <c r="S435" s="381"/>
    </row>
    <row r="436" spans="1:19" ht="12.75" customHeight="1">
      <c r="A436" s="381"/>
      <c r="B436" s="389">
        <v>42933</v>
      </c>
      <c r="C436" s="390">
        <v>1010.04</v>
      </c>
      <c r="D436" s="393"/>
      <c r="E436" s="392">
        <f t="shared" si="0"/>
        <v>8.2151306135893609E-3</v>
      </c>
      <c r="F436" s="393"/>
      <c r="G436" s="381"/>
      <c r="H436" s="381"/>
      <c r="I436" s="381"/>
      <c r="J436" s="381"/>
      <c r="K436" s="381"/>
      <c r="L436" s="381"/>
      <c r="M436" s="381"/>
      <c r="N436" s="381"/>
      <c r="O436" s="381"/>
      <c r="P436" s="381"/>
      <c r="Q436" s="381"/>
      <c r="R436" s="381"/>
      <c r="S436" s="381"/>
    </row>
    <row r="437" spans="1:19" ht="12.75" customHeight="1">
      <c r="A437" s="381"/>
      <c r="B437" s="389">
        <v>42934</v>
      </c>
      <c r="C437" s="390">
        <v>1024.45</v>
      </c>
      <c r="D437" s="393"/>
      <c r="E437" s="392">
        <f t="shared" si="0"/>
        <v>1.4266761712407483E-2</v>
      </c>
      <c r="F437" s="393"/>
      <c r="G437" s="381"/>
      <c r="H437" s="381"/>
      <c r="I437" s="381"/>
      <c r="J437" s="381"/>
      <c r="K437" s="381"/>
      <c r="L437" s="381"/>
      <c r="M437" s="381"/>
      <c r="N437" s="381"/>
      <c r="O437" s="381"/>
      <c r="P437" s="381"/>
      <c r="Q437" s="381"/>
      <c r="R437" s="381"/>
      <c r="S437" s="381"/>
    </row>
    <row r="438" spans="1:19" ht="12.75" customHeight="1">
      <c r="A438" s="381"/>
      <c r="B438" s="389">
        <v>42935</v>
      </c>
      <c r="C438" s="390">
        <v>1026.8699999999999</v>
      </c>
      <c r="D438" s="393"/>
      <c r="E438" s="392">
        <f t="shared" si="0"/>
        <v>2.3622431548633305E-3</v>
      </c>
      <c r="F438" s="393"/>
      <c r="G438" s="381"/>
      <c r="H438" s="381"/>
      <c r="I438" s="381"/>
      <c r="J438" s="381"/>
      <c r="K438" s="381"/>
      <c r="L438" s="381"/>
      <c r="M438" s="381"/>
      <c r="N438" s="381"/>
      <c r="O438" s="381"/>
      <c r="P438" s="381"/>
      <c r="Q438" s="381"/>
      <c r="R438" s="381"/>
      <c r="S438" s="381"/>
    </row>
    <row r="439" spans="1:19" ht="12.75" customHeight="1">
      <c r="A439" s="381"/>
      <c r="B439" s="389">
        <v>42936</v>
      </c>
      <c r="C439" s="390">
        <v>1028.7</v>
      </c>
      <c r="D439" s="393"/>
      <c r="E439" s="392">
        <f t="shared" si="0"/>
        <v>1.7821145812031425E-3</v>
      </c>
      <c r="F439" s="393"/>
      <c r="G439" s="381"/>
      <c r="H439" s="381"/>
      <c r="I439" s="381"/>
      <c r="J439" s="381"/>
      <c r="K439" s="381"/>
      <c r="L439" s="381"/>
      <c r="M439" s="381"/>
      <c r="N439" s="381"/>
      <c r="O439" s="381"/>
      <c r="P439" s="381"/>
      <c r="Q439" s="381"/>
      <c r="R439" s="381"/>
      <c r="S439" s="381"/>
    </row>
    <row r="440" spans="1:19" ht="12.75" customHeight="1">
      <c r="A440" s="381"/>
      <c r="B440" s="389">
        <v>42937</v>
      </c>
      <c r="C440" s="390">
        <v>1025.67</v>
      </c>
      <c r="D440" s="393"/>
      <c r="E440" s="392">
        <f t="shared" si="0"/>
        <v>-2.9454651501895635E-3</v>
      </c>
      <c r="F440" s="393"/>
      <c r="G440" s="381"/>
      <c r="H440" s="381"/>
      <c r="I440" s="381"/>
      <c r="J440" s="381"/>
      <c r="K440" s="381"/>
      <c r="L440" s="381"/>
      <c r="M440" s="381"/>
      <c r="N440" s="381"/>
      <c r="O440" s="381"/>
      <c r="P440" s="381"/>
      <c r="Q440" s="381"/>
      <c r="R440" s="381"/>
      <c r="S440" s="381"/>
    </row>
    <row r="441" spans="1:19" ht="12.75" customHeight="1">
      <c r="A441" s="381"/>
      <c r="B441" s="389">
        <v>42940</v>
      </c>
      <c r="C441" s="390">
        <v>1038.95</v>
      </c>
      <c r="D441" s="393"/>
      <c r="E441" s="392">
        <f t="shared" si="0"/>
        <v>1.2947634229333094E-2</v>
      </c>
      <c r="F441" s="393"/>
      <c r="G441" s="381"/>
      <c r="H441" s="381"/>
      <c r="I441" s="381"/>
      <c r="J441" s="381"/>
      <c r="K441" s="381"/>
      <c r="L441" s="381"/>
      <c r="M441" s="381"/>
      <c r="N441" s="381"/>
      <c r="O441" s="381"/>
      <c r="P441" s="381"/>
      <c r="Q441" s="381"/>
      <c r="R441" s="381"/>
      <c r="S441" s="381"/>
    </row>
    <row r="442" spans="1:19" ht="12.75" customHeight="1">
      <c r="A442" s="381"/>
      <c r="B442" s="389">
        <v>42941</v>
      </c>
      <c r="C442" s="390">
        <v>1039.8699999999999</v>
      </c>
      <c r="D442" s="393"/>
      <c r="E442" s="392">
        <f t="shared" si="0"/>
        <v>8.8550940853737714E-4</v>
      </c>
      <c r="F442" s="393"/>
      <c r="G442" s="381"/>
      <c r="H442" s="381"/>
      <c r="I442" s="381"/>
      <c r="J442" s="381"/>
      <c r="K442" s="381"/>
      <c r="L442" s="381"/>
      <c r="M442" s="381"/>
      <c r="N442" s="381"/>
      <c r="O442" s="381"/>
      <c r="P442" s="381"/>
      <c r="Q442" s="381"/>
      <c r="R442" s="381"/>
      <c r="S442" s="381"/>
    </row>
    <row r="443" spans="1:19" ht="12.75" customHeight="1">
      <c r="A443" s="381"/>
      <c r="B443" s="389">
        <v>42942</v>
      </c>
      <c r="C443" s="390">
        <v>1052.8</v>
      </c>
      <c r="D443" s="393"/>
      <c r="E443" s="392">
        <f t="shared" si="0"/>
        <v>1.2434246588515885E-2</v>
      </c>
      <c r="F443" s="393"/>
      <c r="G443" s="381"/>
      <c r="H443" s="381"/>
      <c r="I443" s="381"/>
      <c r="J443" s="381"/>
      <c r="K443" s="381"/>
      <c r="L443" s="381"/>
      <c r="M443" s="381"/>
      <c r="N443" s="381"/>
      <c r="O443" s="381"/>
      <c r="P443" s="381"/>
      <c r="Q443" s="381"/>
      <c r="R443" s="381"/>
      <c r="S443" s="381"/>
    </row>
    <row r="444" spans="1:19" ht="12.75" customHeight="1">
      <c r="A444" s="381"/>
      <c r="B444" s="389">
        <v>42943</v>
      </c>
      <c r="C444" s="390">
        <v>1046</v>
      </c>
      <c r="D444" s="393"/>
      <c r="E444" s="392">
        <f t="shared" si="0"/>
        <v>-6.4589665653494999E-3</v>
      </c>
      <c r="F444" s="393"/>
      <c r="G444" s="381"/>
      <c r="H444" s="381"/>
      <c r="I444" s="381"/>
      <c r="J444" s="381"/>
      <c r="K444" s="381"/>
      <c r="L444" s="381"/>
      <c r="M444" s="381"/>
      <c r="N444" s="381"/>
      <c r="O444" s="381"/>
      <c r="P444" s="381"/>
      <c r="Q444" s="381"/>
      <c r="R444" s="381"/>
      <c r="S444" s="381"/>
    </row>
    <row r="445" spans="1:19" ht="12.75" customHeight="1">
      <c r="A445" s="381"/>
      <c r="B445" s="389">
        <v>42944</v>
      </c>
      <c r="C445" s="390">
        <v>1020.04</v>
      </c>
      <c r="D445" s="393"/>
      <c r="E445" s="392">
        <f t="shared" si="0"/>
        <v>-2.4818355640535361E-2</v>
      </c>
      <c r="F445" s="393"/>
      <c r="G445" s="381"/>
      <c r="H445" s="381"/>
      <c r="I445" s="381"/>
      <c r="J445" s="381"/>
      <c r="K445" s="381"/>
      <c r="L445" s="381"/>
      <c r="M445" s="381"/>
      <c r="N445" s="381"/>
      <c r="O445" s="381"/>
      <c r="P445" s="381"/>
      <c r="Q445" s="381"/>
      <c r="R445" s="381"/>
      <c r="S445" s="381"/>
    </row>
    <row r="446" spans="1:19" ht="12.75" customHeight="1">
      <c r="A446" s="381"/>
      <c r="B446" s="389">
        <v>42947</v>
      </c>
      <c r="C446" s="390">
        <v>987.78</v>
      </c>
      <c r="D446" s="393"/>
      <c r="E446" s="392">
        <f t="shared" si="0"/>
        <v>-3.1626210736833804E-2</v>
      </c>
      <c r="F446" s="393"/>
      <c r="G446" s="381"/>
      <c r="H446" s="381"/>
      <c r="I446" s="381"/>
      <c r="J446" s="381"/>
      <c r="K446" s="381"/>
      <c r="L446" s="381"/>
      <c r="M446" s="381"/>
      <c r="N446" s="381"/>
      <c r="O446" s="381"/>
      <c r="P446" s="381"/>
      <c r="Q446" s="381"/>
      <c r="R446" s="381"/>
      <c r="S446" s="381"/>
    </row>
    <row r="447" spans="1:19" ht="12.75" customHeight="1">
      <c r="A447" s="381"/>
      <c r="B447" s="389">
        <v>42948</v>
      </c>
      <c r="C447" s="390">
        <v>996.19</v>
      </c>
      <c r="D447" s="393"/>
      <c r="E447" s="392">
        <f t="shared" si="0"/>
        <v>8.514041588207899E-3</v>
      </c>
      <c r="F447" s="393"/>
      <c r="G447" s="381"/>
      <c r="H447" s="381"/>
      <c r="I447" s="381"/>
      <c r="J447" s="381"/>
      <c r="K447" s="381"/>
      <c r="L447" s="381"/>
      <c r="M447" s="381"/>
      <c r="N447" s="381"/>
      <c r="O447" s="381"/>
      <c r="P447" s="381"/>
      <c r="Q447" s="381"/>
      <c r="R447" s="381"/>
      <c r="S447" s="381"/>
    </row>
    <row r="448" spans="1:19" ht="12.75" customHeight="1">
      <c r="A448" s="381"/>
      <c r="B448" s="389">
        <v>42949</v>
      </c>
      <c r="C448" s="390">
        <v>995.89</v>
      </c>
      <c r="D448" s="393"/>
      <c r="E448" s="392">
        <f t="shared" si="0"/>
        <v>-3.0114737148545512E-4</v>
      </c>
      <c r="F448" s="393"/>
      <c r="G448" s="381"/>
      <c r="H448" s="381"/>
      <c r="I448" s="381"/>
      <c r="J448" s="381"/>
      <c r="K448" s="381"/>
      <c r="L448" s="381"/>
      <c r="M448" s="381"/>
      <c r="N448" s="381"/>
      <c r="O448" s="381"/>
      <c r="P448" s="381"/>
      <c r="Q448" s="381"/>
      <c r="R448" s="381"/>
      <c r="S448" s="381"/>
    </row>
    <row r="449" spans="1:19" ht="12.75" customHeight="1">
      <c r="A449" s="381"/>
      <c r="B449" s="389">
        <v>42950</v>
      </c>
      <c r="C449" s="390">
        <v>986.92</v>
      </c>
      <c r="D449" s="393"/>
      <c r="E449" s="392">
        <f t="shared" si="0"/>
        <v>-9.007018847463133E-3</v>
      </c>
      <c r="F449" s="393"/>
      <c r="G449" s="381"/>
      <c r="H449" s="381"/>
      <c r="I449" s="381"/>
      <c r="J449" s="381"/>
      <c r="K449" s="381"/>
      <c r="L449" s="381"/>
      <c r="M449" s="381"/>
      <c r="N449" s="381"/>
      <c r="O449" s="381"/>
      <c r="P449" s="381"/>
      <c r="Q449" s="381"/>
      <c r="R449" s="381"/>
      <c r="S449" s="381"/>
    </row>
    <row r="450" spans="1:19" ht="12.75" customHeight="1">
      <c r="A450" s="381"/>
      <c r="B450" s="389">
        <v>42951</v>
      </c>
      <c r="C450" s="390">
        <v>987.58</v>
      </c>
      <c r="D450" s="393"/>
      <c r="E450" s="392">
        <f t="shared" si="0"/>
        <v>6.6874721355336675E-4</v>
      </c>
      <c r="F450" s="393"/>
      <c r="G450" s="381"/>
      <c r="H450" s="381"/>
      <c r="I450" s="381"/>
      <c r="J450" s="381"/>
      <c r="K450" s="381"/>
      <c r="L450" s="381"/>
      <c r="M450" s="381"/>
      <c r="N450" s="381"/>
      <c r="O450" s="381"/>
      <c r="P450" s="381"/>
      <c r="Q450" s="381"/>
      <c r="R450" s="381"/>
      <c r="S450" s="381"/>
    </row>
    <row r="451" spans="1:19" ht="12.75" customHeight="1">
      <c r="A451" s="381"/>
      <c r="B451" s="389">
        <v>42954</v>
      </c>
      <c r="C451" s="390">
        <v>992.27</v>
      </c>
      <c r="D451" s="393"/>
      <c r="E451" s="392">
        <f t="shared" si="0"/>
        <v>4.7489823609225823E-3</v>
      </c>
      <c r="F451" s="393"/>
      <c r="G451" s="381"/>
      <c r="H451" s="381"/>
      <c r="I451" s="381"/>
      <c r="J451" s="381"/>
      <c r="K451" s="381"/>
      <c r="L451" s="381"/>
      <c r="M451" s="381"/>
      <c r="N451" s="381"/>
      <c r="O451" s="381"/>
      <c r="P451" s="381"/>
      <c r="Q451" s="381"/>
      <c r="R451" s="381"/>
      <c r="S451" s="381"/>
    </row>
    <row r="452" spans="1:19" ht="12.75" customHeight="1">
      <c r="A452" s="381"/>
      <c r="B452" s="389">
        <v>42955</v>
      </c>
      <c r="C452" s="390">
        <v>989.84</v>
      </c>
      <c r="D452" s="393"/>
      <c r="E452" s="392">
        <f t="shared" si="0"/>
        <v>-2.4489302306831551E-3</v>
      </c>
      <c r="F452" s="393"/>
      <c r="G452" s="381"/>
      <c r="H452" s="381"/>
      <c r="I452" s="381"/>
      <c r="J452" s="381"/>
      <c r="K452" s="381"/>
      <c r="L452" s="381"/>
      <c r="M452" s="381"/>
      <c r="N452" s="381"/>
      <c r="O452" s="381"/>
      <c r="P452" s="381"/>
      <c r="Q452" s="381"/>
      <c r="R452" s="381"/>
      <c r="S452" s="381"/>
    </row>
    <row r="453" spans="1:19" ht="12.75" customHeight="1">
      <c r="A453" s="381"/>
      <c r="B453" s="389">
        <v>42956</v>
      </c>
      <c r="C453" s="390">
        <v>982.01</v>
      </c>
      <c r="D453" s="393"/>
      <c r="E453" s="392">
        <f t="shared" si="0"/>
        <v>-7.9103693526226815E-3</v>
      </c>
      <c r="F453" s="393"/>
      <c r="G453" s="381"/>
      <c r="H453" s="381"/>
      <c r="I453" s="381"/>
      <c r="J453" s="381"/>
      <c r="K453" s="381"/>
      <c r="L453" s="381"/>
      <c r="M453" s="381"/>
      <c r="N453" s="381"/>
      <c r="O453" s="381"/>
      <c r="P453" s="381"/>
      <c r="Q453" s="381"/>
      <c r="R453" s="381"/>
      <c r="S453" s="381"/>
    </row>
    <row r="454" spans="1:19" ht="12.75" customHeight="1">
      <c r="A454" s="381"/>
      <c r="B454" s="389">
        <v>42957</v>
      </c>
      <c r="C454" s="390">
        <v>956.92</v>
      </c>
      <c r="D454" s="393"/>
      <c r="E454" s="392">
        <f t="shared" si="0"/>
        <v>-2.5549637987393181E-2</v>
      </c>
      <c r="F454" s="393"/>
      <c r="G454" s="381"/>
      <c r="H454" s="381"/>
      <c r="I454" s="381"/>
      <c r="J454" s="381"/>
      <c r="K454" s="381"/>
      <c r="L454" s="381"/>
      <c r="M454" s="381"/>
      <c r="N454" s="381"/>
      <c r="O454" s="381"/>
      <c r="P454" s="381"/>
      <c r="Q454" s="381"/>
      <c r="R454" s="381"/>
      <c r="S454" s="381"/>
    </row>
    <row r="455" spans="1:19" ht="12.75" customHeight="1">
      <c r="A455" s="381"/>
      <c r="B455" s="389">
        <v>42958</v>
      </c>
      <c r="C455" s="390">
        <v>967.99</v>
      </c>
      <c r="D455" s="393"/>
      <c r="E455" s="392">
        <f t="shared" si="0"/>
        <v>1.1568365171592321E-2</v>
      </c>
      <c r="F455" s="393"/>
      <c r="G455" s="381"/>
      <c r="H455" s="381"/>
      <c r="I455" s="381"/>
      <c r="J455" s="381"/>
      <c r="K455" s="381"/>
      <c r="L455" s="381"/>
      <c r="M455" s="381"/>
      <c r="N455" s="381"/>
      <c r="O455" s="381"/>
      <c r="P455" s="381"/>
      <c r="Q455" s="381"/>
      <c r="R455" s="381"/>
      <c r="S455" s="381"/>
    </row>
    <row r="456" spans="1:19" ht="12.75" customHeight="1">
      <c r="A456" s="381"/>
      <c r="B456" s="389">
        <v>42961</v>
      </c>
      <c r="C456" s="390">
        <v>983.3</v>
      </c>
      <c r="D456" s="393"/>
      <c r="E456" s="392">
        <f t="shared" si="0"/>
        <v>1.5816279093792129E-2</v>
      </c>
      <c r="F456" s="393"/>
      <c r="G456" s="381"/>
      <c r="H456" s="381"/>
      <c r="I456" s="381"/>
      <c r="J456" s="381"/>
      <c r="K456" s="381"/>
      <c r="L456" s="381"/>
      <c r="M456" s="381"/>
      <c r="N456" s="381"/>
      <c r="O456" s="381"/>
      <c r="P456" s="381"/>
      <c r="Q456" s="381"/>
      <c r="R456" s="381"/>
      <c r="S456" s="381"/>
    </row>
    <row r="457" spans="1:19" ht="12.75" customHeight="1">
      <c r="A457" s="381"/>
      <c r="B457" s="389">
        <v>42962</v>
      </c>
      <c r="C457" s="390">
        <v>982.74</v>
      </c>
      <c r="D457" s="393"/>
      <c r="E457" s="392">
        <f t="shared" si="0"/>
        <v>-5.6951083087553034E-4</v>
      </c>
      <c r="F457" s="393"/>
      <c r="G457" s="381"/>
      <c r="H457" s="381"/>
      <c r="I457" s="381"/>
      <c r="J457" s="381"/>
      <c r="K457" s="381"/>
      <c r="L457" s="381"/>
      <c r="M457" s="381"/>
      <c r="N457" s="381"/>
      <c r="O457" s="381"/>
      <c r="P457" s="381"/>
      <c r="Q457" s="381"/>
      <c r="R457" s="381"/>
      <c r="S457" s="381"/>
    </row>
    <row r="458" spans="1:19" ht="12.75" customHeight="1">
      <c r="A458" s="381"/>
      <c r="B458" s="389">
        <v>42963</v>
      </c>
      <c r="C458" s="390">
        <v>978.18</v>
      </c>
      <c r="D458" s="393"/>
      <c r="E458" s="392">
        <f t="shared" si="0"/>
        <v>-4.6400879174552934E-3</v>
      </c>
      <c r="F458" s="393"/>
      <c r="G458" s="381"/>
      <c r="H458" s="381"/>
      <c r="I458" s="381"/>
      <c r="J458" s="381"/>
      <c r="K458" s="381"/>
      <c r="L458" s="381"/>
      <c r="M458" s="381"/>
      <c r="N458" s="381"/>
      <c r="O458" s="381"/>
      <c r="P458" s="381"/>
      <c r="Q458" s="381"/>
      <c r="R458" s="381"/>
      <c r="S458" s="381"/>
    </row>
    <row r="459" spans="1:19" ht="12.75" customHeight="1">
      <c r="A459" s="381"/>
      <c r="B459" s="389">
        <v>42964</v>
      </c>
      <c r="C459" s="390">
        <v>960.57</v>
      </c>
      <c r="D459" s="393"/>
      <c r="E459" s="392">
        <f t="shared" si="0"/>
        <v>-1.8002821566582727E-2</v>
      </c>
      <c r="F459" s="393"/>
      <c r="G459" s="381"/>
      <c r="H459" s="381"/>
      <c r="I459" s="381"/>
      <c r="J459" s="381"/>
      <c r="K459" s="381"/>
      <c r="L459" s="381"/>
      <c r="M459" s="381"/>
      <c r="N459" s="381"/>
      <c r="O459" s="381"/>
      <c r="P459" s="381"/>
      <c r="Q459" s="381"/>
      <c r="R459" s="381"/>
      <c r="S459" s="381"/>
    </row>
    <row r="460" spans="1:19" ht="12.75" customHeight="1">
      <c r="A460" s="381"/>
      <c r="B460" s="389">
        <v>42965</v>
      </c>
      <c r="C460" s="390">
        <v>958.47</v>
      </c>
      <c r="D460" s="393"/>
      <c r="E460" s="392">
        <f t="shared" si="0"/>
        <v>-2.1862019425965551E-3</v>
      </c>
      <c r="F460" s="393"/>
      <c r="G460" s="381"/>
      <c r="H460" s="381"/>
      <c r="I460" s="381"/>
      <c r="J460" s="381"/>
      <c r="K460" s="381"/>
      <c r="L460" s="381"/>
      <c r="M460" s="381"/>
      <c r="N460" s="381"/>
      <c r="O460" s="381"/>
      <c r="P460" s="381"/>
      <c r="Q460" s="381"/>
      <c r="R460" s="381"/>
      <c r="S460" s="381"/>
    </row>
    <row r="461" spans="1:19" ht="12.75" customHeight="1">
      <c r="A461" s="381"/>
      <c r="B461" s="389">
        <v>42968</v>
      </c>
      <c r="C461" s="390">
        <v>953.29</v>
      </c>
      <c r="D461" s="393"/>
      <c r="E461" s="392">
        <f t="shared" si="0"/>
        <v>-5.4044466702140026E-3</v>
      </c>
      <c r="F461" s="393"/>
      <c r="G461" s="381"/>
      <c r="H461" s="381"/>
      <c r="I461" s="381"/>
      <c r="J461" s="381"/>
      <c r="K461" s="381"/>
      <c r="L461" s="381"/>
      <c r="M461" s="381"/>
      <c r="N461" s="381"/>
      <c r="O461" s="381"/>
      <c r="P461" s="381"/>
      <c r="Q461" s="381"/>
      <c r="R461" s="381"/>
      <c r="S461" s="381"/>
    </row>
    <row r="462" spans="1:19" ht="12.75" customHeight="1">
      <c r="A462" s="381"/>
      <c r="B462" s="389">
        <v>42969</v>
      </c>
      <c r="C462" s="390">
        <v>966.9</v>
      </c>
      <c r="D462" s="393"/>
      <c r="E462" s="392">
        <f t="shared" si="0"/>
        <v>1.4276872724984013E-2</v>
      </c>
      <c r="F462" s="393"/>
      <c r="G462" s="381"/>
      <c r="H462" s="381"/>
      <c r="I462" s="381"/>
      <c r="J462" s="381"/>
      <c r="K462" s="381"/>
      <c r="L462" s="381"/>
      <c r="M462" s="381"/>
      <c r="N462" s="381"/>
      <c r="O462" s="381"/>
      <c r="P462" s="381"/>
      <c r="Q462" s="381"/>
      <c r="R462" s="381"/>
      <c r="S462" s="381"/>
    </row>
    <row r="463" spans="1:19" ht="12.75" customHeight="1">
      <c r="A463" s="381"/>
      <c r="B463" s="389">
        <v>42970</v>
      </c>
      <c r="C463" s="390">
        <v>958</v>
      </c>
      <c r="D463" s="393"/>
      <c r="E463" s="392">
        <f t="shared" si="0"/>
        <v>-9.2046747336849144E-3</v>
      </c>
      <c r="F463" s="393"/>
      <c r="G463" s="381"/>
      <c r="H463" s="381"/>
      <c r="I463" s="381"/>
      <c r="J463" s="381"/>
      <c r="K463" s="381"/>
      <c r="L463" s="381"/>
      <c r="M463" s="381"/>
      <c r="N463" s="381"/>
      <c r="O463" s="381"/>
      <c r="P463" s="381"/>
      <c r="Q463" s="381"/>
      <c r="R463" s="381"/>
      <c r="S463" s="381"/>
    </row>
    <row r="464" spans="1:19" ht="12.75" customHeight="1">
      <c r="A464" s="381"/>
      <c r="B464" s="389">
        <v>42971</v>
      </c>
      <c r="C464" s="390">
        <v>952.45</v>
      </c>
      <c r="D464" s="393"/>
      <c r="E464" s="392">
        <f t="shared" si="0"/>
        <v>-5.7933194154488055E-3</v>
      </c>
      <c r="F464" s="393"/>
      <c r="G464" s="381"/>
      <c r="H464" s="381"/>
      <c r="I464" s="381"/>
      <c r="J464" s="381"/>
      <c r="K464" s="381"/>
      <c r="L464" s="381"/>
      <c r="M464" s="381"/>
      <c r="N464" s="381"/>
      <c r="O464" s="381"/>
      <c r="P464" s="381"/>
      <c r="Q464" s="381"/>
      <c r="R464" s="381"/>
      <c r="S464" s="381"/>
    </row>
    <row r="465" spans="1:19" ht="12.75" customHeight="1">
      <c r="A465" s="381"/>
      <c r="B465" s="389">
        <v>42972</v>
      </c>
      <c r="C465" s="390">
        <v>945.26</v>
      </c>
      <c r="D465" s="393"/>
      <c r="E465" s="392">
        <f t="shared" si="0"/>
        <v>-7.5489527009292567E-3</v>
      </c>
      <c r="F465" s="393"/>
      <c r="G465" s="381"/>
      <c r="H465" s="381"/>
      <c r="I465" s="381"/>
      <c r="J465" s="381"/>
      <c r="K465" s="381"/>
      <c r="L465" s="381"/>
      <c r="M465" s="381"/>
      <c r="N465" s="381"/>
      <c r="O465" s="381"/>
      <c r="P465" s="381"/>
      <c r="Q465" s="381"/>
      <c r="R465" s="381"/>
      <c r="S465" s="381"/>
    </row>
    <row r="466" spans="1:19" ht="12.75" customHeight="1">
      <c r="A466" s="381"/>
      <c r="B466" s="389">
        <v>42975</v>
      </c>
      <c r="C466" s="390">
        <v>946.02</v>
      </c>
      <c r="D466" s="393"/>
      <c r="E466" s="392">
        <f t="shared" si="0"/>
        <v>8.0401159469345451E-4</v>
      </c>
      <c r="F466" s="393"/>
      <c r="G466" s="381"/>
      <c r="H466" s="381"/>
      <c r="I466" s="381"/>
      <c r="J466" s="381"/>
      <c r="K466" s="381"/>
      <c r="L466" s="381"/>
      <c r="M466" s="381"/>
      <c r="N466" s="381"/>
      <c r="O466" s="381"/>
      <c r="P466" s="381"/>
      <c r="Q466" s="381"/>
      <c r="R466" s="381"/>
      <c r="S466" s="381"/>
    </row>
    <row r="467" spans="1:19" ht="12.75" customHeight="1">
      <c r="A467" s="381"/>
      <c r="B467" s="389">
        <v>42976</v>
      </c>
      <c r="C467" s="390">
        <v>954.06</v>
      </c>
      <c r="D467" s="393"/>
      <c r="E467" s="392">
        <f t="shared" si="0"/>
        <v>8.4987632396777979E-3</v>
      </c>
      <c r="F467" s="393"/>
      <c r="G467" s="381"/>
      <c r="H467" s="381"/>
      <c r="I467" s="381"/>
      <c r="J467" s="381"/>
      <c r="K467" s="381"/>
      <c r="L467" s="381"/>
      <c r="M467" s="381"/>
      <c r="N467" s="381"/>
      <c r="O467" s="381"/>
      <c r="P467" s="381"/>
      <c r="Q467" s="381"/>
      <c r="R467" s="381"/>
      <c r="S467" s="381"/>
    </row>
    <row r="468" spans="1:19" ht="12.75" customHeight="1">
      <c r="A468" s="381"/>
      <c r="B468" s="389">
        <v>42977</v>
      </c>
      <c r="C468" s="390">
        <v>967.59</v>
      </c>
      <c r="D468" s="393"/>
      <c r="E468" s="392">
        <f t="shared" si="0"/>
        <v>1.4181498018992711E-2</v>
      </c>
      <c r="F468" s="393"/>
      <c r="G468" s="381"/>
      <c r="H468" s="381"/>
      <c r="I468" s="381"/>
      <c r="J468" s="381"/>
      <c r="K468" s="381"/>
      <c r="L468" s="381"/>
      <c r="M468" s="381"/>
      <c r="N468" s="381"/>
      <c r="O468" s="381"/>
      <c r="P468" s="381"/>
      <c r="Q468" s="381"/>
      <c r="R468" s="381"/>
      <c r="S468" s="381"/>
    </row>
    <row r="469" spans="1:19" ht="12.75" customHeight="1">
      <c r="A469" s="381"/>
      <c r="B469" s="389">
        <v>42978</v>
      </c>
      <c r="C469" s="390">
        <v>980.6</v>
      </c>
      <c r="D469" s="393"/>
      <c r="E469" s="392">
        <f t="shared" si="0"/>
        <v>1.3445777653758206E-2</v>
      </c>
      <c r="F469" s="393"/>
      <c r="G469" s="381"/>
      <c r="H469" s="381"/>
      <c r="I469" s="381"/>
      <c r="J469" s="381"/>
      <c r="K469" s="381"/>
      <c r="L469" s="381"/>
      <c r="M469" s="381"/>
      <c r="N469" s="381"/>
      <c r="O469" s="381"/>
      <c r="P469" s="381"/>
      <c r="Q469" s="381"/>
      <c r="R469" s="381"/>
      <c r="S469" s="381"/>
    </row>
    <row r="470" spans="1:19" ht="12.75" customHeight="1">
      <c r="A470" s="381"/>
      <c r="B470" s="389">
        <v>42979</v>
      </c>
      <c r="C470" s="390">
        <v>978.25</v>
      </c>
      <c r="D470" s="393"/>
      <c r="E470" s="392">
        <f t="shared" si="0"/>
        <v>-2.3964919437079457E-3</v>
      </c>
      <c r="F470" s="393"/>
      <c r="G470" s="381"/>
      <c r="H470" s="381"/>
      <c r="I470" s="381"/>
      <c r="J470" s="381"/>
      <c r="K470" s="381"/>
      <c r="L470" s="381"/>
      <c r="M470" s="381"/>
      <c r="N470" s="381"/>
      <c r="O470" s="381"/>
      <c r="P470" s="381"/>
      <c r="Q470" s="381"/>
      <c r="R470" s="381"/>
      <c r="S470" s="381"/>
    </row>
    <row r="471" spans="1:19" ht="12.75" customHeight="1">
      <c r="A471" s="381"/>
      <c r="B471" s="389">
        <v>42983</v>
      </c>
      <c r="C471" s="390">
        <v>965.27</v>
      </c>
      <c r="D471" s="393"/>
      <c r="E471" s="392">
        <f t="shared" si="0"/>
        <v>-1.326859187324303E-2</v>
      </c>
      <c r="F471" s="393"/>
      <c r="G471" s="381"/>
      <c r="H471" s="381"/>
      <c r="I471" s="381"/>
      <c r="J471" s="381"/>
      <c r="K471" s="381"/>
      <c r="L471" s="381"/>
      <c r="M471" s="381"/>
      <c r="N471" s="381"/>
      <c r="O471" s="381"/>
      <c r="P471" s="381"/>
      <c r="Q471" s="381"/>
      <c r="R471" s="381"/>
      <c r="S471" s="381"/>
    </row>
    <row r="472" spans="1:19" ht="12.75" customHeight="1">
      <c r="A472" s="381"/>
      <c r="B472" s="389">
        <v>42984</v>
      </c>
      <c r="C472" s="390">
        <v>967.8</v>
      </c>
      <c r="D472" s="393"/>
      <c r="E472" s="392">
        <f t="shared" si="0"/>
        <v>2.6210283133216716E-3</v>
      </c>
      <c r="F472" s="393"/>
      <c r="G472" s="381"/>
      <c r="H472" s="381"/>
      <c r="I472" s="381"/>
      <c r="J472" s="381"/>
      <c r="K472" s="381"/>
      <c r="L472" s="381"/>
      <c r="M472" s="381"/>
      <c r="N472" s="381"/>
      <c r="O472" s="381"/>
      <c r="P472" s="381"/>
      <c r="Q472" s="381"/>
      <c r="R472" s="381"/>
      <c r="S472" s="381"/>
    </row>
    <row r="473" spans="1:19" ht="12.75" customHeight="1">
      <c r="A473" s="381"/>
      <c r="B473" s="389">
        <v>42985</v>
      </c>
      <c r="C473" s="390">
        <v>979.47</v>
      </c>
      <c r="D473" s="393"/>
      <c r="E473" s="392">
        <f t="shared" si="0"/>
        <v>1.2058276503409848E-2</v>
      </c>
      <c r="F473" s="393"/>
      <c r="G473" s="381"/>
      <c r="H473" s="381"/>
      <c r="I473" s="381"/>
      <c r="J473" s="381"/>
      <c r="K473" s="381"/>
      <c r="L473" s="381"/>
      <c r="M473" s="381"/>
      <c r="N473" s="381"/>
      <c r="O473" s="381"/>
      <c r="P473" s="381"/>
      <c r="Q473" s="381"/>
      <c r="R473" s="381"/>
      <c r="S473" s="381"/>
    </row>
    <row r="474" spans="1:19" ht="12.75" customHeight="1">
      <c r="A474" s="381"/>
      <c r="B474" s="389">
        <v>42986</v>
      </c>
      <c r="C474" s="390">
        <v>965.9</v>
      </c>
      <c r="D474" s="393"/>
      <c r="E474" s="392">
        <f t="shared" si="0"/>
        <v>-1.3854431478248497E-2</v>
      </c>
      <c r="F474" s="393"/>
      <c r="G474" s="381"/>
      <c r="H474" s="381"/>
      <c r="I474" s="381"/>
      <c r="J474" s="381"/>
      <c r="K474" s="381"/>
      <c r="L474" s="381"/>
      <c r="M474" s="381"/>
      <c r="N474" s="381"/>
      <c r="O474" s="381"/>
      <c r="P474" s="381"/>
      <c r="Q474" s="381"/>
      <c r="R474" s="381"/>
      <c r="S474" s="381"/>
    </row>
    <row r="475" spans="1:19" ht="12.75" customHeight="1">
      <c r="A475" s="381"/>
      <c r="B475" s="389">
        <v>42989</v>
      </c>
      <c r="C475" s="390">
        <v>977.96</v>
      </c>
      <c r="D475" s="393"/>
      <c r="E475" s="392">
        <f t="shared" si="0"/>
        <v>1.248576457190187E-2</v>
      </c>
      <c r="F475" s="393"/>
      <c r="G475" s="381"/>
      <c r="H475" s="381"/>
      <c r="I475" s="381"/>
      <c r="J475" s="381"/>
      <c r="K475" s="381"/>
      <c r="L475" s="381"/>
      <c r="M475" s="381"/>
      <c r="N475" s="381"/>
      <c r="O475" s="381"/>
      <c r="P475" s="381"/>
      <c r="Q475" s="381"/>
      <c r="R475" s="381"/>
      <c r="S475" s="381"/>
    </row>
    <row r="476" spans="1:19" ht="12.75" customHeight="1">
      <c r="A476" s="381"/>
      <c r="B476" s="389">
        <v>42990</v>
      </c>
      <c r="C476" s="390">
        <v>982.58</v>
      </c>
      <c r="D476" s="393"/>
      <c r="E476" s="392">
        <f t="shared" si="0"/>
        <v>4.7241195958935833E-3</v>
      </c>
      <c r="F476" s="393"/>
      <c r="G476" s="381"/>
      <c r="H476" s="381"/>
      <c r="I476" s="381"/>
      <c r="J476" s="381"/>
      <c r="K476" s="381"/>
      <c r="L476" s="381"/>
      <c r="M476" s="381"/>
      <c r="N476" s="381"/>
      <c r="O476" s="381"/>
      <c r="P476" s="381"/>
      <c r="Q476" s="381"/>
      <c r="R476" s="381"/>
      <c r="S476" s="381"/>
    </row>
    <row r="477" spans="1:19" ht="12.75" customHeight="1">
      <c r="A477" s="381"/>
      <c r="B477" s="389">
        <v>42991</v>
      </c>
      <c r="C477" s="390">
        <v>999.6</v>
      </c>
      <c r="D477" s="393"/>
      <c r="E477" s="392">
        <f t="shared" si="0"/>
        <v>1.7321744794317029E-2</v>
      </c>
      <c r="F477" s="393"/>
      <c r="G477" s="381"/>
      <c r="H477" s="381"/>
      <c r="I477" s="381"/>
      <c r="J477" s="381"/>
      <c r="K477" s="381"/>
      <c r="L477" s="381"/>
      <c r="M477" s="381"/>
      <c r="N477" s="381"/>
      <c r="O477" s="381"/>
      <c r="P477" s="381"/>
      <c r="Q477" s="381"/>
      <c r="R477" s="381"/>
      <c r="S477" s="381"/>
    </row>
    <row r="478" spans="1:19" ht="12.75" customHeight="1">
      <c r="A478" s="381"/>
      <c r="B478" s="389">
        <v>42992</v>
      </c>
      <c r="C478" s="390">
        <v>992.21</v>
      </c>
      <c r="D478" s="393"/>
      <c r="E478" s="392">
        <f t="shared" si="0"/>
        <v>-7.3929571828731389E-3</v>
      </c>
      <c r="F478" s="393"/>
      <c r="G478" s="381"/>
      <c r="H478" s="381"/>
      <c r="I478" s="381"/>
      <c r="J478" s="381"/>
      <c r="K478" s="381"/>
      <c r="L478" s="381"/>
      <c r="M478" s="381"/>
      <c r="N478" s="381"/>
      <c r="O478" s="381"/>
      <c r="P478" s="381"/>
      <c r="Q478" s="381"/>
      <c r="R478" s="381"/>
      <c r="S478" s="381"/>
    </row>
    <row r="479" spans="1:19" ht="12.75" customHeight="1">
      <c r="A479" s="381"/>
      <c r="B479" s="389">
        <v>42993</v>
      </c>
      <c r="C479" s="390">
        <v>986.79</v>
      </c>
      <c r="D479" s="393"/>
      <c r="E479" s="392">
        <f t="shared" si="0"/>
        <v>-5.4625532901302343E-3</v>
      </c>
      <c r="F479" s="393"/>
      <c r="G479" s="381"/>
      <c r="H479" s="381"/>
      <c r="I479" s="381"/>
      <c r="J479" s="381"/>
      <c r="K479" s="381"/>
      <c r="L479" s="381"/>
      <c r="M479" s="381"/>
      <c r="N479" s="381"/>
      <c r="O479" s="381"/>
      <c r="P479" s="381"/>
      <c r="Q479" s="381"/>
      <c r="R479" s="381"/>
      <c r="S479" s="381"/>
    </row>
    <row r="480" spans="1:19" ht="12.75" customHeight="1">
      <c r="A480" s="381"/>
      <c r="B480" s="389">
        <v>42996</v>
      </c>
      <c r="C480" s="390">
        <v>974.19</v>
      </c>
      <c r="D480" s="393"/>
      <c r="E480" s="392">
        <f t="shared" si="0"/>
        <v>-1.276867418599692E-2</v>
      </c>
      <c r="F480" s="393"/>
      <c r="G480" s="381"/>
      <c r="H480" s="381"/>
      <c r="I480" s="381"/>
      <c r="J480" s="381"/>
      <c r="K480" s="381"/>
      <c r="L480" s="381"/>
      <c r="M480" s="381"/>
      <c r="N480" s="381"/>
      <c r="O480" s="381"/>
      <c r="P480" s="381"/>
      <c r="Q480" s="381"/>
      <c r="R480" s="381"/>
      <c r="S480" s="381"/>
    </row>
    <row r="481" spans="1:19" ht="12.75" customHeight="1">
      <c r="A481" s="381"/>
      <c r="B481" s="389">
        <v>42997</v>
      </c>
      <c r="C481" s="390">
        <v>969.86</v>
      </c>
      <c r="D481" s="393"/>
      <c r="E481" s="392">
        <f t="shared" si="0"/>
        <v>-4.4447181761257948E-3</v>
      </c>
      <c r="F481" s="393"/>
      <c r="G481" s="381"/>
      <c r="H481" s="381"/>
      <c r="I481" s="381"/>
      <c r="J481" s="381"/>
      <c r="K481" s="381"/>
      <c r="L481" s="381"/>
      <c r="M481" s="381"/>
      <c r="N481" s="381"/>
      <c r="O481" s="381"/>
      <c r="P481" s="381"/>
      <c r="Q481" s="381"/>
      <c r="R481" s="381"/>
      <c r="S481" s="381"/>
    </row>
    <row r="482" spans="1:19" ht="12.75" customHeight="1">
      <c r="A482" s="381"/>
      <c r="B482" s="389">
        <v>42998</v>
      </c>
      <c r="C482" s="390">
        <v>973.21</v>
      </c>
      <c r="D482" s="393"/>
      <c r="E482" s="392">
        <f t="shared" si="0"/>
        <v>3.4541067782978274E-3</v>
      </c>
      <c r="F482" s="393"/>
      <c r="G482" s="381"/>
      <c r="H482" s="381"/>
      <c r="I482" s="381"/>
      <c r="J482" s="381"/>
      <c r="K482" s="381"/>
      <c r="L482" s="381"/>
      <c r="M482" s="381"/>
      <c r="N482" s="381"/>
      <c r="O482" s="381"/>
      <c r="P482" s="381"/>
      <c r="Q482" s="381"/>
      <c r="R482" s="381"/>
      <c r="S482" s="381"/>
    </row>
    <row r="483" spans="1:19" ht="12.75" customHeight="1">
      <c r="A483" s="381"/>
      <c r="B483" s="389">
        <v>42999</v>
      </c>
      <c r="C483" s="390">
        <v>964.65</v>
      </c>
      <c r="D483" s="393"/>
      <c r="E483" s="392">
        <f t="shared" si="0"/>
        <v>-8.7956350633471292E-3</v>
      </c>
      <c r="F483" s="393"/>
      <c r="G483" s="381"/>
      <c r="H483" s="381"/>
      <c r="I483" s="381"/>
      <c r="J483" s="381"/>
      <c r="K483" s="381"/>
      <c r="L483" s="381"/>
      <c r="M483" s="381"/>
      <c r="N483" s="381"/>
      <c r="O483" s="381"/>
      <c r="P483" s="381"/>
      <c r="Q483" s="381"/>
      <c r="R483" s="381"/>
      <c r="S483" s="381"/>
    </row>
    <row r="484" spans="1:19" ht="12.75" customHeight="1">
      <c r="A484" s="381"/>
      <c r="B484" s="389">
        <v>43000</v>
      </c>
      <c r="C484" s="390">
        <v>955.1</v>
      </c>
      <c r="D484" s="393"/>
      <c r="E484" s="392">
        <f t="shared" si="0"/>
        <v>-9.8999637174104205E-3</v>
      </c>
      <c r="F484" s="393"/>
      <c r="G484" s="381"/>
      <c r="H484" s="381"/>
      <c r="I484" s="381"/>
      <c r="J484" s="381"/>
      <c r="K484" s="381"/>
      <c r="L484" s="381"/>
      <c r="M484" s="381"/>
      <c r="N484" s="381"/>
      <c r="O484" s="381"/>
      <c r="P484" s="381"/>
      <c r="Q484" s="381"/>
      <c r="R484" s="381"/>
      <c r="S484" s="381"/>
    </row>
    <row r="485" spans="1:19" ht="12.75" customHeight="1">
      <c r="A485" s="381"/>
      <c r="B485" s="389">
        <v>43003</v>
      </c>
      <c r="C485" s="390">
        <v>939.79</v>
      </c>
      <c r="D485" s="393"/>
      <c r="E485" s="392">
        <f t="shared" si="0"/>
        <v>-1.6029735106271703E-2</v>
      </c>
      <c r="F485" s="393"/>
      <c r="G485" s="381"/>
      <c r="H485" s="381"/>
      <c r="I485" s="381"/>
      <c r="J485" s="381"/>
      <c r="K485" s="381"/>
      <c r="L485" s="381"/>
      <c r="M485" s="381"/>
      <c r="N485" s="381"/>
      <c r="O485" s="381"/>
      <c r="P485" s="381"/>
      <c r="Q485" s="381"/>
      <c r="R485" s="381"/>
      <c r="S485" s="381"/>
    </row>
    <row r="486" spans="1:19" ht="12.75" customHeight="1">
      <c r="A486" s="381"/>
      <c r="B486" s="389">
        <v>43004</v>
      </c>
      <c r="C486" s="390">
        <v>938.6</v>
      </c>
      <c r="D486" s="393"/>
      <c r="E486" s="392">
        <f t="shared" si="0"/>
        <v>-1.2662403302864389E-3</v>
      </c>
      <c r="F486" s="393"/>
      <c r="G486" s="381"/>
      <c r="H486" s="381"/>
      <c r="I486" s="381"/>
      <c r="J486" s="381"/>
      <c r="K486" s="381"/>
      <c r="L486" s="381"/>
      <c r="M486" s="381"/>
      <c r="N486" s="381"/>
      <c r="O486" s="381"/>
      <c r="P486" s="381"/>
      <c r="Q486" s="381"/>
      <c r="R486" s="381"/>
      <c r="S486" s="381"/>
    </row>
    <row r="487" spans="1:19" ht="12.75" customHeight="1">
      <c r="A487" s="381"/>
      <c r="B487" s="389">
        <v>43005</v>
      </c>
      <c r="C487" s="390">
        <v>950.87</v>
      </c>
      <c r="D487" s="393"/>
      <c r="E487" s="392">
        <f t="shared" si="0"/>
        <v>1.3072661410611586E-2</v>
      </c>
      <c r="F487" s="393"/>
      <c r="G487" s="381"/>
      <c r="H487" s="381"/>
      <c r="I487" s="381"/>
      <c r="J487" s="381"/>
      <c r="K487" s="381"/>
      <c r="L487" s="381"/>
      <c r="M487" s="381"/>
      <c r="N487" s="381"/>
      <c r="O487" s="381"/>
      <c r="P487" s="381"/>
      <c r="Q487" s="381"/>
      <c r="R487" s="381"/>
      <c r="S487" s="381"/>
    </row>
    <row r="488" spans="1:19" ht="12.75" customHeight="1">
      <c r="A488" s="381"/>
      <c r="B488" s="389">
        <v>43006</v>
      </c>
      <c r="C488" s="390">
        <v>956.4</v>
      </c>
      <c r="D488" s="393"/>
      <c r="E488" s="392">
        <f t="shared" si="0"/>
        <v>5.8157266503306992E-3</v>
      </c>
      <c r="F488" s="393"/>
      <c r="G488" s="381"/>
      <c r="H488" s="381"/>
      <c r="I488" s="381"/>
      <c r="J488" s="381"/>
      <c r="K488" s="381"/>
      <c r="L488" s="381"/>
      <c r="M488" s="381"/>
      <c r="N488" s="381"/>
      <c r="O488" s="381"/>
      <c r="P488" s="381"/>
      <c r="Q488" s="381"/>
      <c r="R488" s="381"/>
      <c r="S488" s="381"/>
    </row>
    <row r="489" spans="1:19" ht="12.75" customHeight="1">
      <c r="A489" s="381"/>
      <c r="B489" s="389">
        <v>43007</v>
      </c>
      <c r="C489" s="390">
        <v>961.35</v>
      </c>
      <c r="D489" s="393"/>
      <c r="E489" s="392">
        <f t="shared" si="0"/>
        <v>5.1756587202007598E-3</v>
      </c>
      <c r="F489" s="393"/>
      <c r="G489" s="381"/>
      <c r="H489" s="381"/>
      <c r="I489" s="381"/>
      <c r="J489" s="381"/>
      <c r="K489" s="381"/>
      <c r="L489" s="381"/>
      <c r="M489" s="381"/>
      <c r="N489" s="381"/>
      <c r="O489" s="381"/>
      <c r="P489" s="381"/>
      <c r="Q489" s="381"/>
      <c r="R489" s="381"/>
      <c r="S489" s="381"/>
    </row>
    <row r="490" spans="1:19" ht="12.75" customHeight="1">
      <c r="A490" s="381"/>
      <c r="B490" s="389">
        <v>43010</v>
      </c>
      <c r="C490" s="390">
        <v>959.19</v>
      </c>
      <c r="D490" s="393"/>
      <c r="E490" s="392">
        <f t="shared" si="0"/>
        <v>-2.2468403807145432E-3</v>
      </c>
      <c r="F490" s="393"/>
      <c r="G490" s="381"/>
      <c r="H490" s="381"/>
      <c r="I490" s="381"/>
      <c r="J490" s="381"/>
      <c r="K490" s="381"/>
      <c r="L490" s="381"/>
      <c r="M490" s="381"/>
      <c r="N490" s="381"/>
      <c r="O490" s="381"/>
      <c r="P490" s="381"/>
      <c r="Q490" s="381"/>
      <c r="R490" s="381"/>
      <c r="S490" s="381"/>
    </row>
    <row r="491" spans="1:19" ht="12.75" customHeight="1">
      <c r="A491" s="381"/>
      <c r="B491" s="389">
        <v>43011</v>
      </c>
      <c r="C491" s="390">
        <v>957.1</v>
      </c>
      <c r="D491" s="393"/>
      <c r="E491" s="392">
        <f t="shared" si="0"/>
        <v>-2.178921798600908E-3</v>
      </c>
      <c r="F491" s="393"/>
      <c r="G491" s="381"/>
      <c r="H491" s="381"/>
      <c r="I491" s="381"/>
      <c r="J491" s="381"/>
      <c r="K491" s="381"/>
      <c r="L491" s="381"/>
      <c r="M491" s="381"/>
      <c r="N491" s="381"/>
      <c r="O491" s="381"/>
      <c r="P491" s="381"/>
      <c r="Q491" s="381"/>
      <c r="R491" s="381"/>
      <c r="S491" s="381"/>
    </row>
    <row r="492" spans="1:19" ht="12.75" customHeight="1">
      <c r="A492" s="381"/>
      <c r="B492" s="389">
        <v>43012</v>
      </c>
      <c r="C492" s="390">
        <v>965.45</v>
      </c>
      <c r="D492" s="393"/>
      <c r="E492" s="392">
        <f t="shared" si="0"/>
        <v>8.7242712360255936E-3</v>
      </c>
      <c r="F492" s="393"/>
      <c r="G492" s="381"/>
      <c r="H492" s="381"/>
      <c r="I492" s="381"/>
      <c r="J492" s="381"/>
      <c r="K492" s="381"/>
      <c r="L492" s="381"/>
      <c r="M492" s="381"/>
      <c r="N492" s="381"/>
      <c r="O492" s="381"/>
      <c r="P492" s="381"/>
      <c r="Q492" s="381"/>
      <c r="R492" s="381"/>
      <c r="S492" s="381"/>
    </row>
    <row r="493" spans="1:19" ht="12.75" customHeight="1">
      <c r="A493" s="381"/>
      <c r="B493" s="389">
        <v>43013</v>
      </c>
      <c r="C493" s="390">
        <v>980.85</v>
      </c>
      <c r="D493" s="393"/>
      <c r="E493" s="392">
        <f t="shared" si="0"/>
        <v>1.5951110880936259E-2</v>
      </c>
      <c r="F493" s="393"/>
      <c r="G493" s="381"/>
      <c r="H493" s="381"/>
      <c r="I493" s="381"/>
      <c r="J493" s="381"/>
      <c r="K493" s="381"/>
      <c r="L493" s="381"/>
      <c r="M493" s="381"/>
      <c r="N493" s="381"/>
      <c r="O493" s="381"/>
      <c r="P493" s="381"/>
      <c r="Q493" s="381"/>
      <c r="R493" s="381"/>
      <c r="S493" s="381"/>
    </row>
    <row r="494" spans="1:19" ht="12.75" customHeight="1">
      <c r="A494" s="381"/>
      <c r="B494" s="389">
        <v>43014</v>
      </c>
      <c r="C494" s="390">
        <v>989.58</v>
      </c>
      <c r="D494" s="393"/>
      <c r="E494" s="392">
        <f t="shared" si="0"/>
        <v>8.9004434928887655E-3</v>
      </c>
      <c r="F494" s="393"/>
      <c r="G494" s="381"/>
      <c r="H494" s="381"/>
      <c r="I494" s="381"/>
      <c r="J494" s="381"/>
      <c r="K494" s="381"/>
      <c r="L494" s="381"/>
      <c r="M494" s="381"/>
      <c r="N494" s="381"/>
      <c r="O494" s="381"/>
      <c r="P494" s="381"/>
      <c r="Q494" s="381"/>
      <c r="R494" s="381"/>
      <c r="S494" s="381"/>
    </row>
    <row r="495" spans="1:19" ht="12.75" customHeight="1">
      <c r="A495" s="381"/>
      <c r="B495" s="389">
        <v>43017</v>
      </c>
      <c r="C495" s="390">
        <v>990.99</v>
      </c>
      <c r="D495" s="393"/>
      <c r="E495" s="392">
        <f t="shared" si="0"/>
        <v>1.4248469047475343E-3</v>
      </c>
      <c r="F495" s="393"/>
      <c r="G495" s="381"/>
      <c r="H495" s="381"/>
      <c r="I495" s="381"/>
      <c r="J495" s="381"/>
      <c r="K495" s="381"/>
      <c r="L495" s="381"/>
      <c r="M495" s="381"/>
      <c r="N495" s="381"/>
      <c r="O495" s="381"/>
      <c r="P495" s="381"/>
      <c r="Q495" s="381"/>
      <c r="R495" s="381"/>
      <c r="S495" s="381"/>
    </row>
    <row r="496" spans="1:19" ht="12.75" customHeight="1">
      <c r="A496" s="381"/>
      <c r="B496" s="389">
        <v>43018</v>
      </c>
      <c r="C496" s="390">
        <v>987.2</v>
      </c>
      <c r="D496" s="393"/>
      <c r="E496" s="392">
        <f t="shared" si="0"/>
        <v>-3.8244583699128532E-3</v>
      </c>
      <c r="F496" s="393"/>
      <c r="G496" s="381"/>
      <c r="H496" s="381"/>
      <c r="I496" s="381"/>
      <c r="J496" s="381"/>
      <c r="K496" s="381"/>
      <c r="L496" s="381"/>
      <c r="M496" s="381"/>
      <c r="N496" s="381"/>
      <c r="O496" s="381"/>
      <c r="P496" s="381"/>
      <c r="Q496" s="381"/>
      <c r="R496" s="381"/>
      <c r="S496" s="381"/>
    </row>
    <row r="497" spans="1:19" ht="12.75" customHeight="1">
      <c r="A497" s="381"/>
      <c r="B497" s="389">
        <v>43019</v>
      </c>
      <c r="C497" s="390">
        <v>995</v>
      </c>
      <c r="D497" s="393"/>
      <c r="E497" s="392">
        <f t="shared" si="0"/>
        <v>7.9011345218800155E-3</v>
      </c>
      <c r="F497" s="393"/>
      <c r="G497" s="381"/>
      <c r="H497" s="381"/>
      <c r="I497" s="381"/>
      <c r="J497" s="381"/>
      <c r="K497" s="381"/>
      <c r="L497" s="381"/>
      <c r="M497" s="381"/>
      <c r="N497" s="381"/>
      <c r="O497" s="381"/>
      <c r="P497" s="381"/>
      <c r="Q497" s="381"/>
      <c r="R497" s="381"/>
      <c r="S497" s="381"/>
    </row>
    <row r="498" spans="1:19" ht="12.75" customHeight="1">
      <c r="A498" s="381"/>
      <c r="B498" s="389">
        <v>43020</v>
      </c>
      <c r="C498" s="390">
        <v>1000.93</v>
      </c>
      <c r="D498" s="393"/>
      <c r="E498" s="392">
        <f t="shared" si="0"/>
        <v>5.9597989949748964E-3</v>
      </c>
      <c r="F498" s="393"/>
      <c r="G498" s="381"/>
      <c r="H498" s="381"/>
      <c r="I498" s="381"/>
      <c r="J498" s="381"/>
      <c r="K498" s="381"/>
      <c r="L498" s="381"/>
      <c r="M498" s="381"/>
      <c r="N498" s="381"/>
      <c r="O498" s="381"/>
      <c r="P498" s="381"/>
      <c r="Q498" s="381"/>
      <c r="R498" s="381"/>
      <c r="S498" s="381"/>
    </row>
    <row r="499" spans="1:19" ht="12.75" customHeight="1">
      <c r="A499" s="381"/>
      <c r="B499" s="389">
        <v>43021</v>
      </c>
      <c r="C499" s="390">
        <v>1002.94</v>
      </c>
      <c r="D499" s="393"/>
      <c r="E499" s="392">
        <f t="shared" si="0"/>
        <v>2.0081324368339537E-3</v>
      </c>
      <c r="F499" s="393"/>
      <c r="G499" s="381"/>
      <c r="H499" s="381"/>
      <c r="I499" s="381"/>
      <c r="J499" s="381"/>
      <c r="K499" s="381"/>
      <c r="L499" s="381"/>
      <c r="M499" s="381"/>
      <c r="N499" s="381"/>
      <c r="O499" s="381"/>
      <c r="P499" s="381"/>
      <c r="Q499" s="381"/>
      <c r="R499" s="381"/>
      <c r="S499" s="381"/>
    </row>
    <row r="500" spans="1:19" ht="12.75" customHeight="1">
      <c r="A500" s="381"/>
      <c r="B500" s="389">
        <v>43024</v>
      </c>
      <c r="C500" s="390">
        <v>1006.34</v>
      </c>
      <c r="D500" s="393"/>
      <c r="E500" s="392">
        <f t="shared" si="0"/>
        <v>3.390033302091755E-3</v>
      </c>
      <c r="F500" s="393"/>
      <c r="G500" s="381"/>
      <c r="H500" s="381"/>
      <c r="I500" s="381"/>
      <c r="J500" s="381"/>
      <c r="K500" s="381"/>
      <c r="L500" s="381"/>
      <c r="M500" s="381"/>
      <c r="N500" s="381"/>
      <c r="O500" s="381"/>
      <c r="P500" s="381"/>
      <c r="Q500" s="381"/>
      <c r="R500" s="381"/>
      <c r="S500" s="381"/>
    </row>
    <row r="501" spans="1:19" ht="12.75" customHeight="1">
      <c r="A501" s="381"/>
      <c r="B501" s="389">
        <v>43025</v>
      </c>
      <c r="C501" s="390">
        <v>1009.13</v>
      </c>
      <c r="D501" s="393"/>
      <c r="E501" s="392">
        <f t="shared" si="0"/>
        <v>2.7724228391994288E-3</v>
      </c>
      <c r="F501" s="393"/>
      <c r="G501" s="381"/>
      <c r="H501" s="381"/>
      <c r="I501" s="381"/>
      <c r="J501" s="381"/>
      <c r="K501" s="381"/>
      <c r="L501" s="381"/>
      <c r="M501" s="381"/>
      <c r="N501" s="381"/>
      <c r="O501" s="381"/>
      <c r="P501" s="381"/>
      <c r="Q501" s="381"/>
      <c r="R501" s="381"/>
      <c r="S501" s="381"/>
    </row>
    <row r="502" spans="1:19" ht="12.75" customHeight="1">
      <c r="A502" s="381"/>
      <c r="B502" s="389">
        <v>43026</v>
      </c>
      <c r="C502" s="390">
        <v>997</v>
      </c>
      <c r="D502" s="393"/>
      <c r="E502" s="392">
        <f t="shared" si="0"/>
        <v>-1.202025507119997E-2</v>
      </c>
      <c r="F502" s="393"/>
      <c r="G502" s="381"/>
      <c r="H502" s="381"/>
      <c r="I502" s="381"/>
      <c r="J502" s="381"/>
      <c r="K502" s="381"/>
      <c r="L502" s="381"/>
      <c r="M502" s="381"/>
      <c r="N502" s="381"/>
      <c r="O502" s="381"/>
      <c r="P502" s="381"/>
      <c r="Q502" s="381"/>
      <c r="R502" s="381"/>
      <c r="S502" s="381"/>
    </row>
    <row r="503" spans="1:19" ht="12.75" customHeight="1">
      <c r="A503" s="381"/>
      <c r="B503" s="389">
        <v>43027</v>
      </c>
      <c r="C503" s="390">
        <v>986.61</v>
      </c>
      <c r="D503" s="393"/>
      <c r="E503" s="392">
        <f t="shared" si="0"/>
        <v>-1.0421263791374091E-2</v>
      </c>
      <c r="F503" s="393"/>
      <c r="G503" s="381"/>
      <c r="H503" s="381"/>
      <c r="I503" s="381"/>
      <c r="J503" s="381"/>
      <c r="K503" s="381"/>
      <c r="L503" s="381"/>
      <c r="M503" s="381"/>
      <c r="N503" s="381"/>
      <c r="O503" s="381"/>
      <c r="P503" s="381"/>
      <c r="Q503" s="381"/>
      <c r="R503" s="381"/>
      <c r="S503" s="381"/>
    </row>
    <row r="504" spans="1:19" ht="12.75" customHeight="1">
      <c r="A504" s="381"/>
      <c r="B504" s="389">
        <v>43028</v>
      </c>
      <c r="C504" s="390">
        <v>982.91</v>
      </c>
      <c r="D504" s="393"/>
      <c r="E504" s="392">
        <f t="shared" si="0"/>
        <v>-3.750215383991673E-3</v>
      </c>
      <c r="F504" s="393"/>
      <c r="G504" s="381"/>
      <c r="H504" s="381"/>
      <c r="I504" s="381"/>
      <c r="J504" s="381"/>
      <c r="K504" s="381"/>
      <c r="L504" s="381"/>
      <c r="M504" s="381"/>
      <c r="N504" s="381"/>
      <c r="O504" s="381"/>
      <c r="P504" s="381"/>
      <c r="Q504" s="381"/>
      <c r="R504" s="381"/>
      <c r="S504" s="381"/>
    </row>
    <row r="505" spans="1:19" ht="12.75" customHeight="1">
      <c r="A505" s="381"/>
      <c r="B505" s="389">
        <v>43031</v>
      </c>
      <c r="C505" s="390">
        <v>966.3</v>
      </c>
      <c r="D505" s="393"/>
      <c r="E505" s="392">
        <f t="shared" si="0"/>
        <v>-1.6898800500554478E-2</v>
      </c>
      <c r="F505" s="393"/>
      <c r="G505" s="381"/>
      <c r="H505" s="381"/>
      <c r="I505" s="381"/>
      <c r="J505" s="381"/>
      <c r="K505" s="381"/>
      <c r="L505" s="381"/>
      <c r="M505" s="381"/>
      <c r="N505" s="381"/>
      <c r="O505" s="381"/>
      <c r="P505" s="381"/>
      <c r="Q505" s="381"/>
      <c r="R505" s="381"/>
      <c r="S505" s="381"/>
    </row>
    <row r="506" spans="1:19" ht="12.75" customHeight="1">
      <c r="A506" s="381"/>
      <c r="B506" s="389">
        <v>43032</v>
      </c>
      <c r="C506" s="390">
        <v>975.9</v>
      </c>
      <c r="D506" s="393"/>
      <c r="E506" s="392">
        <f t="shared" si="0"/>
        <v>9.9348028562558088E-3</v>
      </c>
      <c r="F506" s="393"/>
      <c r="G506" s="381"/>
      <c r="H506" s="381"/>
      <c r="I506" s="381"/>
      <c r="J506" s="381"/>
      <c r="K506" s="381"/>
      <c r="L506" s="381"/>
      <c r="M506" s="381"/>
      <c r="N506" s="381"/>
      <c r="O506" s="381"/>
      <c r="P506" s="381"/>
      <c r="Q506" s="381"/>
      <c r="R506" s="381"/>
      <c r="S506" s="381"/>
    </row>
    <row r="507" spans="1:19" ht="12.75" customHeight="1">
      <c r="A507" s="381"/>
      <c r="B507" s="389">
        <v>43033</v>
      </c>
      <c r="C507" s="390">
        <v>972.91</v>
      </c>
      <c r="D507" s="393"/>
      <c r="E507" s="392">
        <f t="shared" si="0"/>
        <v>-3.0638385080438146E-3</v>
      </c>
      <c r="F507" s="393"/>
      <c r="G507" s="381"/>
      <c r="H507" s="381"/>
      <c r="I507" s="381"/>
      <c r="J507" s="381"/>
      <c r="K507" s="381"/>
      <c r="L507" s="381"/>
      <c r="M507" s="381"/>
      <c r="N507" s="381"/>
      <c r="O507" s="381"/>
      <c r="P507" s="381"/>
      <c r="Q507" s="381"/>
      <c r="R507" s="381"/>
      <c r="S507" s="381"/>
    </row>
    <row r="508" spans="1:19" ht="12.75" customHeight="1">
      <c r="A508" s="381"/>
      <c r="B508" s="389">
        <v>43034</v>
      </c>
      <c r="C508" s="390">
        <v>972.43</v>
      </c>
      <c r="D508" s="393"/>
      <c r="E508" s="392">
        <f t="shared" si="0"/>
        <v>-4.9336526502963274E-4</v>
      </c>
      <c r="F508" s="393"/>
      <c r="G508" s="381"/>
      <c r="H508" s="381"/>
      <c r="I508" s="381"/>
      <c r="J508" s="381"/>
      <c r="K508" s="381"/>
      <c r="L508" s="381"/>
      <c r="M508" s="381"/>
      <c r="N508" s="381"/>
      <c r="O508" s="381"/>
      <c r="P508" s="381"/>
      <c r="Q508" s="381"/>
      <c r="R508" s="381"/>
      <c r="S508" s="381"/>
    </row>
    <row r="509" spans="1:19" ht="12.75" customHeight="1">
      <c r="A509" s="381"/>
      <c r="B509" s="389">
        <v>43035</v>
      </c>
      <c r="C509" s="390">
        <v>1100.95</v>
      </c>
      <c r="D509" s="393"/>
      <c r="E509" s="392">
        <f t="shared" si="0"/>
        <v>0.13216375471756336</v>
      </c>
      <c r="F509" s="393"/>
      <c r="G509" s="381"/>
      <c r="H509" s="381"/>
      <c r="I509" s="381"/>
      <c r="J509" s="381"/>
      <c r="K509" s="381"/>
      <c r="L509" s="381"/>
      <c r="M509" s="381"/>
      <c r="N509" s="381"/>
      <c r="O509" s="381"/>
      <c r="P509" s="381"/>
      <c r="Q509" s="381"/>
      <c r="R509" s="381"/>
      <c r="S509" s="381"/>
    </row>
    <row r="510" spans="1:19" ht="12.75" customHeight="1">
      <c r="A510" s="381"/>
      <c r="B510" s="389">
        <v>43038</v>
      </c>
      <c r="C510" s="390">
        <v>1110.8499999999999</v>
      </c>
      <c r="D510" s="393"/>
      <c r="E510" s="392">
        <f t="shared" si="0"/>
        <v>8.9922339797445794E-3</v>
      </c>
      <c r="F510" s="393"/>
      <c r="G510" s="381"/>
      <c r="H510" s="381"/>
      <c r="I510" s="381"/>
      <c r="J510" s="381"/>
      <c r="K510" s="381"/>
      <c r="L510" s="381"/>
      <c r="M510" s="381"/>
      <c r="N510" s="381"/>
      <c r="O510" s="381"/>
      <c r="P510" s="381"/>
      <c r="Q510" s="381"/>
      <c r="R510" s="381"/>
      <c r="S510" s="381"/>
    </row>
    <row r="511" spans="1:19" ht="12.75" customHeight="1">
      <c r="A511" s="381"/>
      <c r="B511" s="389">
        <v>43039</v>
      </c>
      <c r="C511" s="390">
        <v>1105.28</v>
      </c>
      <c r="D511" s="393"/>
      <c r="E511" s="392">
        <f t="shared" si="0"/>
        <v>-5.0141783319079813E-3</v>
      </c>
      <c r="F511" s="393"/>
      <c r="G511" s="381"/>
      <c r="H511" s="381"/>
      <c r="I511" s="381"/>
      <c r="J511" s="381"/>
      <c r="K511" s="381"/>
      <c r="L511" s="381"/>
      <c r="M511" s="381"/>
      <c r="N511" s="381"/>
      <c r="O511" s="381"/>
      <c r="P511" s="381"/>
      <c r="Q511" s="381"/>
      <c r="R511" s="381"/>
      <c r="S511" s="381"/>
    </row>
    <row r="512" spans="1:19" ht="12.75" customHeight="1">
      <c r="A512" s="381"/>
      <c r="B512" s="389">
        <v>43040</v>
      </c>
      <c r="C512" s="390">
        <v>1103.68</v>
      </c>
      <c r="D512" s="393"/>
      <c r="E512" s="392">
        <f t="shared" si="0"/>
        <v>-1.4475969889982121E-3</v>
      </c>
      <c r="F512" s="393"/>
      <c r="G512" s="381"/>
      <c r="H512" s="381"/>
      <c r="I512" s="381"/>
      <c r="J512" s="381"/>
      <c r="K512" s="381"/>
      <c r="L512" s="381"/>
      <c r="M512" s="381"/>
      <c r="N512" s="381"/>
      <c r="O512" s="381"/>
      <c r="P512" s="381"/>
      <c r="Q512" s="381"/>
      <c r="R512" s="381"/>
      <c r="S512" s="381"/>
    </row>
    <row r="513" spans="1:19" ht="12.75" customHeight="1">
      <c r="A513" s="381"/>
      <c r="B513" s="389">
        <v>43041</v>
      </c>
      <c r="C513" s="390">
        <v>1094.22</v>
      </c>
      <c r="D513" s="393"/>
      <c r="E513" s="392">
        <f t="shared" si="0"/>
        <v>-8.5713250217455128E-3</v>
      </c>
      <c r="F513" s="393"/>
      <c r="G513" s="381"/>
      <c r="H513" s="381"/>
      <c r="I513" s="381"/>
      <c r="J513" s="381"/>
      <c r="K513" s="381"/>
      <c r="L513" s="381"/>
      <c r="M513" s="381"/>
      <c r="N513" s="381"/>
      <c r="O513" s="381"/>
      <c r="P513" s="381"/>
      <c r="Q513" s="381"/>
      <c r="R513" s="381"/>
      <c r="S513" s="381"/>
    </row>
    <row r="514" spans="1:19" ht="12.75" customHeight="1">
      <c r="A514" s="381"/>
      <c r="B514" s="389">
        <v>43042</v>
      </c>
      <c r="C514" s="390">
        <v>1111.5999999999999</v>
      </c>
      <c r="D514" s="393"/>
      <c r="E514" s="392">
        <f t="shared" si="0"/>
        <v>1.5883460364460422E-2</v>
      </c>
      <c r="F514" s="393"/>
      <c r="G514" s="381"/>
      <c r="H514" s="381"/>
      <c r="I514" s="381"/>
      <c r="J514" s="381"/>
      <c r="K514" s="381"/>
      <c r="L514" s="381"/>
      <c r="M514" s="381"/>
      <c r="N514" s="381"/>
      <c r="O514" s="381"/>
      <c r="P514" s="381"/>
      <c r="Q514" s="381"/>
      <c r="R514" s="381"/>
      <c r="S514" s="381"/>
    </row>
    <row r="515" spans="1:19" ht="12.75" customHeight="1">
      <c r="A515" s="381"/>
      <c r="B515" s="389">
        <v>43045</v>
      </c>
      <c r="C515" s="390">
        <v>1120.6600000000001</v>
      </c>
      <c r="D515" s="393"/>
      <c r="E515" s="392">
        <f t="shared" si="0"/>
        <v>8.1504138179202545E-3</v>
      </c>
      <c r="F515" s="393"/>
      <c r="G515" s="381"/>
      <c r="H515" s="381"/>
      <c r="I515" s="381"/>
      <c r="J515" s="381"/>
      <c r="K515" s="381"/>
      <c r="L515" s="381"/>
      <c r="M515" s="381"/>
      <c r="N515" s="381"/>
      <c r="O515" s="381"/>
      <c r="P515" s="381"/>
      <c r="Q515" s="381"/>
      <c r="R515" s="381"/>
      <c r="S515" s="381"/>
    </row>
    <row r="516" spans="1:19" ht="12.75" customHeight="1">
      <c r="A516" s="381"/>
      <c r="B516" s="389">
        <v>43046</v>
      </c>
      <c r="C516" s="390">
        <v>1123.17</v>
      </c>
      <c r="D516" s="393"/>
      <c r="E516" s="392">
        <f t="shared" si="0"/>
        <v>2.23975157496481E-3</v>
      </c>
      <c r="F516" s="393"/>
      <c r="G516" s="381"/>
      <c r="H516" s="381"/>
      <c r="I516" s="381"/>
      <c r="J516" s="381"/>
      <c r="K516" s="381"/>
      <c r="L516" s="381"/>
      <c r="M516" s="381"/>
      <c r="N516" s="381"/>
      <c r="O516" s="381"/>
      <c r="P516" s="381"/>
      <c r="Q516" s="381"/>
      <c r="R516" s="381"/>
      <c r="S516" s="381"/>
    </row>
    <row r="517" spans="1:19" ht="12.75" customHeight="1">
      <c r="A517" s="381"/>
      <c r="B517" s="389">
        <v>43047</v>
      </c>
      <c r="C517" s="390">
        <v>1132.8800000000001</v>
      </c>
      <c r="D517" s="393"/>
      <c r="E517" s="392">
        <f t="shared" si="0"/>
        <v>8.6451739273663009E-3</v>
      </c>
      <c r="F517" s="393"/>
      <c r="G517" s="381"/>
      <c r="H517" s="381"/>
      <c r="I517" s="381"/>
      <c r="J517" s="381"/>
      <c r="K517" s="381"/>
      <c r="L517" s="381"/>
      <c r="M517" s="381"/>
      <c r="N517" s="381"/>
      <c r="O517" s="381"/>
      <c r="P517" s="381"/>
      <c r="Q517" s="381"/>
      <c r="R517" s="381"/>
      <c r="S517" s="381"/>
    </row>
    <row r="518" spans="1:19" ht="12.75" customHeight="1">
      <c r="A518" s="381"/>
      <c r="B518" s="389">
        <v>43048</v>
      </c>
      <c r="C518" s="390">
        <v>1129.1300000000001</v>
      </c>
      <c r="D518" s="393"/>
      <c r="E518" s="392">
        <f t="shared" si="0"/>
        <v>-3.3101475884471654E-3</v>
      </c>
      <c r="F518" s="393"/>
      <c r="G518" s="381"/>
      <c r="H518" s="381"/>
      <c r="I518" s="381"/>
      <c r="J518" s="381"/>
      <c r="K518" s="381"/>
      <c r="L518" s="381"/>
      <c r="M518" s="381"/>
      <c r="N518" s="381"/>
      <c r="O518" s="381"/>
      <c r="P518" s="381"/>
      <c r="Q518" s="381"/>
      <c r="R518" s="381"/>
      <c r="S518" s="381"/>
    </row>
    <row r="519" spans="1:19" ht="12.75" customHeight="1">
      <c r="A519" s="381"/>
      <c r="B519" s="389">
        <v>43049</v>
      </c>
      <c r="C519" s="390">
        <v>1125.3499999999999</v>
      </c>
      <c r="D519" s="393"/>
      <c r="E519" s="392">
        <f t="shared" si="0"/>
        <v>-3.3477101839470835E-3</v>
      </c>
      <c r="F519" s="393"/>
      <c r="G519" s="381"/>
      <c r="H519" s="381"/>
      <c r="I519" s="381"/>
      <c r="J519" s="381"/>
      <c r="K519" s="381"/>
      <c r="L519" s="381"/>
      <c r="M519" s="381"/>
      <c r="N519" s="381"/>
      <c r="O519" s="381"/>
      <c r="P519" s="381"/>
      <c r="Q519" s="381"/>
      <c r="R519" s="381"/>
      <c r="S519" s="381"/>
    </row>
    <row r="520" spans="1:19" ht="12.75" customHeight="1">
      <c r="A520" s="381"/>
      <c r="B520" s="389">
        <v>43052</v>
      </c>
      <c r="C520" s="390">
        <v>1129.17</v>
      </c>
      <c r="D520" s="393"/>
      <c r="E520" s="392">
        <f t="shared" si="0"/>
        <v>3.3944994890480196E-3</v>
      </c>
      <c r="F520" s="393"/>
      <c r="G520" s="381"/>
      <c r="H520" s="381"/>
      <c r="I520" s="381"/>
      <c r="J520" s="381"/>
      <c r="K520" s="381"/>
      <c r="L520" s="381"/>
      <c r="M520" s="381"/>
      <c r="N520" s="381"/>
      <c r="O520" s="381"/>
      <c r="P520" s="381"/>
      <c r="Q520" s="381"/>
      <c r="R520" s="381"/>
      <c r="S520" s="381"/>
    </row>
    <row r="521" spans="1:19" ht="12.75" customHeight="1">
      <c r="A521" s="381"/>
      <c r="B521" s="389">
        <v>43053</v>
      </c>
      <c r="C521" s="390">
        <v>1136.8399999999999</v>
      </c>
      <c r="D521" s="393"/>
      <c r="E521" s="392">
        <f t="shared" si="0"/>
        <v>6.7925998742437432E-3</v>
      </c>
      <c r="F521" s="393"/>
      <c r="G521" s="381"/>
      <c r="H521" s="381"/>
      <c r="I521" s="381"/>
      <c r="J521" s="381"/>
      <c r="K521" s="381"/>
      <c r="L521" s="381"/>
      <c r="M521" s="381"/>
      <c r="N521" s="381"/>
      <c r="O521" s="381"/>
      <c r="P521" s="381"/>
      <c r="Q521" s="381"/>
      <c r="R521" s="381"/>
      <c r="S521" s="381"/>
    </row>
    <row r="522" spans="1:19" ht="12.75" customHeight="1">
      <c r="A522" s="381"/>
      <c r="B522" s="389">
        <v>43054</v>
      </c>
      <c r="C522" s="390">
        <v>1126.69</v>
      </c>
      <c r="D522" s="393"/>
      <c r="E522" s="392">
        <f t="shared" si="0"/>
        <v>-8.9282572745503774E-3</v>
      </c>
      <c r="F522" s="393"/>
      <c r="G522" s="381"/>
      <c r="H522" s="381"/>
      <c r="I522" s="381"/>
      <c r="J522" s="381"/>
      <c r="K522" s="381"/>
      <c r="L522" s="381"/>
      <c r="M522" s="381"/>
      <c r="N522" s="381"/>
      <c r="O522" s="381"/>
      <c r="P522" s="381"/>
      <c r="Q522" s="381"/>
      <c r="R522" s="381"/>
      <c r="S522" s="381"/>
    </row>
    <row r="523" spans="1:19" ht="12.75" customHeight="1">
      <c r="A523" s="381"/>
      <c r="B523" s="389">
        <v>43055</v>
      </c>
      <c r="C523" s="390">
        <v>1137.29</v>
      </c>
      <c r="D523" s="393"/>
      <c r="E523" s="392">
        <f t="shared" si="0"/>
        <v>9.4080891815848666E-3</v>
      </c>
      <c r="F523" s="393"/>
      <c r="G523" s="381"/>
      <c r="H523" s="381"/>
      <c r="I523" s="381"/>
      <c r="J523" s="381"/>
      <c r="K523" s="381"/>
      <c r="L523" s="381"/>
      <c r="M523" s="381"/>
      <c r="N523" s="381"/>
      <c r="O523" s="381"/>
      <c r="P523" s="381"/>
      <c r="Q523" s="381"/>
      <c r="R523" s="381"/>
      <c r="S523" s="381"/>
    </row>
    <row r="524" spans="1:19" ht="12.75" customHeight="1">
      <c r="A524" s="381"/>
      <c r="B524" s="389">
        <v>43056</v>
      </c>
      <c r="C524" s="390">
        <v>1129.8800000000001</v>
      </c>
      <c r="D524" s="393"/>
      <c r="E524" s="392">
        <f t="shared" si="0"/>
        <v>-6.515488573714534E-3</v>
      </c>
      <c r="F524" s="393"/>
      <c r="G524" s="381"/>
      <c r="H524" s="381"/>
      <c r="I524" s="381"/>
      <c r="J524" s="381"/>
      <c r="K524" s="381"/>
      <c r="L524" s="381"/>
      <c r="M524" s="381"/>
      <c r="N524" s="381"/>
      <c r="O524" s="381"/>
      <c r="P524" s="381"/>
      <c r="Q524" s="381"/>
      <c r="R524" s="381"/>
      <c r="S524" s="381"/>
    </row>
    <row r="525" spans="1:19" ht="12.75" customHeight="1">
      <c r="A525" s="381"/>
      <c r="B525" s="389">
        <v>43059</v>
      </c>
      <c r="C525" s="390">
        <v>1126.31</v>
      </c>
      <c r="D525" s="393"/>
      <c r="E525" s="392">
        <f t="shared" si="0"/>
        <v>-3.1596275710696897E-3</v>
      </c>
      <c r="F525" s="393"/>
      <c r="G525" s="381"/>
      <c r="H525" s="381"/>
      <c r="I525" s="381"/>
      <c r="J525" s="381"/>
      <c r="K525" s="381"/>
      <c r="L525" s="381"/>
      <c r="M525" s="381"/>
      <c r="N525" s="381"/>
      <c r="O525" s="381"/>
      <c r="P525" s="381"/>
      <c r="Q525" s="381"/>
      <c r="R525" s="381"/>
      <c r="S525" s="381"/>
    </row>
    <row r="526" spans="1:19" ht="12.75" customHeight="1">
      <c r="A526" s="381"/>
      <c r="B526" s="389">
        <v>43060</v>
      </c>
      <c r="C526" s="390">
        <v>1139.49</v>
      </c>
      <c r="D526" s="393"/>
      <c r="E526" s="392">
        <f t="shared" si="0"/>
        <v>1.1701929308982395E-2</v>
      </c>
      <c r="F526" s="393"/>
      <c r="G526" s="381"/>
      <c r="H526" s="381"/>
      <c r="I526" s="381"/>
      <c r="J526" s="381"/>
      <c r="K526" s="381"/>
      <c r="L526" s="381"/>
      <c r="M526" s="381"/>
      <c r="N526" s="381"/>
      <c r="O526" s="381"/>
      <c r="P526" s="381"/>
      <c r="Q526" s="381"/>
      <c r="R526" s="381"/>
      <c r="S526" s="381"/>
    </row>
    <row r="527" spans="1:19" ht="12.75" customHeight="1">
      <c r="A527" s="381"/>
      <c r="B527" s="389">
        <v>43061</v>
      </c>
      <c r="C527" s="390">
        <v>1156.1600000000001</v>
      </c>
      <c r="D527" s="393"/>
      <c r="E527" s="392">
        <f t="shared" si="0"/>
        <v>1.4629351727527329E-2</v>
      </c>
      <c r="F527" s="393"/>
      <c r="G527" s="381"/>
      <c r="H527" s="381"/>
      <c r="I527" s="381"/>
      <c r="J527" s="381"/>
      <c r="K527" s="381"/>
      <c r="L527" s="381"/>
      <c r="M527" s="381"/>
      <c r="N527" s="381"/>
      <c r="O527" s="381"/>
      <c r="P527" s="381"/>
      <c r="Q527" s="381"/>
      <c r="R527" s="381"/>
      <c r="S527" s="381"/>
    </row>
    <row r="528" spans="1:19" ht="12.75" customHeight="1">
      <c r="A528" s="381"/>
      <c r="B528" s="389">
        <v>43063</v>
      </c>
      <c r="C528" s="390">
        <v>1186</v>
      </c>
      <c r="D528" s="393"/>
      <c r="E528" s="392">
        <f t="shared" si="0"/>
        <v>2.5809576529200129E-2</v>
      </c>
      <c r="F528" s="393"/>
      <c r="G528" s="381"/>
      <c r="H528" s="381"/>
      <c r="I528" s="381"/>
      <c r="J528" s="381"/>
      <c r="K528" s="381"/>
      <c r="L528" s="381"/>
      <c r="M528" s="381"/>
      <c r="N528" s="381"/>
      <c r="O528" s="381"/>
      <c r="P528" s="381"/>
      <c r="Q528" s="381"/>
      <c r="R528" s="381"/>
      <c r="S528" s="381"/>
    </row>
    <row r="529" spans="1:19" ht="12.75" customHeight="1">
      <c r="A529" s="381"/>
      <c r="B529" s="389">
        <v>43066</v>
      </c>
      <c r="C529" s="390">
        <v>1195.83</v>
      </c>
      <c r="D529" s="393"/>
      <c r="E529" s="392">
        <f t="shared" si="0"/>
        <v>8.2883642495783505E-3</v>
      </c>
      <c r="F529" s="393"/>
      <c r="G529" s="381"/>
      <c r="H529" s="381"/>
      <c r="I529" s="381"/>
      <c r="J529" s="381"/>
      <c r="K529" s="381"/>
      <c r="L529" s="381"/>
      <c r="M529" s="381"/>
      <c r="N529" s="381"/>
      <c r="O529" s="381"/>
      <c r="P529" s="381"/>
      <c r="Q529" s="381"/>
      <c r="R529" s="381"/>
      <c r="S529" s="381"/>
    </row>
    <row r="530" spans="1:19" ht="12.75" customHeight="1">
      <c r="A530" s="381"/>
      <c r="B530" s="389">
        <v>43067</v>
      </c>
      <c r="C530" s="390">
        <v>1193.5999999999999</v>
      </c>
      <c r="D530" s="393"/>
      <c r="E530" s="392">
        <f t="shared" si="0"/>
        <v>-1.8648135604559801E-3</v>
      </c>
      <c r="F530" s="393"/>
      <c r="G530" s="381"/>
      <c r="H530" s="381"/>
      <c r="I530" s="381"/>
      <c r="J530" s="381"/>
      <c r="K530" s="381"/>
      <c r="L530" s="381"/>
      <c r="M530" s="381"/>
      <c r="N530" s="381"/>
      <c r="O530" s="381"/>
      <c r="P530" s="381"/>
      <c r="Q530" s="381"/>
      <c r="R530" s="381"/>
      <c r="S530" s="381"/>
    </row>
    <row r="531" spans="1:19" ht="12.75" customHeight="1">
      <c r="A531" s="381"/>
      <c r="B531" s="389">
        <v>43068</v>
      </c>
      <c r="C531" s="390">
        <v>1161.27</v>
      </c>
      <c r="D531" s="393"/>
      <c r="E531" s="392">
        <f t="shared" si="0"/>
        <v>-2.7086126005361866E-2</v>
      </c>
      <c r="F531" s="393"/>
      <c r="G531" s="381"/>
      <c r="H531" s="381"/>
      <c r="I531" s="381"/>
      <c r="J531" s="381"/>
      <c r="K531" s="381"/>
      <c r="L531" s="381"/>
      <c r="M531" s="381"/>
      <c r="N531" s="381"/>
      <c r="O531" s="381"/>
      <c r="P531" s="381"/>
      <c r="Q531" s="381"/>
      <c r="R531" s="381"/>
      <c r="S531" s="381"/>
    </row>
    <row r="532" spans="1:19" ht="12.75" customHeight="1">
      <c r="A532" s="381"/>
      <c r="B532" s="389">
        <v>43069</v>
      </c>
      <c r="C532" s="390">
        <v>1176.75</v>
      </c>
      <c r="D532" s="393"/>
      <c r="E532" s="392">
        <f t="shared" si="0"/>
        <v>1.3330233279082337E-2</v>
      </c>
      <c r="F532" s="393"/>
      <c r="G532" s="381"/>
      <c r="H532" s="381"/>
      <c r="I532" s="381"/>
      <c r="J532" s="381"/>
      <c r="K532" s="381"/>
      <c r="L532" s="381"/>
      <c r="M532" s="381"/>
      <c r="N532" s="381"/>
      <c r="O532" s="381"/>
      <c r="P532" s="381"/>
      <c r="Q532" s="381"/>
      <c r="R532" s="381"/>
      <c r="S532" s="381"/>
    </row>
    <row r="533" spans="1:19" ht="12.75" customHeight="1">
      <c r="A533" s="381"/>
      <c r="B533" s="389">
        <v>43070</v>
      </c>
      <c r="C533" s="390">
        <v>1162.3499999999999</v>
      </c>
      <c r="D533" s="393"/>
      <c r="E533" s="392">
        <f t="shared" si="0"/>
        <v>-1.2237093690248613E-2</v>
      </c>
      <c r="F533" s="393"/>
      <c r="G533" s="381"/>
      <c r="H533" s="381"/>
      <c r="I533" s="381"/>
      <c r="J533" s="381"/>
      <c r="K533" s="381"/>
      <c r="L533" s="381"/>
      <c r="M533" s="381"/>
      <c r="N533" s="381"/>
      <c r="O533" s="381"/>
      <c r="P533" s="381"/>
      <c r="Q533" s="381"/>
      <c r="R533" s="381"/>
      <c r="S533" s="381"/>
    </row>
    <row r="534" spans="1:19" ht="12.75" customHeight="1">
      <c r="A534" s="381"/>
      <c r="B534" s="389">
        <v>43073</v>
      </c>
      <c r="C534" s="390">
        <v>1133.95</v>
      </c>
      <c r="D534" s="393"/>
      <c r="E534" s="392">
        <f t="shared" si="0"/>
        <v>-2.4433260205617868E-2</v>
      </c>
      <c r="F534" s="393"/>
      <c r="G534" s="381"/>
      <c r="H534" s="381"/>
      <c r="I534" s="381"/>
      <c r="J534" s="381"/>
      <c r="K534" s="381"/>
      <c r="L534" s="381"/>
      <c r="M534" s="381"/>
      <c r="N534" s="381"/>
      <c r="O534" s="381"/>
      <c r="P534" s="381"/>
      <c r="Q534" s="381"/>
      <c r="R534" s="381"/>
      <c r="S534" s="381"/>
    </row>
    <row r="535" spans="1:19" ht="12.75" customHeight="1">
      <c r="A535" s="381"/>
      <c r="B535" s="389">
        <v>43074</v>
      </c>
      <c r="C535" s="390">
        <v>1141.57</v>
      </c>
      <c r="D535" s="393"/>
      <c r="E535" s="392">
        <f t="shared" si="0"/>
        <v>6.7198730102737692E-3</v>
      </c>
      <c r="F535" s="393"/>
      <c r="G535" s="381"/>
      <c r="H535" s="381"/>
      <c r="I535" s="381"/>
      <c r="J535" s="381"/>
      <c r="K535" s="381"/>
      <c r="L535" s="381"/>
      <c r="M535" s="381"/>
      <c r="N535" s="381"/>
      <c r="O535" s="381"/>
      <c r="P535" s="381"/>
      <c r="Q535" s="381"/>
      <c r="R535" s="381"/>
      <c r="S535" s="381"/>
    </row>
    <row r="536" spans="1:19" ht="12.75" customHeight="1">
      <c r="A536" s="381"/>
      <c r="B536" s="389">
        <v>43075</v>
      </c>
      <c r="C536" s="390">
        <v>1152.3499999999999</v>
      </c>
      <c r="D536" s="393"/>
      <c r="E536" s="392">
        <f t="shared" si="0"/>
        <v>9.4431353311668076E-3</v>
      </c>
      <c r="F536" s="393"/>
      <c r="G536" s="381"/>
      <c r="H536" s="381"/>
      <c r="I536" s="381"/>
      <c r="J536" s="381"/>
      <c r="K536" s="381"/>
      <c r="L536" s="381"/>
      <c r="M536" s="381"/>
      <c r="N536" s="381"/>
      <c r="O536" s="381"/>
      <c r="P536" s="381"/>
      <c r="Q536" s="381"/>
      <c r="R536" s="381"/>
      <c r="S536" s="381"/>
    </row>
    <row r="537" spans="1:19" ht="12.75" customHeight="1">
      <c r="A537" s="381"/>
      <c r="B537" s="389">
        <v>43076</v>
      </c>
      <c r="C537" s="390">
        <v>1159.79</v>
      </c>
      <c r="D537" s="393"/>
      <c r="E537" s="392">
        <f t="shared" si="0"/>
        <v>6.4563717620516048E-3</v>
      </c>
      <c r="F537" s="393"/>
      <c r="G537" s="381"/>
      <c r="H537" s="381"/>
      <c r="I537" s="381"/>
      <c r="J537" s="381"/>
      <c r="K537" s="381"/>
      <c r="L537" s="381"/>
      <c r="M537" s="381"/>
      <c r="N537" s="381"/>
      <c r="O537" s="381"/>
      <c r="P537" s="381"/>
      <c r="Q537" s="381"/>
      <c r="R537" s="381"/>
      <c r="S537" s="381"/>
    </row>
    <row r="538" spans="1:19" ht="12.75" customHeight="1">
      <c r="A538" s="381"/>
      <c r="B538" s="389">
        <v>43077</v>
      </c>
      <c r="C538" s="390">
        <v>1162</v>
      </c>
      <c r="D538" s="393"/>
      <c r="E538" s="392">
        <f t="shared" si="0"/>
        <v>1.9055173781461487E-3</v>
      </c>
      <c r="F538" s="393"/>
      <c r="G538" s="381"/>
      <c r="H538" s="381"/>
      <c r="I538" s="381"/>
      <c r="J538" s="381"/>
      <c r="K538" s="381"/>
      <c r="L538" s="381"/>
      <c r="M538" s="381"/>
      <c r="N538" s="381"/>
      <c r="O538" s="381"/>
      <c r="P538" s="381"/>
      <c r="Q538" s="381"/>
      <c r="R538" s="381"/>
      <c r="S538" s="381"/>
    </row>
    <row r="539" spans="1:19" ht="12.75" customHeight="1">
      <c r="A539" s="381"/>
      <c r="B539" s="389">
        <v>43080</v>
      </c>
      <c r="C539" s="390">
        <v>1168.92</v>
      </c>
      <c r="D539" s="393"/>
      <c r="E539" s="392">
        <f t="shared" si="0"/>
        <v>5.9552495697074992E-3</v>
      </c>
      <c r="F539" s="393"/>
      <c r="G539" s="381"/>
      <c r="H539" s="381"/>
      <c r="I539" s="381"/>
      <c r="J539" s="381"/>
      <c r="K539" s="381"/>
      <c r="L539" s="381"/>
      <c r="M539" s="381"/>
      <c r="N539" s="381"/>
      <c r="O539" s="381"/>
      <c r="P539" s="381"/>
      <c r="Q539" s="381"/>
      <c r="R539" s="381"/>
      <c r="S539" s="381"/>
    </row>
    <row r="540" spans="1:19" ht="12.75" customHeight="1">
      <c r="A540" s="381"/>
      <c r="B540" s="389">
        <v>43081</v>
      </c>
      <c r="C540" s="390">
        <v>1165.08</v>
      </c>
      <c r="D540" s="393"/>
      <c r="E540" s="392">
        <f t="shared" si="0"/>
        <v>-3.2850836669747752E-3</v>
      </c>
      <c r="F540" s="393"/>
      <c r="G540" s="381"/>
      <c r="H540" s="381"/>
      <c r="I540" s="381"/>
      <c r="J540" s="381"/>
      <c r="K540" s="381"/>
      <c r="L540" s="381"/>
      <c r="M540" s="381"/>
      <c r="N540" s="381"/>
      <c r="O540" s="381"/>
      <c r="P540" s="381"/>
      <c r="Q540" s="381"/>
      <c r="R540" s="381"/>
      <c r="S540" s="381"/>
    </row>
    <row r="541" spans="1:19" ht="12.75" customHeight="1">
      <c r="A541" s="381"/>
      <c r="B541" s="389">
        <v>43082</v>
      </c>
      <c r="C541" s="390">
        <v>1164.1300000000001</v>
      </c>
      <c r="D541" s="393"/>
      <c r="E541" s="392">
        <f t="shared" si="0"/>
        <v>-8.1539465101088116E-4</v>
      </c>
      <c r="F541" s="393"/>
      <c r="G541" s="381"/>
      <c r="H541" s="381"/>
      <c r="I541" s="381"/>
      <c r="J541" s="381"/>
      <c r="K541" s="381"/>
      <c r="L541" s="381"/>
      <c r="M541" s="381"/>
      <c r="N541" s="381"/>
      <c r="O541" s="381"/>
      <c r="P541" s="381"/>
      <c r="Q541" s="381"/>
      <c r="R541" s="381"/>
      <c r="S541" s="381"/>
    </row>
    <row r="542" spans="1:19" ht="12.75" customHeight="1">
      <c r="A542" s="381"/>
      <c r="B542" s="389">
        <v>43083</v>
      </c>
      <c r="C542" s="390">
        <v>1174.26</v>
      </c>
      <c r="D542" s="393"/>
      <c r="E542" s="392">
        <f t="shared" si="0"/>
        <v>8.7017772929138815E-3</v>
      </c>
      <c r="F542" s="393"/>
      <c r="G542" s="381"/>
      <c r="H542" s="381"/>
      <c r="I542" s="381"/>
      <c r="J542" s="381"/>
      <c r="K542" s="381"/>
      <c r="L542" s="381"/>
      <c r="M542" s="381"/>
      <c r="N542" s="381"/>
      <c r="O542" s="381"/>
      <c r="P542" s="381"/>
      <c r="Q542" s="381"/>
      <c r="R542" s="381"/>
      <c r="S542" s="381"/>
    </row>
    <row r="543" spans="1:19" ht="12.75" customHeight="1">
      <c r="A543" s="381"/>
      <c r="B543" s="389">
        <v>43084</v>
      </c>
      <c r="C543" s="390">
        <v>1179.1400000000001</v>
      </c>
      <c r="D543" s="393"/>
      <c r="E543" s="392">
        <f t="shared" si="0"/>
        <v>4.1558087646689224E-3</v>
      </c>
      <c r="F543" s="393"/>
      <c r="G543" s="381"/>
      <c r="H543" s="381"/>
      <c r="I543" s="381"/>
      <c r="J543" s="381"/>
      <c r="K543" s="381"/>
      <c r="L543" s="381"/>
      <c r="M543" s="381"/>
      <c r="N543" s="381"/>
      <c r="O543" s="381"/>
      <c r="P543" s="381"/>
      <c r="Q543" s="381"/>
      <c r="R543" s="381"/>
      <c r="S543" s="381"/>
    </row>
    <row r="544" spans="1:19" ht="12.75" customHeight="1">
      <c r="A544" s="381"/>
      <c r="B544" s="389">
        <v>43087</v>
      </c>
      <c r="C544" s="390">
        <v>1190.58</v>
      </c>
      <c r="D544" s="393"/>
      <c r="E544" s="392">
        <f t="shared" si="0"/>
        <v>9.7019861933271834E-3</v>
      </c>
      <c r="F544" s="393"/>
      <c r="G544" s="381"/>
      <c r="H544" s="381"/>
      <c r="I544" s="381"/>
      <c r="J544" s="381"/>
      <c r="K544" s="381"/>
      <c r="L544" s="381"/>
      <c r="M544" s="381"/>
      <c r="N544" s="381"/>
      <c r="O544" s="381"/>
      <c r="P544" s="381"/>
      <c r="Q544" s="381"/>
      <c r="R544" s="381"/>
      <c r="S544" s="381"/>
    </row>
    <row r="545" spans="1:19" ht="12.75" customHeight="1">
      <c r="A545" s="381"/>
      <c r="B545" s="389">
        <v>43088</v>
      </c>
      <c r="C545" s="390">
        <v>1187.3800000000001</v>
      </c>
      <c r="D545" s="393"/>
      <c r="E545" s="392">
        <f t="shared" si="0"/>
        <v>-2.6877656268371464E-3</v>
      </c>
      <c r="F545" s="393"/>
      <c r="G545" s="381"/>
      <c r="H545" s="381"/>
      <c r="I545" s="381"/>
      <c r="J545" s="381"/>
      <c r="K545" s="381"/>
      <c r="L545" s="381"/>
      <c r="M545" s="381"/>
      <c r="N545" s="381"/>
      <c r="O545" s="381"/>
      <c r="P545" s="381"/>
      <c r="Q545" s="381"/>
      <c r="R545" s="381"/>
      <c r="S545" s="381"/>
    </row>
    <row r="546" spans="1:19" ht="12.75" customHeight="1">
      <c r="A546" s="381"/>
      <c r="B546" s="389">
        <v>43089</v>
      </c>
      <c r="C546" s="390">
        <v>1177.6199999999999</v>
      </c>
      <c r="D546" s="393"/>
      <c r="E546" s="392">
        <f t="shared" si="0"/>
        <v>-8.219777998618949E-3</v>
      </c>
      <c r="F546" s="393"/>
      <c r="G546" s="381"/>
      <c r="H546" s="381"/>
      <c r="I546" s="381"/>
      <c r="J546" s="381"/>
      <c r="K546" s="381"/>
      <c r="L546" s="381"/>
      <c r="M546" s="381"/>
      <c r="N546" s="381"/>
      <c r="O546" s="381"/>
      <c r="P546" s="381"/>
      <c r="Q546" s="381"/>
      <c r="R546" s="381"/>
      <c r="S546" s="381"/>
    </row>
    <row r="547" spans="1:19" ht="12.75" customHeight="1">
      <c r="A547" s="381"/>
      <c r="B547" s="389">
        <v>43090</v>
      </c>
      <c r="C547" s="390">
        <v>1174.76</v>
      </c>
      <c r="D547" s="393"/>
      <c r="E547" s="392">
        <f t="shared" si="0"/>
        <v>-2.4286272311950796E-3</v>
      </c>
      <c r="F547" s="393"/>
      <c r="G547" s="381"/>
      <c r="H547" s="381"/>
      <c r="I547" s="381"/>
      <c r="J547" s="381"/>
      <c r="K547" s="381"/>
      <c r="L547" s="381"/>
      <c r="M547" s="381"/>
      <c r="N547" s="381"/>
      <c r="O547" s="381"/>
      <c r="P547" s="381"/>
      <c r="Q547" s="381"/>
      <c r="R547" s="381"/>
      <c r="S547" s="381"/>
    </row>
    <row r="548" spans="1:19" ht="12.75" customHeight="1">
      <c r="A548" s="381"/>
      <c r="B548" s="389">
        <v>43091</v>
      </c>
      <c r="C548" s="390">
        <v>1168.3599999999999</v>
      </c>
      <c r="D548" s="393"/>
      <c r="E548" s="392">
        <f t="shared" si="0"/>
        <v>-5.4479212775375707E-3</v>
      </c>
      <c r="F548" s="393"/>
      <c r="G548" s="381"/>
      <c r="H548" s="381"/>
      <c r="I548" s="381"/>
      <c r="J548" s="381"/>
      <c r="K548" s="381"/>
      <c r="L548" s="381"/>
      <c r="M548" s="381"/>
      <c r="N548" s="381"/>
      <c r="O548" s="381"/>
      <c r="P548" s="381"/>
      <c r="Q548" s="381"/>
      <c r="R548" s="381"/>
      <c r="S548" s="381"/>
    </row>
    <row r="549" spans="1:19" ht="12.75" customHeight="1">
      <c r="A549" s="381"/>
      <c r="B549" s="389">
        <v>43095</v>
      </c>
      <c r="C549" s="390">
        <v>1176.76</v>
      </c>
      <c r="D549" s="393"/>
      <c r="E549" s="392">
        <f t="shared" si="0"/>
        <v>7.1895648601458806E-3</v>
      </c>
      <c r="F549" s="393"/>
      <c r="G549" s="381"/>
      <c r="H549" s="381"/>
      <c r="I549" s="381"/>
      <c r="J549" s="381"/>
      <c r="K549" s="381"/>
      <c r="L549" s="381"/>
      <c r="M549" s="381"/>
      <c r="N549" s="381"/>
      <c r="O549" s="381"/>
      <c r="P549" s="381"/>
      <c r="Q549" s="381"/>
      <c r="R549" s="381"/>
      <c r="S549" s="381"/>
    </row>
    <row r="550" spans="1:19" ht="12.75" customHeight="1">
      <c r="A550" s="381"/>
      <c r="B550" s="389">
        <v>43096</v>
      </c>
      <c r="C550" s="390">
        <v>1182.26</v>
      </c>
      <c r="D550" s="393"/>
      <c r="E550" s="392">
        <f t="shared" si="0"/>
        <v>4.6738502328427245E-3</v>
      </c>
      <c r="F550" s="393"/>
      <c r="G550" s="381"/>
      <c r="H550" s="381"/>
      <c r="I550" s="381"/>
      <c r="J550" s="381"/>
      <c r="K550" s="381"/>
      <c r="L550" s="381"/>
      <c r="M550" s="381"/>
      <c r="N550" s="381"/>
      <c r="O550" s="381"/>
      <c r="P550" s="381"/>
      <c r="Q550" s="381"/>
      <c r="R550" s="381"/>
      <c r="S550" s="381"/>
    </row>
    <row r="551" spans="1:19" ht="12.75" customHeight="1">
      <c r="A551" s="381"/>
      <c r="B551" s="389">
        <v>43097</v>
      </c>
      <c r="C551" s="390">
        <v>1186.0999999999999</v>
      </c>
      <c r="D551" s="393"/>
      <c r="E551" s="392">
        <f t="shared" si="0"/>
        <v>3.2480165107504622E-3</v>
      </c>
      <c r="F551" s="393"/>
      <c r="G551" s="381"/>
      <c r="H551" s="381"/>
      <c r="I551" s="381"/>
      <c r="J551" s="381"/>
      <c r="K551" s="381"/>
      <c r="L551" s="381"/>
      <c r="M551" s="381"/>
      <c r="N551" s="381"/>
      <c r="O551" s="381"/>
      <c r="P551" s="381"/>
      <c r="Q551" s="381"/>
      <c r="R551" s="381"/>
      <c r="S551" s="381"/>
    </row>
    <row r="552" spans="1:19" ht="12.75" customHeight="1">
      <c r="A552" s="381"/>
      <c r="B552" s="389">
        <v>43098</v>
      </c>
      <c r="C552" s="390">
        <v>1169.47</v>
      </c>
      <c r="D552" s="393"/>
      <c r="E552" s="392">
        <f t="shared" si="0"/>
        <v>-1.4020740241126317E-2</v>
      </c>
      <c r="F552" s="393"/>
      <c r="G552" s="381"/>
      <c r="H552" s="381"/>
      <c r="I552" s="381"/>
      <c r="J552" s="381"/>
      <c r="K552" s="381"/>
      <c r="L552" s="381"/>
      <c r="M552" s="381"/>
      <c r="N552" s="381"/>
      <c r="O552" s="381"/>
      <c r="P552" s="381"/>
      <c r="Q552" s="381"/>
      <c r="R552" s="381"/>
      <c r="S552" s="381"/>
    </row>
    <row r="553" spans="1:19" ht="12.75" customHeight="1">
      <c r="A553" s="381"/>
      <c r="B553" s="389">
        <v>43102</v>
      </c>
      <c r="C553" s="390">
        <v>1189.01</v>
      </c>
      <c r="D553" s="393"/>
      <c r="E553" s="392">
        <f t="shared" si="0"/>
        <v>1.670842347388124E-2</v>
      </c>
      <c r="F553" s="393"/>
      <c r="G553" s="381"/>
      <c r="H553" s="381"/>
      <c r="I553" s="381"/>
      <c r="J553" s="381"/>
      <c r="K553" s="381"/>
      <c r="L553" s="381"/>
      <c r="M553" s="381"/>
      <c r="N553" s="381"/>
      <c r="O553" s="381"/>
      <c r="P553" s="381"/>
      <c r="Q553" s="381"/>
      <c r="R553" s="381"/>
      <c r="S553" s="381"/>
    </row>
    <row r="554" spans="1:19" ht="12.75" customHeight="1">
      <c r="A554" s="381"/>
      <c r="B554" s="389">
        <v>43103</v>
      </c>
      <c r="C554" s="390">
        <v>1204.2</v>
      </c>
      <c r="D554" s="393"/>
      <c r="E554" s="392">
        <f t="shared" si="0"/>
        <v>1.2775334101479352E-2</v>
      </c>
      <c r="F554" s="393"/>
      <c r="G554" s="381"/>
      <c r="H554" s="381"/>
      <c r="I554" s="381"/>
      <c r="J554" s="381"/>
      <c r="K554" s="381"/>
      <c r="L554" s="381"/>
      <c r="M554" s="381"/>
      <c r="N554" s="381"/>
      <c r="O554" s="381"/>
      <c r="P554" s="381"/>
      <c r="Q554" s="381"/>
      <c r="R554" s="381"/>
      <c r="S554" s="381"/>
    </row>
    <row r="555" spans="1:19" ht="12.75" customHeight="1">
      <c r="A555" s="381"/>
      <c r="B555" s="389">
        <v>43104</v>
      </c>
      <c r="C555" s="390">
        <v>1209.5899999999999</v>
      </c>
      <c r="D555" s="393"/>
      <c r="E555" s="392">
        <f t="shared" si="0"/>
        <v>4.4760006643413952E-3</v>
      </c>
      <c r="F555" s="393"/>
      <c r="G555" s="381"/>
      <c r="H555" s="381"/>
      <c r="I555" s="381"/>
      <c r="J555" s="381"/>
      <c r="K555" s="381"/>
      <c r="L555" s="381"/>
      <c r="M555" s="381"/>
      <c r="N555" s="381"/>
      <c r="O555" s="381"/>
      <c r="P555" s="381"/>
      <c r="Q555" s="381"/>
      <c r="R555" s="381"/>
      <c r="S555" s="381"/>
    </row>
    <row r="556" spans="1:19" ht="12.75" customHeight="1">
      <c r="A556" s="381"/>
      <c r="B556" s="389">
        <v>43105</v>
      </c>
      <c r="C556" s="390">
        <v>1229.1400000000001</v>
      </c>
      <c r="D556" s="393"/>
      <c r="E556" s="392">
        <f t="shared" si="0"/>
        <v>1.6162501343430558E-2</v>
      </c>
      <c r="F556" s="393"/>
      <c r="G556" s="381"/>
      <c r="H556" s="381"/>
      <c r="I556" s="381"/>
      <c r="J556" s="381"/>
      <c r="K556" s="381"/>
      <c r="L556" s="381"/>
      <c r="M556" s="381"/>
      <c r="N556" s="381"/>
      <c r="O556" s="381"/>
      <c r="P556" s="381"/>
      <c r="Q556" s="381"/>
      <c r="R556" s="381"/>
      <c r="S556" s="381"/>
    </row>
    <row r="557" spans="1:19" ht="12.75" customHeight="1">
      <c r="A557" s="381"/>
      <c r="B557" s="389">
        <v>43108</v>
      </c>
      <c r="C557" s="390">
        <v>1246.8699999999999</v>
      </c>
      <c r="D557" s="393"/>
      <c r="E557" s="392">
        <f t="shared" si="0"/>
        <v>1.4424719722732737E-2</v>
      </c>
      <c r="F557" s="393"/>
      <c r="G557" s="381"/>
      <c r="H557" s="381"/>
      <c r="I557" s="381"/>
      <c r="J557" s="381"/>
      <c r="K557" s="381"/>
      <c r="L557" s="381"/>
      <c r="M557" s="381"/>
      <c r="N557" s="381"/>
      <c r="O557" s="381"/>
      <c r="P557" s="381"/>
      <c r="Q557" s="381"/>
      <c r="R557" s="381"/>
      <c r="S557" s="381"/>
    </row>
    <row r="558" spans="1:19" ht="12.75" customHeight="1">
      <c r="A558" s="381"/>
      <c r="B558" s="389">
        <v>43109</v>
      </c>
      <c r="C558" s="390">
        <v>1252.7</v>
      </c>
      <c r="D558" s="393"/>
      <c r="E558" s="392">
        <f t="shared" si="0"/>
        <v>4.6757079727639539E-3</v>
      </c>
      <c r="F558" s="393"/>
      <c r="G558" s="381"/>
      <c r="H558" s="381"/>
      <c r="I558" s="381"/>
      <c r="J558" s="381"/>
      <c r="K558" s="381"/>
      <c r="L558" s="381"/>
      <c r="M558" s="381"/>
      <c r="N558" s="381"/>
      <c r="O558" s="381"/>
      <c r="P558" s="381"/>
      <c r="Q558" s="381"/>
      <c r="R558" s="381"/>
      <c r="S558" s="381"/>
    </row>
    <row r="559" spans="1:19" ht="12.75" customHeight="1">
      <c r="A559" s="381"/>
      <c r="B559" s="389">
        <v>43110</v>
      </c>
      <c r="C559" s="390">
        <v>1254.33</v>
      </c>
      <c r="D559" s="393"/>
      <c r="E559" s="392">
        <f t="shared" si="0"/>
        <v>1.3011894308292415E-3</v>
      </c>
      <c r="F559" s="393"/>
      <c r="G559" s="381"/>
      <c r="H559" s="381"/>
      <c r="I559" s="381"/>
      <c r="J559" s="381"/>
      <c r="K559" s="381"/>
      <c r="L559" s="381"/>
      <c r="M559" s="381"/>
      <c r="N559" s="381"/>
      <c r="O559" s="381"/>
      <c r="P559" s="381"/>
      <c r="Q559" s="381"/>
      <c r="R559" s="381"/>
      <c r="S559" s="381"/>
    </row>
    <row r="560" spans="1:19" ht="12.75" customHeight="1">
      <c r="A560" s="381"/>
      <c r="B560" s="389">
        <v>43111</v>
      </c>
      <c r="C560" s="390">
        <v>1276.68</v>
      </c>
      <c r="D560" s="393"/>
      <c r="E560" s="392">
        <f t="shared" si="0"/>
        <v>1.7818277486785883E-2</v>
      </c>
      <c r="F560" s="393"/>
      <c r="G560" s="381"/>
      <c r="H560" s="381"/>
      <c r="I560" s="381"/>
      <c r="J560" s="381"/>
      <c r="K560" s="381"/>
      <c r="L560" s="381"/>
      <c r="M560" s="381"/>
      <c r="N560" s="381"/>
      <c r="O560" s="381"/>
      <c r="P560" s="381"/>
      <c r="Q560" s="381"/>
      <c r="R560" s="381"/>
      <c r="S560" s="381"/>
    </row>
    <row r="561" spans="1:19" ht="12.75" customHeight="1">
      <c r="A561" s="381"/>
      <c r="B561" s="389">
        <v>43112</v>
      </c>
      <c r="C561" s="390">
        <v>1305.2</v>
      </c>
      <c r="D561" s="393"/>
      <c r="E561" s="392">
        <f t="shared" si="0"/>
        <v>2.2339192279976272E-2</v>
      </c>
      <c r="F561" s="393"/>
      <c r="G561" s="381"/>
      <c r="H561" s="381"/>
      <c r="I561" s="381"/>
      <c r="J561" s="381"/>
      <c r="K561" s="381"/>
      <c r="L561" s="381"/>
      <c r="M561" s="381"/>
      <c r="N561" s="381"/>
      <c r="O561" s="381"/>
      <c r="P561" s="381"/>
      <c r="Q561" s="381"/>
      <c r="R561" s="381"/>
      <c r="S561" s="381"/>
    </row>
    <row r="562" spans="1:19" ht="12.75" customHeight="1">
      <c r="A562" s="381"/>
      <c r="B562" s="389">
        <v>43116</v>
      </c>
      <c r="C562" s="390">
        <v>1304.8599999999999</v>
      </c>
      <c r="D562" s="393"/>
      <c r="E562" s="392">
        <f t="shared" si="0"/>
        <v>-2.60496475635974E-4</v>
      </c>
      <c r="F562" s="393"/>
      <c r="G562" s="381"/>
      <c r="H562" s="381"/>
      <c r="I562" s="381"/>
      <c r="J562" s="381"/>
      <c r="K562" s="381"/>
      <c r="L562" s="381"/>
      <c r="M562" s="381"/>
      <c r="N562" s="381"/>
      <c r="O562" s="381"/>
      <c r="P562" s="381"/>
      <c r="Q562" s="381"/>
      <c r="R562" s="381"/>
      <c r="S562" s="381"/>
    </row>
    <row r="563" spans="1:19" ht="12.75" customHeight="1">
      <c r="A563" s="381"/>
      <c r="B563" s="389">
        <v>43117</v>
      </c>
      <c r="C563" s="390">
        <v>1295</v>
      </c>
      <c r="D563" s="393"/>
      <c r="E563" s="392">
        <f t="shared" si="0"/>
        <v>-7.5563662002052778E-3</v>
      </c>
      <c r="F563" s="393"/>
      <c r="G563" s="381"/>
      <c r="H563" s="381"/>
      <c r="I563" s="381"/>
      <c r="J563" s="381"/>
      <c r="K563" s="381"/>
      <c r="L563" s="381"/>
      <c r="M563" s="381"/>
      <c r="N563" s="381"/>
      <c r="O563" s="381"/>
      <c r="P563" s="381"/>
      <c r="Q563" s="381"/>
      <c r="R563" s="381"/>
      <c r="S563" s="381"/>
    </row>
    <row r="564" spans="1:19" ht="12.75" customHeight="1">
      <c r="A564" s="381"/>
      <c r="B564" s="389">
        <v>43118</v>
      </c>
      <c r="C564" s="390">
        <v>1293.32</v>
      </c>
      <c r="D564" s="393"/>
      <c r="E564" s="392">
        <f t="shared" si="0"/>
        <v>-1.2972972972973285E-3</v>
      </c>
      <c r="F564" s="393"/>
      <c r="G564" s="381"/>
      <c r="H564" s="381"/>
      <c r="I564" s="381"/>
      <c r="J564" s="381"/>
      <c r="K564" s="381"/>
      <c r="L564" s="381"/>
      <c r="M564" s="381"/>
      <c r="N564" s="381"/>
      <c r="O564" s="381"/>
      <c r="P564" s="381"/>
      <c r="Q564" s="381"/>
      <c r="R564" s="381"/>
      <c r="S564" s="381"/>
    </row>
    <row r="565" spans="1:19" ht="12.75" customHeight="1">
      <c r="A565" s="381"/>
      <c r="B565" s="389">
        <v>43119</v>
      </c>
      <c r="C565" s="390">
        <v>1294.58</v>
      </c>
      <c r="D565" s="393"/>
      <c r="E565" s="392">
        <f t="shared" si="0"/>
        <v>9.7423684780251207E-4</v>
      </c>
      <c r="F565" s="393"/>
      <c r="G565" s="381"/>
      <c r="H565" s="381"/>
      <c r="I565" s="381"/>
      <c r="J565" s="381"/>
      <c r="K565" s="381"/>
      <c r="L565" s="381"/>
      <c r="M565" s="381"/>
      <c r="N565" s="381"/>
      <c r="O565" s="381"/>
      <c r="P565" s="381"/>
      <c r="Q565" s="381"/>
      <c r="R565" s="381"/>
      <c r="S565" s="381"/>
    </row>
    <row r="566" spans="1:19" ht="12.75" customHeight="1">
      <c r="A566" s="381"/>
      <c r="B566" s="389">
        <v>43122</v>
      </c>
      <c r="C566" s="390">
        <v>1327.31</v>
      </c>
      <c r="D566" s="393"/>
      <c r="E566" s="392">
        <f t="shared" si="0"/>
        <v>2.528233094903376E-2</v>
      </c>
      <c r="F566" s="393"/>
      <c r="G566" s="381"/>
      <c r="H566" s="381"/>
      <c r="I566" s="381"/>
      <c r="J566" s="381"/>
      <c r="K566" s="381"/>
      <c r="L566" s="381"/>
      <c r="M566" s="381"/>
      <c r="N566" s="381"/>
      <c r="O566" s="381"/>
      <c r="P566" s="381"/>
      <c r="Q566" s="381"/>
      <c r="R566" s="381"/>
      <c r="S566" s="381"/>
    </row>
    <row r="567" spans="1:19" ht="12.75" customHeight="1">
      <c r="A567" s="381"/>
      <c r="B567" s="389">
        <v>43123</v>
      </c>
      <c r="C567" s="390">
        <v>1362.54</v>
      </c>
      <c r="D567" s="393"/>
      <c r="E567" s="392">
        <f t="shared" si="0"/>
        <v>2.6542405316015039E-2</v>
      </c>
      <c r="F567" s="393"/>
      <c r="G567" s="381"/>
      <c r="H567" s="381"/>
      <c r="I567" s="381"/>
      <c r="J567" s="381"/>
      <c r="K567" s="381"/>
      <c r="L567" s="381"/>
      <c r="M567" s="381"/>
      <c r="N567" s="381"/>
      <c r="O567" s="381"/>
      <c r="P567" s="381"/>
      <c r="Q567" s="381"/>
      <c r="R567" s="381"/>
      <c r="S567" s="381"/>
    </row>
    <row r="568" spans="1:19" ht="12.75" customHeight="1">
      <c r="A568" s="381"/>
      <c r="B568" s="389">
        <v>43124</v>
      </c>
      <c r="C568" s="390">
        <v>1357.51</v>
      </c>
      <c r="D568" s="393"/>
      <c r="E568" s="392">
        <f t="shared" si="0"/>
        <v>-3.6916347409984285E-3</v>
      </c>
      <c r="F568" s="393"/>
      <c r="G568" s="381"/>
      <c r="H568" s="381"/>
      <c r="I568" s="381"/>
      <c r="J568" s="381"/>
      <c r="K568" s="381"/>
      <c r="L568" s="381"/>
      <c r="M568" s="381"/>
      <c r="N568" s="381"/>
      <c r="O568" s="381"/>
      <c r="P568" s="381"/>
      <c r="Q568" s="381"/>
      <c r="R568" s="381"/>
      <c r="S568" s="381"/>
    </row>
    <row r="569" spans="1:19" ht="12.75" customHeight="1">
      <c r="A569" s="381"/>
      <c r="B569" s="389">
        <v>43125</v>
      </c>
      <c r="C569" s="390">
        <v>1377.95</v>
      </c>
      <c r="D569" s="393"/>
      <c r="E569" s="392">
        <f t="shared" si="0"/>
        <v>1.5056979322435993E-2</v>
      </c>
      <c r="F569" s="393"/>
      <c r="G569" s="381"/>
      <c r="H569" s="381"/>
      <c r="I569" s="381"/>
      <c r="J569" s="381"/>
      <c r="K569" s="381"/>
      <c r="L569" s="381"/>
      <c r="M569" s="381"/>
      <c r="N569" s="381"/>
      <c r="O569" s="381"/>
      <c r="P569" s="381"/>
      <c r="Q569" s="381"/>
      <c r="R569" s="381"/>
      <c r="S569" s="381"/>
    </row>
    <row r="570" spans="1:19" ht="12.75" customHeight="1">
      <c r="A570" s="381"/>
      <c r="B570" s="389">
        <v>43126</v>
      </c>
      <c r="C570" s="390">
        <v>1402.05</v>
      </c>
      <c r="D570" s="393"/>
      <c r="E570" s="392">
        <f t="shared" si="0"/>
        <v>1.7489749265212851E-2</v>
      </c>
      <c r="F570" s="393"/>
      <c r="G570" s="381"/>
      <c r="H570" s="381"/>
      <c r="I570" s="381"/>
      <c r="J570" s="381"/>
      <c r="K570" s="381"/>
      <c r="L570" s="381"/>
      <c r="M570" s="381"/>
      <c r="N570" s="381"/>
      <c r="O570" s="381"/>
      <c r="P570" s="381"/>
      <c r="Q570" s="381"/>
      <c r="R570" s="381"/>
      <c r="S570" s="381"/>
    </row>
    <row r="571" spans="1:19" ht="12.75" customHeight="1">
      <c r="A571" s="381"/>
      <c r="B571" s="389">
        <v>43129</v>
      </c>
      <c r="C571" s="390">
        <v>1417.68</v>
      </c>
      <c r="D571" s="393"/>
      <c r="E571" s="392">
        <f t="shared" si="0"/>
        <v>1.114796191291334E-2</v>
      </c>
      <c r="F571" s="393"/>
      <c r="G571" s="381"/>
      <c r="H571" s="381"/>
      <c r="I571" s="381"/>
      <c r="J571" s="381"/>
      <c r="K571" s="381"/>
      <c r="L571" s="381"/>
      <c r="M571" s="381"/>
      <c r="N571" s="381"/>
      <c r="O571" s="381"/>
      <c r="P571" s="381"/>
      <c r="Q571" s="381"/>
      <c r="R571" s="381"/>
      <c r="S571" s="381"/>
    </row>
    <row r="572" spans="1:19" ht="12.75" customHeight="1">
      <c r="A572" s="381"/>
      <c r="B572" s="389">
        <v>43130</v>
      </c>
      <c r="C572" s="390">
        <v>1437.82</v>
      </c>
      <c r="D572" s="393"/>
      <c r="E572" s="392">
        <f t="shared" si="0"/>
        <v>1.4206308899046283E-2</v>
      </c>
      <c r="F572" s="393"/>
      <c r="G572" s="381"/>
      <c r="H572" s="381"/>
      <c r="I572" s="381"/>
      <c r="J572" s="381"/>
      <c r="K572" s="381"/>
      <c r="L572" s="381"/>
      <c r="M572" s="381"/>
      <c r="N572" s="381"/>
      <c r="O572" s="381"/>
      <c r="P572" s="381"/>
      <c r="Q572" s="381"/>
      <c r="R572" s="381"/>
      <c r="S572" s="381"/>
    </row>
    <row r="573" spans="1:19" ht="12.75" customHeight="1">
      <c r="A573" s="381"/>
      <c r="B573" s="389">
        <v>43131</v>
      </c>
      <c r="C573" s="390">
        <v>1450.89</v>
      </c>
      <c r="D573" s="393"/>
      <c r="E573" s="392">
        <f t="shared" si="0"/>
        <v>9.090150366527272E-3</v>
      </c>
      <c r="F573" s="393"/>
      <c r="G573" s="381"/>
      <c r="H573" s="381"/>
      <c r="I573" s="381"/>
      <c r="J573" s="381"/>
      <c r="K573" s="381"/>
      <c r="L573" s="381"/>
      <c r="M573" s="381"/>
      <c r="N573" s="381"/>
      <c r="O573" s="381"/>
      <c r="P573" s="381"/>
      <c r="Q573" s="381"/>
      <c r="R573" s="381"/>
      <c r="S573" s="381"/>
    </row>
    <row r="574" spans="1:19" ht="12.75" customHeight="1">
      <c r="A574" s="381"/>
      <c r="B574" s="389">
        <v>43132</v>
      </c>
      <c r="C574" s="390">
        <v>1390</v>
      </c>
      <c r="D574" s="393"/>
      <c r="E574" s="392">
        <f t="shared" si="0"/>
        <v>-4.196734418184711E-2</v>
      </c>
      <c r="F574" s="393"/>
      <c r="G574" s="381"/>
      <c r="H574" s="381"/>
      <c r="I574" s="381"/>
      <c r="J574" s="381"/>
      <c r="K574" s="381"/>
      <c r="L574" s="381"/>
      <c r="M574" s="381"/>
      <c r="N574" s="381"/>
      <c r="O574" s="381"/>
      <c r="P574" s="381"/>
      <c r="Q574" s="381"/>
      <c r="R574" s="381"/>
      <c r="S574" s="381"/>
    </row>
    <row r="575" spans="1:19" ht="12.75" customHeight="1">
      <c r="A575" s="381"/>
      <c r="B575" s="389">
        <v>43133</v>
      </c>
      <c r="C575" s="390">
        <v>1429.95</v>
      </c>
      <c r="D575" s="393"/>
      <c r="E575" s="392">
        <f t="shared" si="0"/>
        <v>2.8741007194244661E-2</v>
      </c>
      <c r="F575" s="393"/>
      <c r="G575" s="381"/>
      <c r="H575" s="381"/>
      <c r="I575" s="381"/>
      <c r="J575" s="381"/>
      <c r="K575" s="381"/>
      <c r="L575" s="381"/>
      <c r="M575" s="381"/>
      <c r="N575" s="381"/>
      <c r="O575" s="381"/>
      <c r="P575" s="381"/>
      <c r="Q575" s="381"/>
      <c r="R575" s="381"/>
      <c r="S575" s="381"/>
    </row>
    <row r="576" spans="1:19" ht="12.75" customHeight="1">
      <c r="A576" s="381"/>
      <c r="B576" s="389">
        <v>43136</v>
      </c>
      <c r="C576" s="390">
        <v>1390</v>
      </c>
      <c r="D576" s="393"/>
      <c r="E576" s="392">
        <f t="shared" si="0"/>
        <v>-2.7938039791601144E-2</v>
      </c>
      <c r="F576" s="393"/>
      <c r="G576" s="381"/>
      <c r="H576" s="381"/>
      <c r="I576" s="381"/>
      <c r="J576" s="381"/>
      <c r="K576" s="381"/>
      <c r="L576" s="381"/>
      <c r="M576" s="381"/>
      <c r="N576" s="381"/>
      <c r="O576" s="381"/>
      <c r="P576" s="381"/>
      <c r="Q576" s="381"/>
      <c r="R576" s="381"/>
      <c r="S576" s="381"/>
    </row>
    <row r="577" spans="1:19" ht="12.75" customHeight="1">
      <c r="A577" s="381"/>
      <c r="B577" s="389">
        <v>43137</v>
      </c>
      <c r="C577" s="390">
        <v>1442.84</v>
      </c>
      <c r="D577" s="393"/>
      <c r="E577" s="392">
        <f t="shared" si="0"/>
        <v>3.8014388489208573E-2</v>
      </c>
      <c r="F577" s="393"/>
      <c r="G577" s="381"/>
      <c r="H577" s="381"/>
      <c r="I577" s="381"/>
      <c r="J577" s="381"/>
      <c r="K577" s="381"/>
      <c r="L577" s="381"/>
      <c r="M577" s="381"/>
      <c r="N577" s="381"/>
      <c r="O577" s="381"/>
      <c r="P577" s="381"/>
      <c r="Q577" s="381"/>
      <c r="R577" s="381"/>
      <c r="S577" s="381"/>
    </row>
    <row r="578" spans="1:19" ht="12.75" customHeight="1">
      <c r="A578" s="381"/>
      <c r="B578" s="389">
        <v>43138</v>
      </c>
      <c r="C578" s="390">
        <v>1416.78</v>
      </c>
      <c r="D578" s="393"/>
      <c r="E578" s="392">
        <f t="shared" si="0"/>
        <v>-1.8061600731889893E-2</v>
      </c>
      <c r="F578" s="393"/>
      <c r="G578" s="381"/>
      <c r="H578" s="381"/>
      <c r="I578" s="381"/>
      <c r="J578" s="381"/>
      <c r="K578" s="381"/>
      <c r="L578" s="381"/>
      <c r="M578" s="381"/>
      <c r="N578" s="381"/>
      <c r="O578" s="381"/>
      <c r="P578" s="381"/>
      <c r="Q578" s="381"/>
      <c r="R578" s="381"/>
      <c r="S578" s="381"/>
    </row>
    <row r="579" spans="1:19" ht="12.75" customHeight="1">
      <c r="A579" s="381"/>
      <c r="B579" s="389">
        <v>43139</v>
      </c>
      <c r="C579" s="390">
        <v>1350.5</v>
      </c>
      <c r="D579" s="393"/>
      <c r="E579" s="392">
        <f t="shared" si="0"/>
        <v>-4.6782139781758603E-2</v>
      </c>
      <c r="F579" s="393"/>
      <c r="G579" s="381"/>
      <c r="H579" s="381"/>
      <c r="I579" s="381"/>
      <c r="J579" s="381"/>
      <c r="K579" s="381"/>
      <c r="L579" s="381"/>
      <c r="M579" s="381"/>
      <c r="N579" s="381"/>
      <c r="O579" s="381"/>
      <c r="P579" s="381"/>
      <c r="Q579" s="381"/>
      <c r="R579" s="381"/>
      <c r="S579" s="381"/>
    </row>
    <row r="580" spans="1:19" ht="12.75" customHeight="1">
      <c r="A580" s="381"/>
      <c r="B580" s="389">
        <v>43140</v>
      </c>
      <c r="C580" s="390">
        <v>1339.6</v>
      </c>
      <c r="D580" s="393"/>
      <c r="E580" s="392">
        <f t="shared" si="0"/>
        <v>-8.0710847834135624E-3</v>
      </c>
      <c r="F580" s="393"/>
      <c r="G580" s="381"/>
      <c r="H580" s="381"/>
      <c r="I580" s="381"/>
      <c r="J580" s="381"/>
      <c r="K580" s="381"/>
      <c r="L580" s="381"/>
      <c r="M580" s="381"/>
      <c r="N580" s="381"/>
      <c r="O580" s="381"/>
      <c r="P580" s="381"/>
      <c r="Q580" s="381"/>
      <c r="R580" s="381"/>
      <c r="S580" s="381"/>
    </row>
    <row r="581" spans="1:19" ht="12.75" customHeight="1">
      <c r="A581" s="381"/>
      <c r="B581" s="389">
        <v>43143</v>
      </c>
      <c r="C581" s="390">
        <v>1386.23</v>
      </c>
      <c r="D581" s="393"/>
      <c r="E581" s="392">
        <f t="shared" si="0"/>
        <v>3.480889817856081E-2</v>
      </c>
      <c r="F581" s="393"/>
      <c r="G581" s="381"/>
      <c r="H581" s="381"/>
      <c r="I581" s="381"/>
      <c r="J581" s="381"/>
      <c r="K581" s="381"/>
      <c r="L581" s="381"/>
      <c r="M581" s="381"/>
      <c r="N581" s="381"/>
      <c r="O581" s="381"/>
      <c r="P581" s="381"/>
      <c r="Q581" s="381"/>
      <c r="R581" s="381"/>
      <c r="S581" s="381"/>
    </row>
    <row r="582" spans="1:19" ht="12.75" customHeight="1">
      <c r="A582" s="381"/>
      <c r="B582" s="389">
        <v>43144</v>
      </c>
      <c r="C582" s="390">
        <v>1414.51</v>
      </c>
      <c r="D582" s="393"/>
      <c r="E582" s="392">
        <f t="shared" si="0"/>
        <v>2.0400655013958602E-2</v>
      </c>
      <c r="F582" s="393"/>
      <c r="G582" s="381"/>
      <c r="H582" s="381"/>
      <c r="I582" s="381"/>
      <c r="J582" s="381"/>
      <c r="K582" s="381"/>
      <c r="L582" s="381"/>
      <c r="M582" s="381"/>
      <c r="N582" s="381"/>
      <c r="O582" s="381"/>
      <c r="P582" s="381"/>
      <c r="Q582" s="381"/>
      <c r="R582" s="381"/>
      <c r="S582" s="381"/>
    </row>
    <row r="583" spans="1:19" ht="12.75" customHeight="1">
      <c r="A583" s="381"/>
      <c r="B583" s="389">
        <v>43145</v>
      </c>
      <c r="C583" s="390">
        <v>1451.05</v>
      </c>
      <c r="D583" s="393"/>
      <c r="E583" s="392">
        <f t="shared" si="0"/>
        <v>2.5832267004121556E-2</v>
      </c>
      <c r="F583" s="393"/>
      <c r="G583" s="381"/>
      <c r="H583" s="381"/>
      <c r="I583" s="381"/>
      <c r="J583" s="381"/>
      <c r="K583" s="381"/>
      <c r="L583" s="381"/>
      <c r="M583" s="381"/>
      <c r="N583" s="381"/>
      <c r="O583" s="381"/>
      <c r="P583" s="381"/>
      <c r="Q583" s="381"/>
      <c r="R583" s="381"/>
      <c r="S583" s="381"/>
    </row>
    <row r="584" spans="1:19" ht="12.75" customHeight="1">
      <c r="A584" s="381"/>
      <c r="B584" s="389">
        <v>43146</v>
      </c>
      <c r="C584" s="390">
        <v>1461.76</v>
      </c>
      <c r="D584" s="393"/>
      <c r="E584" s="392">
        <f t="shared" si="0"/>
        <v>7.3808621343165459E-3</v>
      </c>
      <c r="F584" s="393"/>
      <c r="G584" s="381"/>
      <c r="H584" s="381"/>
      <c r="I584" s="381"/>
      <c r="J584" s="381"/>
      <c r="K584" s="381"/>
      <c r="L584" s="381"/>
      <c r="M584" s="381"/>
      <c r="N584" s="381"/>
      <c r="O584" s="381"/>
      <c r="P584" s="381"/>
      <c r="Q584" s="381"/>
      <c r="R584" s="381"/>
      <c r="S584" s="381"/>
    </row>
    <row r="585" spans="1:19" ht="12.75" customHeight="1">
      <c r="A585" s="381"/>
      <c r="B585" s="389">
        <v>43147</v>
      </c>
      <c r="C585" s="390">
        <v>1448.69</v>
      </c>
      <c r="D585" s="393"/>
      <c r="E585" s="392">
        <f t="shared" si="0"/>
        <v>-8.941276269702203E-3</v>
      </c>
      <c r="F585" s="393"/>
      <c r="G585" s="381"/>
      <c r="H585" s="381"/>
      <c r="I585" s="381"/>
      <c r="J585" s="381"/>
      <c r="K585" s="381"/>
      <c r="L585" s="381"/>
      <c r="M585" s="381"/>
      <c r="N585" s="381"/>
      <c r="O585" s="381"/>
      <c r="P585" s="381"/>
      <c r="Q585" s="381"/>
      <c r="R585" s="381"/>
      <c r="S585" s="381"/>
    </row>
    <row r="586" spans="1:19" ht="12.75" customHeight="1">
      <c r="A586" s="381"/>
      <c r="B586" s="389">
        <v>43151</v>
      </c>
      <c r="C586" s="390">
        <v>1468.35</v>
      </c>
      <c r="D586" s="393"/>
      <c r="E586" s="392">
        <f t="shared" si="0"/>
        <v>1.3570881278948566E-2</v>
      </c>
      <c r="F586" s="393"/>
      <c r="G586" s="381"/>
      <c r="H586" s="381"/>
      <c r="I586" s="381"/>
      <c r="J586" s="381"/>
      <c r="K586" s="381"/>
      <c r="L586" s="381"/>
      <c r="M586" s="381"/>
      <c r="N586" s="381"/>
      <c r="O586" s="381"/>
      <c r="P586" s="381"/>
      <c r="Q586" s="381"/>
      <c r="R586" s="381"/>
      <c r="S586" s="381"/>
    </row>
    <row r="587" spans="1:19" ht="12.75" customHeight="1">
      <c r="A587" s="381"/>
      <c r="B587" s="389">
        <v>43152</v>
      </c>
      <c r="C587" s="390">
        <v>1482.92</v>
      </c>
      <c r="D587" s="393"/>
      <c r="E587" s="392">
        <f t="shared" si="0"/>
        <v>9.9227023529813163E-3</v>
      </c>
      <c r="F587" s="393"/>
      <c r="G587" s="381"/>
      <c r="H587" s="381"/>
      <c r="I587" s="381"/>
      <c r="J587" s="381"/>
      <c r="K587" s="381"/>
      <c r="L587" s="381"/>
      <c r="M587" s="381"/>
      <c r="N587" s="381"/>
      <c r="O587" s="381"/>
      <c r="P587" s="381"/>
      <c r="Q587" s="381"/>
      <c r="R587" s="381"/>
      <c r="S587" s="381"/>
    </row>
    <row r="588" spans="1:19" ht="12.75" customHeight="1">
      <c r="A588" s="381"/>
      <c r="B588" s="389">
        <v>43153</v>
      </c>
      <c r="C588" s="390">
        <v>1485.34</v>
      </c>
      <c r="D588" s="393"/>
      <c r="E588" s="392">
        <f t="shared" si="0"/>
        <v>1.6319154101367417E-3</v>
      </c>
      <c r="F588" s="393"/>
      <c r="G588" s="381"/>
      <c r="H588" s="381"/>
      <c r="I588" s="381"/>
      <c r="J588" s="381"/>
      <c r="K588" s="381"/>
      <c r="L588" s="381"/>
      <c r="M588" s="381"/>
      <c r="N588" s="381"/>
      <c r="O588" s="381"/>
      <c r="P588" s="381"/>
      <c r="Q588" s="381"/>
      <c r="R588" s="381"/>
      <c r="S588" s="381"/>
    </row>
    <row r="589" spans="1:19" ht="12.75" customHeight="1">
      <c r="A589" s="381"/>
      <c r="B589" s="389">
        <v>43154</v>
      </c>
      <c r="C589" s="390">
        <v>1500</v>
      </c>
      <c r="D589" s="393"/>
      <c r="E589" s="392">
        <f t="shared" si="0"/>
        <v>9.8697941212113616E-3</v>
      </c>
      <c r="F589" s="393"/>
      <c r="G589" s="381"/>
      <c r="H589" s="381"/>
      <c r="I589" s="381"/>
      <c r="J589" s="381"/>
      <c r="K589" s="381"/>
      <c r="L589" s="381"/>
      <c r="M589" s="381"/>
      <c r="N589" s="381"/>
      <c r="O589" s="381"/>
      <c r="P589" s="381"/>
      <c r="Q589" s="381"/>
      <c r="R589" s="381"/>
      <c r="S589" s="381"/>
    </row>
    <row r="590" spans="1:19" ht="12.75" customHeight="1">
      <c r="A590" s="381"/>
      <c r="B590" s="389">
        <v>43157</v>
      </c>
      <c r="C590" s="390">
        <v>1521.95</v>
      </c>
      <c r="D590" s="393"/>
      <c r="E590" s="392">
        <f t="shared" si="0"/>
        <v>1.4633333333333276E-2</v>
      </c>
      <c r="F590" s="393"/>
      <c r="G590" s="381"/>
      <c r="H590" s="381"/>
      <c r="I590" s="381"/>
      <c r="J590" s="381"/>
      <c r="K590" s="381"/>
      <c r="L590" s="381"/>
      <c r="M590" s="381"/>
      <c r="N590" s="381"/>
      <c r="O590" s="381"/>
      <c r="P590" s="381"/>
      <c r="Q590" s="381"/>
      <c r="R590" s="381"/>
      <c r="S590" s="381"/>
    </row>
    <row r="591" spans="1:19" ht="12.75" customHeight="1">
      <c r="A591" s="381"/>
      <c r="B591" s="389">
        <v>43158</v>
      </c>
      <c r="C591" s="390">
        <v>1511.98</v>
      </c>
      <c r="D591" s="393"/>
      <c r="E591" s="392">
        <f t="shared" si="0"/>
        <v>-6.5508065310949659E-3</v>
      </c>
      <c r="F591" s="393"/>
      <c r="G591" s="381"/>
      <c r="H591" s="381"/>
      <c r="I591" s="381"/>
      <c r="J591" s="381"/>
      <c r="K591" s="381"/>
      <c r="L591" s="381"/>
      <c r="M591" s="381"/>
      <c r="N591" s="381"/>
      <c r="O591" s="381"/>
      <c r="P591" s="381"/>
      <c r="Q591" s="381"/>
      <c r="R591" s="381"/>
      <c r="S591" s="381"/>
    </row>
    <row r="592" spans="1:19" ht="12.75" customHeight="1">
      <c r="A592" s="381"/>
      <c r="B592" s="389">
        <v>43159</v>
      </c>
      <c r="C592" s="390">
        <v>1512.45</v>
      </c>
      <c r="D592" s="393"/>
      <c r="E592" s="392">
        <f t="shared" si="0"/>
        <v>3.1085067262792698E-4</v>
      </c>
      <c r="F592" s="393"/>
      <c r="G592" s="381"/>
      <c r="H592" s="381"/>
      <c r="I592" s="381"/>
      <c r="J592" s="381"/>
      <c r="K592" s="381"/>
      <c r="L592" s="381"/>
      <c r="M592" s="381"/>
      <c r="N592" s="381"/>
      <c r="O592" s="381"/>
      <c r="P592" s="381"/>
      <c r="Q592" s="381"/>
      <c r="R592" s="381"/>
      <c r="S592" s="381"/>
    </row>
    <row r="593" spans="1:19" ht="12.75" customHeight="1">
      <c r="A593" s="381"/>
      <c r="B593" s="389">
        <v>43160</v>
      </c>
      <c r="C593" s="390">
        <v>1493.45</v>
      </c>
      <c r="D593" s="393"/>
      <c r="E593" s="392">
        <f t="shared" si="0"/>
        <v>-1.2562398756983728E-2</v>
      </c>
      <c r="F593" s="393"/>
      <c r="G593" s="381"/>
      <c r="H593" s="381"/>
      <c r="I593" s="381"/>
      <c r="J593" s="381"/>
      <c r="K593" s="381"/>
      <c r="L593" s="381"/>
      <c r="M593" s="381"/>
      <c r="N593" s="381"/>
      <c r="O593" s="381"/>
      <c r="P593" s="381"/>
      <c r="Q593" s="381"/>
      <c r="R593" s="381"/>
      <c r="S593" s="381"/>
    </row>
    <row r="594" spans="1:19" ht="12.75" customHeight="1">
      <c r="A594" s="381"/>
      <c r="B594" s="389">
        <v>43161</v>
      </c>
      <c r="C594" s="390">
        <v>1500.25</v>
      </c>
      <c r="D594" s="393"/>
      <c r="E594" s="392">
        <f t="shared" si="0"/>
        <v>4.5532157085941272E-3</v>
      </c>
      <c r="F594" s="393"/>
      <c r="G594" s="381"/>
      <c r="H594" s="381"/>
      <c r="I594" s="381"/>
      <c r="J594" s="381"/>
      <c r="K594" s="381"/>
      <c r="L594" s="381"/>
      <c r="M594" s="381"/>
      <c r="N594" s="381"/>
      <c r="O594" s="381"/>
      <c r="P594" s="381"/>
      <c r="Q594" s="381"/>
      <c r="R594" s="381"/>
      <c r="S594" s="381"/>
    </row>
    <row r="595" spans="1:19" ht="12.75" customHeight="1">
      <c r="A595" s="381"/>
      <c r="B595" s="389">
        <v>43164</v>
      </c>
      <c r="C595" s="390">
        <v>1523.61</v>
      </c>
      <c r="D595" s="393"/>
      <c r="E595" s="392">
        <f t="shared" si="0"/>
        <v>1.5570738210298307E-2</v>
      </c>
      <c r="F595" s="393"/>
      <c r="G595" s="381"/>
      <c r="H595" s="381"/>
      <c r="I595" s="381"/>
      <c r="J595" s="381"/>
      <c r="K595" s="381"/>
      <c r="L595" s="381"/>
      <c r="M595" s="381"/>
      <c r="N595" s="381"/>
      <c r="O595" s="381"/>
      <c r="P595" s="381"/>
      <c r="Q595" s="381"/>
      <c r="R595" s="381"/>
      <c r="S595" s="381"/>
    </row>
    <row r="596" spans="1:19" ht="12.75" customHeight="1">
      <c r="A596" s="381"/>
      <c r="B596" s="389">
        <v>43165</v>
      </c>
      <c r="C596" s="390">
        <v>1537.64</v>
      </c>
      <c r="D596" s="393"/>
      <c r="E596" s="392">
        <f t="shared" si="0"/>
        <v>9.2083932239879207E-3</v>
      </c>
      <c r="F596" s="393"/>
      <c r="G596" s="381"/>
      <c r="H596" s="381"/>
      <c r="I596" s="381"/>
      <c r="J596" s="381"/>
      <c r="K596" s="381"/>
      <c r="L596" s="381"/>
      <c r="M596" s="381"/>
      <c r="N596" s="381"/>
      <c r="O596" s="381"/>
      <c r="P596" s="381"/>
      <c r="Q596" s="381"/>
      <c r="R596" s="381"/>
      <c r="S596" s="381"/>
    </row>
    <row r="597" spans="1:19" ht="12.75" customHeight="1">
      <c r="A597" s="381"/>
      <c r="B597" s="389">
        <v>43166</v>
      </c>
      <c r="C597" s="390">
        <v>1545</v>
      </c>
      <c r="D597" s="393"/>
      <c r="E597" s="392">
        <f t="shared" si="0"/>
        <v>4.7865560209150448E-3</v>
      </c>
      <c r="F597" s="393"/>
      <c r="G597" s="381"/>
      <c r="H597" s="381"/>
      <c r="I597" s="381"/>
      <c r="J597" s="381"/>
      <c r="K597" s="381"/>
      <c r="L597" s="381"/>
      <c r="M597" s="381"/>
      <c r="N597" s="381"/>
      <c r="O597" s="381"/>
      <c r="P597" s="381"/>
      <c r="Q597" s="381"/>
      <c r="R597" s="381"/>
      <c r="S597" s="381"/>
    </row>
    <row r="598" spans="1:19" ht="12.75" customHeight="1">
      <c r="A598" s="381"/>
      <c r="B598" s="389">
        <v>43167</v>
      </c>
      <c r="C598" s="390">
        <v>1551.86</v>
      </c>
      <c r="D598" s="393"/>
      <c r="E598" s="392">
        <f t="shared" si="0"/>
        <v>4.4401294498381816E-3</v>
      </c>
      <c r="F598" s="393"/>
      <c r="G598" s="381"/>
      <c r="H598" s="381"/>
      <c r="I598" s="381"/>
      <c r="J598" s="381"/>
      <c r="K598" s="381"/>
      <c r="L598" s="381"/>
      <c r="M598" s="381"/>
      <c r="N598" s="381"/>
      <c r="O598" s="381"/>
      <c r="P598" s="381"/>
      <c r="Q598" s="381"/>
      <c r="R598" s="381"/>
      <c r="S598" s="381"/>
    </row>
    <row r="599" spans="1:19" ht="12.75" customHeight="1">
      <c r="A599" s="381"/>
      <c r="B599" s="389">
        <v>43168</v>
      </c>
      <c r="C599" s="390">
        <v>1578.89</v>
      </c>
      <c r="D599" s="393"/>
      <c r="E599" s="392">
        <f t="shared" si="0"/>
        <v>1.7417808307450544E-2</v>
      </c>
      <c r="F599" s="393"/>
      <c r="G599" s="381"/>
      <c r="H599" s="381"/>
      <c r="I599" s="381"/>
      <c r="J599" s="381"/>
      <c r="K599" s="381"/>
      <c r="L599" s="381"/>
      <c r="M599" s="381"/>
      <c r="N599" s="381"/>
      <c r="O599" s="381"/>
      <c r="P599" s="381"/>
      <c r="Q599" s="381"/>
      <c r="R599" s="381"/>
      <c r="S599" s="381"/>
    </row>
    <row r="600" spans="1:19" ht="12.75" customHeight="1">
      <c r="A600" s="381"/>
      <c r="B600" s="389">
        <v>43171</v>
      </c>
      <c r="C600" s="390">
        <v>1598.39</v>
      </c>
      <c r="D600" s="393"/>
      <c r="E600" s="392">
        <f t="shared" si="0"/>
        <v>1.2350448732970642E-2</v>
      </c>
      <c r="F600" s="393"/>
      <c r="G600" s="381"/>
      <c r="H600" s="381"/>
      <c r="I600" s="381"/>
      <c r="J600" s="381"/>
      <c r="K600" s="381"/>
      <c r="L600" s="381"/>
      <c r="M600" s="381"/>
      <c r="N600" s="381"/>
      <c r="O600" s="381"/>
      <c r="P600" s="381"/>
      <c r="Q600" s="381"/>
      <c r="R600" s="381"/>
      <c r="S600" s="381"/>
    </row>
    <row r="601" spans="1:19" ht="12.75" customHeight="1">
      <c r="A601" s="381"/>
      <c r="B601" s="389">
        <v>43172</v>
      </c>
      <c r="C601" s="390">
        <v>1588.18</v>
      </c>
      <c r="D601" s="393"/>
      <c r="E601" s="392">
        <f t="shared" si="0"/>
        <v>-6.3876776005855618E-3</v>
      </c>
      <c r="F601" s="393"/>
      <c r="G601" s="381"/>
      <c r="H601" s="381"/>
      <c r="I601" s="381"/>
      <c r="J601" s="381"/>
      <c r="K601" s="381"/>
      <c r="L601" s="381"/>
      <c r="M601" s="381"/>
      <c r="N601" s="381"/>
      <c r="O601" s="381"/>
      <c r="P601" s="381"/>
      <c r="Q601" s="381"/>
      <c r="R601" s="381"/>
      <c r="S601" s="381"/>
    </row>
    <row r="602" spans="1:19" ht="12.75" customHeight="1">
      <c r="A602" s="381"/>
      <c r="B602" s="389">
        <v>43173</v>
      </c>
      <c r="C602" s="390">
        <v>1591</v>
      </c>
      <c r="D602" s="393"/>
      <c r="E602" s="392">
        <f t="shared" si="0"/>
        <v>1.7756173733456393E-3</v>
      </c>
      <c r="F602" s="393"/>
      <c r="G602" s="381"/>
      <c r="H602" s="381"/>
      <c r="I602" s="381"/>
      <c r="J602" s="381"/>
      <c r="K602" s="381"/>
      <c r="L602" s="381"/>
      <c r="M602" s="381"/>
      <c r="N602" s="381"/>
      <c r="O602" s="381"/>
      <c r="P602" s="381"/>
      <c r="Q602" s="381"/>
      <c r="R602" s="381"/>
      <c r="S602" s="381"/>
    </row>
    <row r="603" spans="1:19" ht="12.75" customHeight="1">
      <c r="A603" s="381"/>
      <c r="B603" s="389">
        <v>43174</v>
      </c>
      <c r="C603" s="390">
        <v>1582.32</v>
      </c>
      <c r="D603" s="393"/>
      <c r="E603" s="392">
        <f t="shared" si="0"/>
        <v>-5.4556882463859813E-3</v>
      </c>
      <c r="F603" s="393"/>
      <c r="G603" s="381"/>
      <c r="H603" s="381"/>
      <c r="I603" s="381"/>
      <c r="J603" s="381"/>
      <c r="K603" s="381"/>
      <c r="L603" s="381"/>
      <c r="M603" s="381"/>
      <c r="N603" s="381"/>
      <c r="O603" s="381"/>
      <c r="P603" s="381"/>
      <c r="Q603" s="381"/>
      <c r="R603" s="381"/>
      <c r="S603" s="381"/>
    </row>
    <row r="604" spans="1:19" ht="12.75" customHeight="1">
      <c r="A604" s="381"/>
      <c r="B604" s="389">
        <v>43175</v>
      </c>
      <c r="C604" s="390">
        <v>1571.68</v>
      </c>
      <c r="D604" s="393"/>
      <c r="E604" s="392">
        <f t="shared" si="0"/>
        <v>-6.7243035542746687E-3</v>
      </c>
      <c r="F604" s="393"/>
      <c r="G604" s="381"/>
      <c r="H604" s="381"/>
      <c r="I604" s="381"/>
      <c r="J604" s="381"/>
      <c r="K604" s="381"/>
      <c r="L604" s="381"/>
      <c r="M604" s="381"/>
      <c r="N604" s="381"/>
      <c r="O604" s="381"/>
      <c r="P604" s="381"/>
      <c r="Q604" s="381"/>
      <c r="R604" s="381"/>
      <c r="S604" s="381"/>
    </row>
    <row r="605" spans="1:19" ht="12.75" customHeight="1">
      <c r="A605" s="381"/>
      <c r="B605" s="389">
        <v>43178</v>
      </c>
      <c r="C605" s="390">
        <v>1544.93</v>
      </c>
      <c r="D605" s="393"/>
      <c r="E605" s="392">
        <f t="shared" si="0"/>
        <v>-1.7020004072075712E-2</v>
      </c>
      <c r="F605" s="393"/>
      <c r="G605" s="381"/>
      <c r="H605" s="381"/>
      <c r="I605" s="381"/>
      <c r="J605" s="381"/>
      <c r="K605" s="381"/>
      <c r="L605" s="381"/>
      <c r="M605" s="381"/>
      <c r="N605" s="381"/>
      <c r="O605" s="381"/>
      <c r="P605" s="381"/>
      <c r="Q605" s="381"/>
      <c r="R605" s="381"/>
      <c r="S605" s="381"/>
    </row>
    <row r="606" spans="1:19" ht="12.75" customHeight="1">
      <c r="A606" s="381"/>
      <c r="B606" s="389">
        <v>43179</v>
      </c>
      <c r="C606" s="390">
        <v>1586.51</v>
      </c>
      <c r="D606" s="393"/>
      <c r="E606" s="392">
        <f t="shared" si="0"/>
        <v>2.691384075653902E-2</v>
      </c>
      <c r="F606" s="393"/>
      <c r="G606" s="381"/>
      <c r="H606" s="381"/>
      <c r="I606" s="381"/>
      <c r="J606" s="381"/>
      <c r="K606" s="381"/>
      <c r="L606" s="381"/>
      <c r="M606" s="381"/>
      <c r="N606" s="381"/>
      <c r="O606" s="381"/>
      <c r="P606" s="381"/>
      <c r="Q606" s="381"/>
      <c r="R606" s="381"/>
      <c r="S606" s="381"/>
    </row>
    <row r="607" spans="1:19" ht="12.75" customHeight="1">
      <c r="A607" s="381"/>
      <c r="B607" s="389">
        <v>43180</v>
      </c>
      <c r="C607" s="390">
        <v>1581.86</v>
      </c>
      <c r="D607" s="393"/>
      <c r="E607" s="392">
        <f t="shared" si="0"/>
        <v>-2.9309616705851527E-3</v>
      </c>
      <c r="F607" s="393"/>
      <c r="G607" s="381"/>
      <c r="H607" s="381"/>
      <c r="I607" s="381"/>
      <c r="J607" s="381"/>
      <c r="K607" s="381"/>
      <c r="L607" s="381"/>
      <c r="M607" s="381"/>
      <c r="N607" s="381"/>
      <c r="O607" s="381"/>
      <c r="P607" s="381"/>
      <c r="Q607" s="381"/>
      <c r="R607" s="381"/>
      <c r="S607" s="381"/>
    </row>
    <row r="608" spans="1:19" ht="12.75" customHeight="1">
      <c r="A608" s="381"/>
      <c r="B608" s="389">
        <v>43181</v>
      </c>
      <c r="C608" s="390">
        <v>1544.92</v>
      </c>
      <c r="D608" s="393"/>
      <c r="E608" s="392">
        <f t="shared" si="0"/>
        <v>-2.3352256204720923E-2</v>
      </c>
      <c r="F608" s="393"/>
      <c r="G608" s="381"/>
      <c r="H608" s="381"/>
      <c r="I608" s="381"/>
      <c r="J608" s="381"/>
      <c r="K608" s="381"/>
      <c r="L608" s="381"/>
      <c r="M608" s="381"/>
      <c r="N608" s="381"/>
      <c r="O608" s="381"/>
      <c r="P608" s="381"/>
      <c r="Q608" s="381"/>
      <c r="R608" s="381"/>
      <c r="S608" s="381"/>
    </row>
    <row r="609" spans="1:19" ht="12.75" customHeight="1">
      <c r="A609" s="381"/>
      <c r="B609" s="389">
        <v>43182</v>
      </c>
      <c r="C609" s="390">
        <v>1495.56</v>
      </c>
      <c r="D609" s="393"/>
      <c r="E609" s="392">
        <f t="shared" si="0"/>
        <v>-3.1949874427154912E-2</v>
      </c>
      <c r="F609" s="393"/>
      <c r="G609" s="381"/>
      <c r="H609" s="381"/>
      <c r="I609" s="381"/>
      <c r="J609" s="381"/>
      <c r="K609" s="381"/>
      <c r="L609" s="381"/>
      <c r="M609" s="381"/>
      <c r="N609" s="381"/>
      <c r="O609" s="381"/>
      <c r="P609" s="381"/>
      <c r="Q609" s="381"/>
      <c r="R609" s="381"/>
      <c r="S609" s="381"/>
    </row>
    <row r="610" spans="1:19" ht="12.75" customHeight="1">
      <c r="A610" s="381"/>
      <c r="B610" s="389">
        <v>43185</v>
      </c>
      <c r="C610" s="390">
        <v>1555.86</v>
      </c>
      <c r="D610" s="393"/>
      <c r="E610" s="392">
        <f t="shared" si="0"/>
        <v>4.0319345261975448E-2</v>
      </c>
      <c r="F610" s="393"/>
      <c r="G610" s="381"/>
      <c r="H610" s="381"/>
      <c r="I610" s="381"/>
      <c r="J610" s="381"/>
      <c r="K610" s="381"/>
      <c r="L610" s="381"/>
      <c r="M610" s="381"/>
      <c r="N610" s="381"/>
      <c r="O610" s="381"/>
      <c r="P610" s="381"/>
      <c r="Q610" s="381"/>
      <c r="R610" s="381"/>
      <c r="S610" s="381"/>
    </row>
    <row r="611" spans="1:19" ht="12.75" customHeight="1">
      <c r="A611" s="381"/>
      <c r="B611" s="389">
        <v>43186</v>
      </c>
      <c r="C611" s="390">
        <v>1497.05</v>
      </c>
      <c r="D611" s="393"/>
      <c r="E611" s="392">
        <f t="shared" si="0"/>
        <v>-3.7799030761122454E-2</v>
      </c>
      <c r="F611" s="393"/>
      <c r="G611" s="381"/>
      <c r="H611" s="381"/>
      <c r="I611" s="381"/>
      <c r="J611" s="381"/>
      <c r="K611" s="381"/>
      <c r="L611" s="381"/>
      <c r="M611" s="381"/>
      <c r="N611" s="381"/>
      <c r="O611" s="381"/>
      <c r="P611" s="381"/>
      <c r="Q611" s="381"/>
      <c r="R611" s="381"/>
      <c r="S611" s="381"/>
    </row>
    <row r="612" spans="1:19" ht="12.75" customHeight="1">
      <c r="A612" s="381"/>
      <c r="B612" s="389">
        <v>43187</v>
      </c>
      <c r="C612" s="390">
        <v>1431.42</v>
      </c>
      <c r="D612" s="393"/>
      <c r="E612" s="392">
        <f t="shared" si="0"/>
        <v>-4.3839551117197062E-2</v>
      </c>
      <c r="F612" s="393"/>
      <c r="G612" s="381"/>
      <c r="H612" s="381"/>
      <c r="I612" s="381"/>
      <c r="J612" s="381"/>
      <c r="K612" s="381"/>
      <c r="L612" s="381"/>
      <c r="M612" s="381"/>
      <c r="N612" s="381"/>
      <c r="O612" s="381"/>
      <c r="P612" s="381"/>
      <c r="Q612" s="381"/>
      <c r="R612" s="381"/>
      <c r="S612" s="381"/>
    </row>
    <row r="613" spans="1:19" ht="12.75" customHeight="1">
      <c r="A613" s="381"/>
      <c r="B613" s="389">
        <v>43188</v>
      </c>
      <c r="C613" s="390">
        <v>1447.34</v>
      </c>
      <c r="D613" s="393"/>
      <c r="E613" s="392">
        <f t="shared" si="0"/>
        <v>1.1121823084768945E-2</v>
      </c>
      <c r="F613" s="393"/>
      <c r="G613" s="381"/>
      <c r="H613" s="381"/>
      <c r="I613" s="381"/>
      <c r="J613" s="381"/>
      <c r="K613" s="381"/>
      <c r="L613" s="381"/>
      <c r="M613" s="381"/>
      <c r="N613" s="381"/>
      <c r="O613" s="381"/>
      <c r="P613" s="381"/>
      <c r="Q613" s="381"/>
      <c r="R613" s="381"/>
      <c r="S613" s="381"/>
    </row>
    <row r="614" spans="1:19" ht="12.75" customHeight="1">
      <c r="A614" s="381"/>
      <c r="B614" s="389">
        <v>43192</v>
      </c>
      <c r="C614" s="390">
        <v>1371.99</v>
      </c>
      <c r="D614" s="393"/>
      <c r="E614" s="392">
        <f t="shared" si="0"/>
        <v>-5.2061022289164871E-2</v>
      </c>
      <c r="F614" s="393"/>
      <c r="G614" s="381"/>
      <c r="H614" s="381"/>
      <c r="I614" s="381"/>
      <c r="J614" s="381"/>
      <c r="K614" s="381"/>
      <c r="L614" s="381"/>
      <c r="M614" s="381"/>
      <c r="N614" s="381"/>
      <c r="O614" s="381"/>
      <c r="P614" s="381"/>
      <c r="Q614" s="381"/>
      <c r="R614" s="381"/>
      <c r="S614" s="381"/>
    </row>
    <row r="615" spans="1:19" ht="12.75" customHeight="1">
      <c r="A615" s="381"/>
      <c r="B615" s="389">
        <v>43193</v>
      </c>
      <c r="C615" s="390">
        <v>1392.05</v>
      </c>
      <c r="D615" s="393"/>
      <c r="E615" s="392">
        <f t="shared" si="0"/>
        <v>1.4621097821412743E-2</v>
      </c>
      <c r="F615" s="393"/>
      <c r="G615" s="381"/>
      <c r="H615" s="381"/>
      <c r="I615" s="381"/>
      <c r="J615" s="381"/>
      <c r="K615" s="381"/>
      <c r="L615" s="381"/>
      <c r="M615" s="381"/>
      <c r="N615" s="381"/>
      <c r="O615" s="381"/>
      <c r="P615" s="381"/>
      <c r="Q615" s="381"/>
      <c r="R615" s="381"/>
      <c r="S615" s="381"/>
    </row>
    <row r="616" spans="1:19" ht="12.75" customHeight="1">
      <c r="A616" s="381"/>
      <c r="B616" s="389">
        <v>43194</v>
      </c>
      <c r="C616" s="390">
        <v>1410.57</v>
      </c>
      <c r="D616" s="393"/>
      <c r="E616" s="392">
        <f t="shared" si="0"/>
        <v>1.3304119823282168E-2</v>
      </c>
      <c r="F616" s="393"/>
      <c r="G616" s="381"/>
      <c r="H616" s="381"/>
      <c r="I616" s="381"/>
      <c r="J616" s="381"/>
      <c r="K616" s="381"/>
      <c r="L616" s="381"/>
      <c r="M616" s="381"/>
      <c r="N616" s="381"/>
      <c r="O616" s="381"/>
      <c r="P616" s="381"/>
      <c r="Q616" s="381"/>
      <c r="R616" s="381"/>
      <c r="S616" s="381"/>
    </row>
    <row r="617" spans="1:19" ht="12.75" customHeight="1">
      <c r="A617" s="381"/>
      <c r="B617" s="389">
        <v>43195</v>
      </c>
      <c r="C617" s="390">
        <v>1451.75</v>
      </c>
      <c r="D617" s="393"/>
      <c r="E617" s="392">
        <f t="shared" si="0"/>
        <v>2.9193871980830455E-2</v>
      </c>
      <c r="F617" s="393"/>
      <c r="G617" s="381"/>
      <c r="H617" s="381"/>
      <c r="I617" s="381"/>
      <c r="J617" s="381"/>
      <c r="K617" s="381"/>
      <c r="L617" s="381"/>
      <c r="M617" s="381"/>
      <c r="N617" s="381"/>
      <c r="O617" s="381"/>
      <c r="P617" s="381"/>
      <c r="Q617" s="381"/>
      <c r="R617" s="381"/>
      <c r="S617" s="381"/>
    </row>
    <row r="618" spans="1:19" ht="12.75" customHeight="1">
      <c r="A618" s="381"/>
      <c r="B618" s="389">
        <v>43196</v>
      </c>
      <c r="C618" s="390">
        <v>1405.23</v>
      </c>
      <c r="D618" s="393"/>
      <c r="E618" s="392">
        <f t="shared" si="0"/>
        <v>-3.204408472533149E-2</v>
      </c>
      <c r="F618" s="393"/>
      <c r="G618" s="381"/>
      <c r="H618" s="381"/>
      <c r="I618" s="381"/>
      <c r="J618" s="381"/>
      <c r="K618" s="381"/>
      <c r="L618" s="381"/>
      <c r="M618" s="381"/>
      <c r="N618" s="381"/>
      <c r="O618" s="381"/>
      <c r="P618" s="381"/>
      <c r="Q618" s="381"/>
      <c r="R618" s="381"/>
      <c r="S618" s="381"/>
    </row>
    <row r="619" spans="1:19" ht="12.75" customHeight="1">
      <c r="A619" s="381"/>
      <c r="B619" s="389">
        <v>43199</v>
      </c>
      <c r="C619" s="390">
        <v>1406.08</v>
      </c>
      <c r="D619" s="393"/>
      <c r="E619" s="392">
        <f t="shared" si="0"/>
        <v>6.0488318638229899E-4</v>
      </c>
      <c r="F619" s="393"/>
      <c r="G619" s="381"/>
      <c r="H619" s="381"/>
      <c r="I619" s="381"/>
      <c r="J619" s="381"/>
      <c r="K619" s="381"/>
      <c r="L619" s="381"/>
      <c r="M619" s="381"/>
      <c r="N619" s="381"/>
      <c r="O619" s="381"/>
      <c r="P619" s="381"/>
      <c r="Q619" s="381"/>
      <c r="R619" s="381"/>
      <c r="S619" s="381"/>
    </row>
    <row r="620" spans="1:19" ht="12.75" customHeight="1">
      <c r="A620" s="381"/>
      <c r="B620" s="389">
        <v>43200</v>
      </c>
      <c r="C620" s="390">
        <v>1436.22</v>
      </c>
      <c r="D620" s="393"/>
      <c r="E620" s="392">
        <f t="shared" si="0"/>
        <v>2.1435480200273194E-2</v>
      </c>
      <c r="F620" s="393"/>
      <c r="G620" s="381"/>
      <c r="H620" s="381"/>
      <c r="I620" s="381"/>
      <c r="J620" s="381"/>
      <c r="K620" s="381"/>
      <c r="L620" s="381"/>
      <c r="M620" s="381"/>
      <c r="N620" s="381"/>
      <c r="O620" s="381"/>
      <c r="P620" s="381"/>
      <c r="Q620" s="381"/>
      <c r="R620" s="381"/>
      <c r="S620" s="381"/>
    </row>
    <row r="621" spans="1:19" ht="12.75" customHeight="1">
      <c r="A621" s="381"/>
      <c r="B621" s="389">
        <v>43201</v>
      </c>
      <c r="C621" s="390">
        <v>1427.05</v>
      </c>
      <c r="D621" s="393"/>
      <c r="E621" s="392">
        <f t="shared" si="0"/>
        <v>-6.3848156967596381E-3</v>
      </c>
      <c r="F621" s="393"/>
      <c r="G621" s="381"/>
      <c r="H621" s="381"/>
      <c r="I621" s="381"/>
      <c r="J621" s="381"/>
      <c r="K621" s="381"/>
      <c r="L621" s="381"/>
      <c r="M621" s="381"/>
      <c r="N621" s="381"/>
      <c r="O621" s="381"/>
      <c r="P621" s="381"/>
      <c r="Q621" s="381"/>
      <c r="R621" s="381"/>
      <c r="S621" s="381"/>
    </row>
    <row r="622" spans="1:19" ht="12.75" customHeight="1">
      <c r="A622" s="381"/>
      <c r="B622" s="389">
        <v>43202</v>
      </c>
      <c r="C622" s="390">
        <v>1448.5</v>
      </c>
      <c r="D622" s="393"/>
      <c r="E622" s="392">
        <f t="shared" si="0"/>
        <v>1.5031008023545178E-2</v>
      </c>
      <c r="F622" s="393"/>
      <c r="G622" s="381"/>
      <c r="H622" s="381"/>
      <c r="I622" s="381"/>
      <c r="J622" s="381"/>
      <c r="K622" s="381"/>
      <c r="L622" s="381"/>
      <c r="M622" s="381"/>
      <c r="N622" s="381"/>
      <c r="O622" s="381"/>
      <c r="P622" s="381"/>
      <c r="Q622" s="381"/>
      <c r="R622" s="381"/>
      <c r="S622" s="381"/>
    </row>
    <row r="623" spans="1:19" ht="12.75" customHeight="1">
      <c r="A623" s="381"/>
      <c r="B623" s="389">
        <v>43203</v>
      </c>
      <c r="C623" s="390">
        <v>1430.79</v>
      </c>
      <c r="D623" s="393"/>
      <c r="E623" s="392">
        <f t="shared" si="0"/>
        <v>-1.2226441146013123E-2</v>
      </c>
      <c r="F623" s="393"/>
      <c r="G623" s="381"/>
      <c r="H623" s="381"/>
      <c r="I623" s="381"/>
      <c r="J623" s="381"/>
      <c r="K623" s="381"/>
      <c r="L623" s="381"/>
      <c r="M623" s="381"/>
      <c r="N623" s="381"/>
      <c r="O623" s="381"/>
      <c r="P623" s="381"/>
      <c r="Q623" s="381"/>
      <c r="R623" s="381"/>
      <c r="S623" s="381"/>
    </row>
    <row r="624" spans="1:19" ht="12.75" customHeight="1">
      <c r="A624" s="381"/>
      <c r="B624" s="389">
        <v>43206</v>
      </c>
      <c r="C624" s="390">
        <v>1441.5</v>
      </c>
      <c r="D624" s="393"/>
      <c r="E624" s="392">
        <f t="shared" si="0"/>
        <v>7.4853752122954198E-3</v>
      </c>
      <c r="F624" s="393"/>
      <c r="G624" s="381"/>
      <c r="H624" s="381"/>
      <c r="I624" s="381"/>
      <c r="J624" s="381"/>
      <c r="K624" s="381"/>
      <c r="L624" s="381"/>
      <c r="M624" s="381"/>
      <c r="N624" s="381"/>
      <c r="O624" s="381"/>
      <c r="P624" s="381"/>
      <c r="Q624" s="381"/>
      <c r="R624" s="381"/>
      <c r="S624" s="381"/>
    </row>
    <row r="625" spans="1:19" ht="12.75" customHeight="1">
      <c r="A625" s="381"/>
      <c r="B625" s="389">
        <v>43207</v>
      </c>
      <c r="C625" s="390">
        <v>1503.83</v>
      </c>
      <c r="D625" s="393"/>
      <c r="E625" s="392">
        <f t="shared" si="0"/>
        <v>4.3239680887963816E-2</v>
      </c>
      <c r="F625" s="393"/>
      <c r="G625" s="381"/>
      <c r="H625" s="381"/>
      <c r="I625" s="381"/>
      <c r="J625" s="381"/>
      <c r="K625" s="381"/>
      <c r="L625" s="381"/>
      <c r="M625" s="381"/>
      <c r="N625" s="381"/>
      <c r="O625" s="381"/>
      <c r="P625" s="381"/>
      <c r="Q625" s="381"/>
      <c r="R625" s="381"/>
      <c r="S625" s="381"/>
    </row>
    <row r="626" spans="1:19" ht="12.75" customHeight="1">
      <c r="A626" s="381"/>
      <c r="B626" s="389">
        <v>43208</v>
      </c>
      <c r="C626" s="390">
        <v>1527.84</v>
      </c>
      <c r="D626" s="393"/>
      <c r="E626" s="392">
        <f t="shared" si="0"/>
        <v>1.596590040097623E-2</v>
      </c>
      <c r="F626" s="393"/>
      <c r="G626" s="381"/>
      <c r="H626" s="381"/>
      <c r="I626" s="381"/>
      <c r="J626" s="381"/>
      <c r="K626" s="381"/>
      <c r="L626" s="381"/>
      <c r="M626" s="381"/>
      <c r="N626" s="381"/>
      <c r="O626" s="381"/>
      <c r="P626" s="381"/>
      <c r="Q626" s="381"/>
      <c r="R626" s="381"/>
      <c r="S626" s="381"/>
    </row>
    <row r="627" spans="1:19" ht="12.75" customHeight="1">
      <c r="A627" s="381"/>
      <c r="B627" s="389">
        <v>43209</v>
      </c>
      <c r="C627" s="390">
        <v>1556.91</v>
      </c>
      <c r="D627" s="393"/>
      <c r="E627" s="392">
        <f t="shared" si="0"/>
        <v>1.9026861451461041E-2</v>
      </c>
      <c r="F627" s="393"/>
      <c r="G627" s="381"/>
      <c r="H627" s="381"/>
      <c r="I627" s="381"/>
      <c r="J627" s="381"/>
      <c r="K627" s="381"/>
      <c r="L627" s="381"/>
      <c r="M627" s="381"/>
      <c r="N627" s="381"/>
      <c r="O627" s="381"/>
      <c r="P627" s="381"/>
      <c r="Q627" s="381"/>
      <c r="R627" s="381"/>
      <c r="S627" s="381"/>
    </row>
    <row r="628" spans="1:19" ht="12.75" customHeight="1">
      <c r="A628" s="381"/>
      <c r="B628" s="389">
        <v>43210</v>
      </c>
      <c r="C628" s="390">
        <v>1527.49</v>
      </c>
      <c r="D628" s="393"/>
      <c r="E628" s="392">
        <f t="shared" si="0"/>
        <v>-1.8896403774142367E-2</v>
      </c>
      <c r="F628" s="393"/>
      <c r="G628" s="381"/>
      <c r="H628" s="381"/>
      <c r="I628" s="381"/>
      <c r="J628" s="381"/>
      <c r="K628" s="381"/>
      <c r="L628" s="381"/>
      <c r="M628" s="381"/>
      <c r="N628" s="381"/>
      <c r="O628" s="381"/>
      <c r="P628" s="381"/>
      <c r="Q628" s="381"/>
      <c r="R628" s="381"/>
      <c r="S628" s="381"/>
    </row>
    <row r="629" spans="1:19" ht="12.75" customHeight="1">
      <c r="A629" s="381"/>
      <c r="B629" s="389">
        <v>43213</v>
      </c>
      <c r="C629" s="390">
        <v>1517.86</v>
      </c>
      <c r="D629" s="393"/>
      <c r="E629" s="392">
        <f t="shared" si="0"/>
        <v>-6.3044602583324227E-3</v>
      </c>
      <c r="F629" s="393"/>
      <c r="G629" s="381"/>
      <c r="H629" s="381"/>
      <c r="I629" s="381"/>
      <c r="J629" s="381"/>
      <c r="K629" s="381"/>
      <c r="L629" s="381"/>
      <c r="M629" s="381"/>
      <c r="N629" s="381"/>
      <c r="O629" s="381"/>
      <c r="P629" s="381"/>
      <c r="Q629" s="381"/>
      <c r="R629" s="381"/>
      <c r="S629" s="381"/>
    </row>
    <row r="630" spans="1:19" ht="12.75" customHeight="1">
      <c r="A630" s="381"/>
      <c r="B630" s="389">
        <v>43214</v>
      </c>
      <c r="C630" s="390">
        <v>1460.09</v>
      </c>
      <c r="D630" s="393"/>
      <c r="E630" s="392">
        <f t="shared" si="0"/>
        <v>-3.8060163651456702E-2</v>
      </c>
      <c r="F630" s="393"/>
      <c r="G630" s="381"/>
      <c r="H630" s="381"/>
      <c r="I630" s="381"/>
      <c r="J630" s="381"/>
      <c r="K630" s="381"/>
      <c r="L630" s="381"/>
      <c r="M630" s="381"/>
      <c r="N630" s="381"/>
      <c r="O630" s="381"/>
      <c r="P630" s="381"/>
      <c r="Q630" s="381"/>
      <c r="R630" s="381"/>
      <c r="S630" s="381"/>
    </row>
    <row r="631" spans="1:19" ht="12.75" customHeight="1">
      <c r="A631" s="381"/>
      <c r="B631" s="389">
        <v>43215</v>
      </c>
      <c r="C631" s="390">
        <v>1460.17</v>
      </c>
      <c r="D631" s="393"/>
      <c r="E631" s="392">
        <f t="shared" si="0"/>
        <v>5.4791143011767574E-5</v>
      </c>
      <c r="F631" s="393"/>
      <c r="G631" s="381"/>
      <c r="H631" s="381"/>
      <c r="I631" s="381"/>
      <c r="J631" s="381"/>
      <c r="K631" s="381"/>
      <c r="L631" s="381"/>
      <c r="M631" s="381"/>
      <c r="N631" s="381"/>
      <c r="O631" s="381"/>
      <c r="P631" s="381"/>
      <c r="Q631" s="381"/>
      <c r="R631" s="381"/>
      <c r="S631" s="381"/>
    </row>
    <row r="632" spans="1:19" ht="12.75" customHeight="1">
      <c r="A632" s="381"/>
      <c r="B632" s="389">
        <v>43216</v>
      </c>
      <c r="C632" s="390">
        <v>1517.96</v>
      </c>
      <c r="D632" s="393"/>
      <c r="E632" s="392">
        <f t="shared" si="0"/>
        <v>3.9577583432066188E-2</v>
      </c>
      <c r="F632" s="393"/>
      <c r="G632" s="381"/>
      <c r="H632" s="381"/>
      <c r="I632" s="381"/>
      <c r="J632" s="381"/>
      <c r="K632" s="381"/>
      <c r="L632" s="381"/>
      <c r="M632" s="381"/>
      <c r="N632" s="381"/>
      <c r="O632" s="381"/>
      <c r="P632" s="381"/>
      <c r="Q632" s="381"/>
      <c r="R632" s="381"/>
      <c r="S632" s="381"/>
    </row>
    <row r="633" spans="1:19" ht="12.75" customHeight="1">
      <c r="A633" s="381"/>
      <c r="B633" s="389">
        <v>43217</v>
      </c>
      <c r="C633" s="390">
        <v>1572.62</v>
      </c>
      <c r="D633" s="393"/>
      <c r="E633" s="392">
        <f t="shared" si="0"/>
        <v>3.6008853988247269E-2</v>
      </c>
      <c r="F633" s="393"/>
      <c r="G633" s="381"/>
      <c r="H633" s="381"/>
      <c r="I633" s="381"/>
      <c r="J633" s="381"/>
      <c r="K633" s="381"/>
      <c r="L633" s="381"/>
      <c r="M633" s="381"/>
      <c r="N633" s="381"/>
      <c r="O633" s="381"/>
      <c r="P633" s="381"/>
      <c r="Q633" s="381"/>
      <c r="R633" s="381"/>
      <c r="S633" s="381"/>
    </row>
    <row r="634" spans="1:19" ht="12.75" customHeight="1">
      <c r="A634" s="381"/>
      <c r="B634" s="389">
        <v>43220</v>
      </c>
      <c r="C634" s="390">
        <v>1566.13</v>
      </c>
      <c r="D634" s="393"/>
      <c r="E634" s="392">
        <f t="shared" si="0"/>
        <v>-4.1268710813799903E-3</v>
      </c>
      <c r="F634" s="393"/>
      <c r="G634" s="381"/>
      <c r="H634" s="381"/>
      <c r="I634" s="381"/>
      <c r="J634" s="381"/>
      <c r="K634" s="381"/>
      <c r="L634" s="381"/>
      <c r="M634" s="381"/>
      <c r="N634" s="381"/>
      <c r="O634" s="381"/>
      <c r="P634" s="381"/>
      <c r="Q634" s="381"/>
      <c r="R634" s="381"/>
      <c r="S634" s="381"/>
    </row>
    <row r="635" spans="1:19" ht="12.75" customHeight="1">
      <c r="A635" s="381"/>
      <c r="B635" s="389">
        <v>43221</v>
      </c>
      <c r="C635" s="390">
        <v>1582.26</v>
      </c>
      <c r="D635" s="393"/>
      <c r="E635" s="392">
        <f t="shared" si="0"/>
        <v>1.0299272729594522E-2</v>
      </c>
      <c r="F635" s="393"/>
      <c r="G635" s="381"/>
      <c r="H635" s="381"/>
      <c r="I635" s="381"/>
      <c r="J635" s="381"/>
      <c r="K635" s="381"/>
      <c r="L635" s="381"/>
      <c r="M635" s="381"/>
      <c r="N635" s="381"/>
      <c r="O635" s="381"/>
      <c r="P635" s="381"/>
      <c r="Q635" s="381"/>
      <c r="R635" s="381"/>
      <c r="S635" s="381"/>
    </row>
    <row r="636" spans="1:19" ht="12.75" customHeight="1">
      <c r="A636" s="381"/>
      <c r="B636" s="389">
        <v>43222</v>
      </c>
      <c r="C636" s="390">
        <v>1569.68</v>
      </c>
      <c r="D636" s="393"/>
      <c r="E636" s="392">
        <f t="shared" si="0"/>
        <v>-7.9506528636253959E-3</v>
      </c>
      <c r="F636" s="393"/>
      <c r="G636" s="381"/>
      <c r="H636" s="381"/>
      <c r="I636" s="381"/>
      <c r="J636" s="381"/>
      <c r="K636" s="381"/>
      <c r="L636" s="381"/>
      <c r="M636" s="381"/>
      <c r="N636" s="381"/>
      <c r="O636" s="381"/>
      <c r="P636" s="381"/>
      <c r="Q636" s="381"/>
      <c r="R636" s="381"/>
      <c r="S636" s="381"/>
    </row>
    <row r="637" spans="1:19" ht="12.75" customHeight="1">
      <c r="A637" s="381"/>
      <c r="B637" s="389">
        <v>43223</v>
      </c>
      <c r="C637" s="390">
        <v>1572.075</v>
      </c>
      <c r="D637" s="393"/>
      <c r="E637" s="392">
        <f t="shared" si="0"/>
        <v>1.5257886957851241E-3</v>
      </c>
      <c r="F637" s="393"/>
      <c r="G637" s="381"/>
      <c r="H637" s="381"/>
      <c r="I637" s="381"/>
      <c r="J637" s="381"/>
      <c r="K637" s="381"/>
      <c r="L637" s="381"/>
      <c r="M637" s="381"/>
      <c r="N637" s="381"/>
      <c r="O637" s="381"/>
      <c r="P637" s="381"/>
      <c r="Q637" s="381"/>
      <c r="R637" s="381"/>
      <c r="S637" s="381"/>
    </row>
    <row r="638" spans="1:19" ht="12.75" customHeight="1">
      <c r="A638" s="381"/>
      <c r="B638" s="389">
        <v>43224</v>
      </c>
      <c r="C638" s="390">
        <v>1580.95</v>
      </c>
      <c r="D638" s="393"/>
      <c r="E638" s="392">
        <f t="shared" si="0"/>
        <v>5.6454049584149235E-3</v>
      </c>
      <c r="F638" s="393"/>
      <c r="G638" s="381"/>
      <c r="H638" s="381"/>
      <c r="I638" s="381"/>
      <c r="J638" s="381"/>
      <c r="K638" s="381"/>
      <c r="L638" s="381"/>
      <c r="M638" s="381"/>
      <c r="N638" s="381"/>
      <c r="O638" s="381"/>
      <c r="P638" s="381"/>
      <c r="Q638" s="381"/>
      <c r="R638" s="381"/>
      <c r="S638" s="381"/>
    </row>
    <row r="639" spans="1:19" ht="12.75" customHeight="1">
      <c r="A639" s="381"/>
      <c r="B639" s="389">
        <v>43227</v>
      </c>
      <c r="C639" s="390">
        <v>1600.14</v>
      </c>
      <c r="D639" s="393"/>
      <c r="E639" s="392">
        <f t="shared" si="0"/>
        <v>1.2138271292577274E-2</v>
      </c>
      <c r="F639" s="393"/>
      <c r="G639" s="381"/>
      <c r="H639" s="381"/>
      <c r="I639" s="381"/>
      <c r="J639" s="381"/>
      <c r="K639" s="381"/>
      <c r="L639" s="381"/>
      <c r="M639" s="381"/>
      <c r="N639" s="381"/>
      <c r="O639" s="381"/>
      <c r="P639" s="381"/>
      <c r="Q639" s="381"/>
      <c r="R639" s="381"/>
      <c r="S639" s="381"/>
    </row>
    <row r="640" spans="1:19" ht="12.75" customHeight="1">
      <c r="A640" s="381"/>
      <c r="B640" s="389">
        <v>43228</v>
      </c>
      <c r="C640" s="390">
        <v>1592.39</v>
      </c>
      <c r="D640" s="393"/>
      <c r="E640" s="392">
        <f t="shared" si="0"/>
        <v>-4.8433262089566664E-3</v>
      </c>
      <c r="F640" s="393"/>
      <c r="G640" s="381"/>
      <c r="H640" s="381"/>
      <c r="I640" s="381"/>
      <c r="J640" s="381"/>
      <c r="K640" s="381"/>
      <c r="L640" s="381"/>
      <c r="M640" s="381"/>
      <c r="N640" s="381"/>
      <c r="O640" s="381"/>
      <c r="P640" s="381"/>
      <c r="Q640" s="381"/>
      <c r="R640" s="381"/>
      <c r="S640" s="381"/>
    </row>
    <row r="641" spans="1:19" ht="12.75" customHeight="1">
      <c r="A641" s="381"/>
      <c r="B641" s="389">
        <v>43229</v>
      </c>
      <c r="C641" s="390">
        <v>1608</v>
      </c>
      <c r="D641" s="393"/>
      <c r="E641" s="392">
        <f t="shared" si="0"/>
        <v>9.8028749238565638E-3</v>
      </c>
      <c r="F641" s="393"/>
      <c r="G641" s="381"/>
      <c r="H641" s="381"/>
      <c r="I641" s="381"/>
      <c r="J641" s="381"/>
      <c r="K641" s="381"/>
      <c r="L641" s="381"/>
      <c r="M641" s="381"/>
      <c r="N641" s="381"/>
      <c r="O641" s="381"/>
      <c r="P641" s="381"/>
      <c r="Q641" s="381"/>
      <c r="R641" s="381"/>
      <c r="S641" s="381"/>
    </row>
    <row r="642" spans="1:19" ht="12.75" customHeight="1">
      <c r="A642" s="381"/>
      <c r="B642" s="389">
        <v>43230</v>
      </c>
      <c r="C642" s="390">
        <v>1609.08</v>
      </c>
      <c r="D642" s="393"/>
      <c r="E642" s="392">
        <f t="shared" si="0"/>
        <v>6.7164179104484134E-4</v>
      </c>
      <c r="F642" s="393"/>
      <c r="G642" s="381"/>
      <c r="H642" s="381"/>
      <c r="I642" s="381"/>
      <c r="J642" s="381"/>
      <c r="K642" s="381"/>
      <c r="L642" s="381"/>
      <c r="M642" s="381"/>
      <c r="N642" s="381"/>
      <c r="O642" s="381"/>
      <c r="P642" s="381"/>
      <c r="Q642" s="381"/>
      <c r="R642" s="381"/>
      <c r="S642" s="381"/>
    </row>
    <row r="643" spans="1:19" ht="12.75" customHeight="1">
      <c r="A643" s="381"/>
      <c r="B643" s="389">
        <v>43231</v>
      </c>
      <c r="C643" s="390">
        <v>1602.91</v>
      </c>
      <c r="D643" s="393"/>
      <c r="E643" s="392">
        <f t="shared" si="0"/>
        <v>-3.834489273373487E-3</v>
      </c>
      <c r="F643" s="393"/>
      <c r="G643" s="381"/>
      <c r="H643" s="381"/>
      <c r="I643" s="381"/>
      <c r="J643" s="381"/>
      <c r="K643" s="381"/>
      <c r="L643" s="381"/>
      <c r="M643" s="381"/>
      <c r="N643" s="381"/>
      <c r="O643" s="381"/>
      <c r="P643" s="381"/>
      <c r="Q643" s="381"/>
      <c r="R643" s="381"/>
      <c r="S643" s="381"/>
    </row>
    <row r="644" spans="1:19" ht="12.75" customHeight="1">
      <c r="A644" s="381"/>
      <c r="B644" s="389">
        <v>43234</v>
      </c>
      <c r="C644" s="390">
        <v>1601.54</v>
      </c>
      <c r="D644" s="393"/>
      <c r="E644" s="392">
        <f t="shared" si="0"/>
        <v>-8.5469552251848935E-4</v>
      </c>
      <c r="F644" s="393"/>
      <c r="G644" s="381"/>
      <c r="H644" s="381"/>
      <c r="I644" s="381"/>
      <c r="J644" s="381"/>
      <c r="K644" s="381"/>
      <c r="L644" s="381"/>
      <c r="M644" s="381"/>
      <c r="N644" s="381"/>
      <c r="O644" s="381"/>
      <c r="P644" s="381"/>
      <c r="Q644" s="381"/>
      <c r="R644" s="381"/>
      <c r="S644" s="381"/>
    </row>
    <row r="645" spans="1:19" ht="12.75" customHeight="1">
      <c r="A645" s="381"/>
      <c r="B645" s="389">
        <v>43235</v>
      </c>
      <c r="C645" s="390">
        <v>1576.12</v>
      </c>
      <c r="D645" s="393"/>
      <c r="E645" s="392">
        <f t="shared" si="0"/>
        <v>-1.5872222985376605E-2</v>
      </c>
      <c r="F645" s="393"/>
      <c r="G645" s="381"/>
      <c r="H645" s="381"/>
      <c r="I645" s="381"/>
      <c r="J645" s="381"/>
      <c r="K645" s="381"/>
      <c r="L645" s="381"/>
      <c r="M645" s="381"/>
      <c r="N645" s="381"/>
      <c r="O645" s="381"/>
      <c r="P645" s="381"/>
      <c r="Q645" s="381"/>
      <c r="R645" s="381"/>
      <c r="S645" s="381"/>
    </row>
    <row r="646" spans="1:19" ht="12.75" customHeight="1">
      <c r="A646" s="381"/>
      <c r="B646" s="389">
        <v>43236</v>
      </c>
      <c r="C646" s="390">
        <v>1587.28</v>
      </c>
      <c r="D646" s="393"/>
      <c r="E646" s="392">
        <f t="shared" si="0"/>
        <v>7.0806791361064381E-3</v>
      </c>
      <c r="F646" s="393"/>
      <c r="G646" s="381"/>
      <c r="H646" s="381"/>
      <c r="I646" s="381"/>
      <c r="J646" s="381"/>
      <c r="K646" s="381"/>
      <c r="L646" s="381"/>
      <c r="M646" s="381"/>
      <c r="N646" s="381"/>
      <c r="O646" s="381"/>
      <c r="P646" s="381"/>
      <c r="Q646" s="381"/>
      <c r="R646" s="381"/>
      <c r="S646" s="381"/>
    </row>
    <row r="647" spans="1:19" ht="12.75" customHeight="1">
      <c r="A647" s="381"/>
      <c r="B647" s="389">
        <v>43237</v>
      </c>
      <c r="C647" s="390">
        <v>1581.76</v>
      </c>
      <c r="D647" s="393"/>
      <c r="E647" s="392">
        <f t="shared" si="0"/>
        <v>-3.4776472960031946E-3</v>
      </c>
      <c r="F647" s="393"/>
      <c r="G647" s="381"/>
      <c r="H647" s="381"/>
      <c r="I647" s="381"/>
      <c r="J647" s="381"/>
      <c r="K647" s="381"/>
      <c r="L647" s="381"/>
      <c r="M647" s="381"/>
      <c r="N647" s="381"/>
      <c r="O647" s="381"/>
      <c r="P647" s="381"/>
      <c r="Q647" s="381"/>
      <c r="R647" s="381"/>
      <c r="S647" s="381"/>
    </row>
    <row r="648" spans="1:19" ht="12.75" customHeight="1">
      <c r="A648" s="381"/>
      <c r="B648" s="389">
        <v>43238</v>
      </c>
      <c r="C648" s="390">
        <v>1574.37</v>
      </c>
      <c r="D648" s="393"/>
      <c r="E648" s="392">
        <f t="shared" si="0"/>
        <v>-4.6720109245398378E-3</v>
      </c>
      <c r="F648" s="393"/>
      <c r="G648" s="381"/>
      <c r="H648" s="381"/>
      <c r="I648" s="381"/>
      <c r="J648" s="381"/>
      <c r="K648" s="381"/>
      <c r="L648" s="381"/>
      <c r="M648" s="381"/>
      <c r="N648" s="381"/>
      <c r="O648" s="381"/>
      <c r="P648" s="381"/>
      <c r="Q648" s="381"/>
      <c r="R648" s="381"/>
      <c r="S648" s="381"/>
    </row>
    <row r="649" spans="1:19" ht="12.75" customHeight="1">
      <c r="A649" s="381"/>
      <c r="B649" s="389">
        <v>43241</v>
      </c>
      <c r="C649" s="390">
        <v>1585.46</v>
      </c>
      <c r="D649" s="393"/>
      <c r="E649" s="392">
        <f t="shared" si="0"/>
        <v>7.0440874762605077E-3</v>
      </c>
      <c r="F649" s="393"/>
      <c r="G649" s="381"/>
      <c r="H649" s="381"/>
      <c r="I649" s="381"/>
      <c r="J649" s="381"/>
      <c r="K649" s="381"/>
      <c r="L649" s="381"/>
      <c r="M649" s="381"/>
      <c r="N649" s="381"/>
      <c r="O649" s="381"/>
      <c r="P649" s="381"/>
      <c r="Q649" s="381"/>
      <c r="R649" s="381"/>
      <c r="S649" s="381"/>
    </row>
    <row r="650" spans="1:19" ht="12.75" customHeight="1">
      <c r="A650" s="381"/>
      <c r="B650" s="389">
        <v>43242</v>
      </c>
      <c r="C650" s="390">
        <v>1581.4</v>
      </c>
      <c r="D650" s="393"/>
      <c r="E650" s="392">
        <f t="shared" si="0"/>
        <v>-2.5607710065217448E-3</v>
      </c>
      <c r="F650" s="393"/>
      <c r="G650" s="381"/>
      <c r="H650" s="381"/>
      <c r="I650" s="381"/>
      <c r="J650" s="381"/>
      <c r="K650" s="381"/>
      <c r="L650" s="381"/>
      <c r="M650" s="381"/>
      <c r="N650" s="381"/>
      <c r="O650" s="381"/>
      <c r="P650" s="381"/>
      <c r="Q650" s="381"/>
      <c r="R650" s="381"/>
      <c r="S650" s="381"/>
    </row>
    <row r="651" spans="1:19" ht="12.75" customHeight="1">
      <c r="A651" s="381"/>
      <c r="B651" s="389">
        <v>43243</v>
      </c>
      <c r="C651" s="390">
        <v>1601.86</v>
      </c>
      <c r="D651" s="393"/>
      <c r="E651" s="392">
        <f t="shared" si="0"/>
        <v>1.2937903123814154E-2</v>
      </c>
      <c r="F651" s="393"/>
      <c r="G651" s="381"/>
      <c r="H651" s="381"/>
      <c r="I651" s="381"/>
      <c r="J651" s="381"/>
      <c r="K651" s="381"/>
      <c r="L651" s="381"/>
      <c r="M651" s="381"/>
      <c r="N651" s="381"/>
      <c r="O651" s="381"/>
      <c r="P651" s="381"/>
      <c r="Q651" s="381"/>
      <c r="R651" s="381"/>
      <c r="S651" s="381"/>
    </row>
    <row r="652" spans="1:19" ht="12.75" customHeight="1">
      <c r="A652" s="381"/>
      <c r="B652" s="389">
        <v>43244</v>
      </c>
      <c r="C652" s="390">
        <v>1603.07</v>
      </c>
      <c r="D652" s="393"/>
      <c r="E652" s="392">
        <f t="shared" si="0"/>
        <v>7.5537188018937051E-4</v>
      </c>
      <c r="F652" s="393"/>
      <c r="G652" s="381"/>
      <c r="H652" s="381"/>
      <c r="I652" s="381"/>
      <c r="J652" s="381"/>
      <c r="K652" s="381"/>
      <c r="L652" s="381"/>
      <c r="M652" s="381"/>
      <c r="N652" s="381"/>
      <c r="O652" s="381"/>
      <c r="P652" s="381"/>
      <c r="Q652" s="381"/>
      <c r="R652" s="381"/>
      <c r="S652" s="381"/>
    </row>
    <row r="653" spans="1:19" ht="12.75" customHeight="1">
      <c r="A653" s="381"/>
      <c r="B653" s="389">
        <v>43245</v>
      </c>
      <c r="C653" s="390">
        <v>1610.15</v>
      </c>
      <c r="D653" s="393"/>
      <c r="E653" s="392">
        <f t="shared" si="0"/>
        <v>4.4165257911383815E-3</v>
      </c>
      <c r="F653" s="393"/>
      <c r="G653" s="381"/>
      <c r="H653" s="381"/>
      <c r="I653" s="381"/>
      <c r="J653" s="381"/>
      <c r="K653" s="381"/>
      <c r="L653" s="381"/>
      <c r="M653" s="381"/>
      <c r="N653" s="381"/>
      <c r="O653" s="381"/>
      <c r="P653" s="381"/>
      <c r="Q653" s="381"/>
      <c r="R653" s="381"/>
      <c r="S653" s="381"/>
    </row>
    <row r="654" spans="1:19" ht="12.75" customHeight="1">
      <c r="A654" s="381"/>
      <c r="B654" s="389">
        <v>43249</v>
      </c>
      <c r="C654" s="390">
        <v>1612.87</v>
      </c>
      <c r="D654" s="393"/>
      <c r="E654" s="392">
        <f t="shared" si="0"/>
        <v>1.6892836071171757E-3</v>
      </c>
      <c r="F654" s="393"/>
      <c r="G654" s="381"/>
      <c r="H654" s="381"/>
      <c r="I654" s="381"/>
      <c r="J654" s="381"/>
      <c r="K654" s="381"/>
      <c r="L654" s="381"/>
      <c r="M654" s="381"/>
      <c r="N654" s="381"/>
      <c r="O654" s="381"/>
      <c r="P654" s="381"/>
      <c r="Q654" s="381"/>
      <c r="R654" s="381"/>
      <c r="S654" s="381"/>
    </row>
    <row r="655" spans="1:19" ht="12.75" customHeight="1">
      <c r="A655" s="381"/>
      <c r="B655" s="389">
        <v>43250</v>
      </c>
      <c r="C655" s="390">
        <v>1624.89</v>
      </c>
      <c r="D655" s="393"/>
      <c r="E655" s="392">
        <f t="shared" si="0"/>
        <v>7.4525535226026562E-3</v>
      </c>
      <c r="F655" s="393"/>
      <c r="G655" s="381"/>
      <c r="H655" s="381"/>
      <c r="I655" s="381"/>
      <c r="J655" s="381"/>
      <c r="K655" s="381"/>
      <c r="L655" s="381"/>
      <c r="M655" s="381"/>
      <c r="N655" s="381"/>
      <c r="O655" s="381"/>
      <c r="P655" s="381"/>
      <c r="Q655" s="381"/>
      <c r="R655" s="381"/>
      <c r="S655" s="381"/>
    </row>
    <row r="656" spans="1:19" ht="12.75" customHeight="1">
      <c r="A656" s="381"/>
      <c r="B656" s="389">
        <v>43251</v>
      </c>
      <c r="C656" s="390">
        <v>1629.62</v>
      </c>
      <c r="D656" s="393"/>
      <c r="E656" s="392">
        <f t="shared" si="0"/>
        <v>2.910966280794236E-3</v>
      </c>
      <c r="F656" s="393"/>
      <c r="G656" s="381"/>
      <c r="H656" s="381"/>
      <c r="I656" s="381"/>
      <c r="J656" s="381"/>
      <c r="K656" s="381"/>
      <c r="L656" s="381"/>
      <c r="M656" s="381"/>
      <c r="N656" s="381"/>
      <c r="O656" s="381"/>
      <c r="P656" s="381"/>
      <c r="Q656" s="381"/>
      <c r="R656" s="381"/>
      <c r="S656" s="381"/>
    </row>
    <row r="657" spans="1:19" ht="12.75" customHeight="1">
      <c r="A657" s="381"/>
      <c r="B657" s="389">
        <v>43252</v>
      </c>
      <c r="C657" s="390">
        <v>1641.54</v>
      </c>
      <c r="D657" s="393"/>
      <c r="E657" s="392">
        <f t="shared" si="0"/>
        <v>7.3145886771148749E-3</v>
      </c>
      <c r="F657" s="393"/>
      <c r="G657" s="381"/>
      <c r="H657" s="381"/>
      <c r="I657" s="381"/>
      <c r="J657" s="381"/>
      <c r="K657" s="381"/>
      <c r="L657" s="381"/>
      <c r="M657" s="381"/>
      <c r="N657" s="381"/>
      <c r="O657" s="381"/>
      <c r="P657" s="381"/>
      <c r="Q657" s="381"/>
      <c r="R657" s="381"/>
      <c r="S657" s="381"/>
    </row>
    <row r="658" spans="1:19" ht="12.75" customHeight="1">
      <c r="A658" s="381"/>
      <c r="B658" s="389">
        <v>43255</v>
      </c>
      <c r="C658" s="390">
        <v>1665.27</v>
      </c>
      <c r="D658" s="393"/>
      <c r="E658" s="392">
        <f t="shared" si="0"/>
        <v>1.4455937717021916E-2</v>
      </c>
      <c r="F658" s="393"/>
      <c r="G658" s="381"/>
      <c r="H658" s="381"/>
      <c r="I658" s="381"/>
      <c r="J658" s="381"/>
      <c r="K658" s="381"/>
      <c r="L658" s="381"/>
      <c r="M658" s="381"/>
      <c r="N658" s="381"/>
      <c r="O658" s="381"/>
      <c r="P658" s="381"/>
      <c r="Q658" s="381"/>
      <c r="R658" s="381"/>
      <c r="S658" s="381"/>
    </row>
    <row r="659" spans="1:19" ht="12.75" customHeight="1">
      <c r="A659" s="381"/>
      <c r="B659" s="389">
        <v>43256</v>
      </c>
      <c r="C659" s="390">
        <v>1696.35</v>
      </c>
      <c r="D659" s="393"/>
      <c r="E659" s="392">
        <f t="shared" si="0"/>
        <v>1.8663640130429204E-2</v>
      </c>
      <c r="F659" s="393"/>
      <c r="G659" s="381"/>
      <c r="H659" s="381"/>
      <c r="I659" s="381"/>
      <c r="J659" s="381"/>
      <c r="K659" s="381"/>
      <c r="L659" s="381"/>
      <c r="M659" s="381"/>
      <c r="N659" s="381"/>
      <c r="O659" s="381"/>
      <c r="P659" s="381"/>
      <c r="Q659" s="381"/>
      <c r="R659" s="381"/>
      <c r="S659" s="381"/>
    </row>
    <row r="660" spans="1:19" ht="12.75" customHeight="1">
      <c r="A660" s="381"/>
      <c r="B660" s="389">
        <v>43257</v>
      </c>
      <c r="C660" s="390">
        <v>1695.75</v>
      </c>
      <c r="D660" s="393"/>
      <c r="E660" s="392">
        <f t="shared" si="0"/>
        <v>-3.5370059244843599E-4</v>
      </c>
      <c r="F660" s="393"/>
      <c r="G660" s="381"/>
      <c r="H660" s="381"/>
      <c r="I660" s="381"/>
      <c r="J660" s="381"/>
      <c r="K660" s="381"/>
      <c r="L660" s="381"/>
      <c r="M660" s="381"/>
      <c r="N660" s="381"/>
      <c r="O660" s="381"/>
      <c r="P660" s="381"/>
      <c r="Q660" s="381"/>
      <c r="R660" s="381"/>
      <c r="S660" s="381"/>
    </row>
    <row r="661" spans="1:19" ht="12.75" customHeight="1">
      <c r="A661" s="381"/>
      <c r="B661" s="389">
        <v>43258</v>
      </c>
      <c r="C661" s="390">
        <v>1689.3</v>
      </c>
      <c r="D661" s="393"/>
      <c r="E661" s="392">
        <f t="shared" si="0"/>
        <v>-3.8036267138434887E-3</v>
      </c>
      <c r="F661" s="393"/>
      <c r="G661" s="381"/>
      <c r="H661" s="381"/>
      <c r="I661" s="381"/>
      <c r="J661" s="381"/>
      <c r="K661" s="381"/>
      <c r="L661" s="381"/>
      <c r="M661" s="381"/>
      <c r="N661" s="381"/>
      <c r="O661" s="381"/>
      <c r="P661" s="381"/>
      <c r="Q661" s="381"/>
      <c r="R661" s="381"/>
      <c r="S661" s="381"/>
    </row>
    <row r="662" spans="1:19" ht="12.75" customHeight="1">
      <c r="A662" s="381"/>
      <c r="B662" s="389">
        <v>43259</v>
      </c>
      <c r="C662" s="390">
        <v>1683.99</v>
      </c>
      <c r="D662" s="393"/>
      <c r="E662" s="392">
        <f t="shared" si="0"/>
        <v>-3.1433137986147663E-3</v>
      </c>
      <c r="F662" s="393"/>
      <c r="G662" s="381"/>
      <c r="H662" s="381"/>
      <c r="I662" s="381"/>
      <c r="J662" s="381"/>
      <c r="K662" s="381"/>
      <c r="L662" s="381"/>
      <c r="M662" s="381"/>
      <c r="N662" s="381"/>
      <c r="O662" s="381"/>
      <c r="P662" s="381"/>
      <c r="Q662" s="381"/>
      <c r="R662" s="381"/>
      <c r="S662" s="381"/>
    </row>
    <row r="663" spans="1:19" ht="12.75" customHeight="1">
      <c r="A663" s="381"/>
      <c r="B663" s="389">
        <v>43262</v>
      </c>
      <c r="C663" s="390">
        <v>1689.12</v>
      </c>
      <c r="D663" s="393"/>
      <c r="E663" s="392">
        <f t="shared" si="0"/>
        <v>3.0463363796695564E-3</v>
      </c>
      <c r="F663" s="393"/>
      <c r="G663" s="381"/>
      <c r="H663" s="381"/>
      <c r="I663" s="381"/>
      <c r="J663" s="381"/>
      <c r="K663" s="381"/>
      <c r="L663" s="381"/>
      <c r="M663" s="381"/>
      <c r="N663" s="381"/>
      <c r="O663" s="381"/>
      <c r="P663" s="381"/>
      <c r="Q663" s="381"/>
      <c r="R663" s="381"/>
      <c r="S663" s="381"/>
    </row>
    <row r="664" spans="1:19" ht="12.75" customHeight="1">
      <c r="A664" s="381"/>
      <c r="B664" s="389">
        <v>43263</v>
      </c>
      <c r="C664" s="390">
        <v>1698.75</v>
      </c>
      <c r="D664" s="393"/>
      <c r="E664" s="392">
        <f t="shared" si="0"/>
        <v>5.7011935208866049E-3</v>
      </c>
      <c r="F664" s="393"/>
      <c r="G664" s="381"/>
      <c r="H664" s="381"/>
      <c r="I664" s="381"/>
      <c r="J664" s="381"/>
      <c r="K664" s="381"/>
      <c r="L664" s="381"/>
      <c r="M664" s="381"/>
      <c r="N664" s="381"/>
      <c r="O664" s="381"/>
      <c r="P664" s="381"/>
      <c r="Q664" s="381"/>
      <c r="R664" s="381"/>
      <c r="S664" s="381"/>
    </row>
    <row r="665" spans="1:19" ht="12.75" customHeight="1">
      <c r="A665" s="381"/>
      <c r="B665" s="389">
        <v>43264</v>
      </c>
      <c r="C665" s="390">
        <v>1704.86</v>
      </c>
      <c r="D665" s="393"/>
      <c r="E665" s="392">
        <f t="shared" si="0"/>
        <v>3.596762325239089E-3</v>
      </c>
      <c r="F665" s="393"/>
      <c r="G665" s="381"/>
      <c r="H665" s="381"/>
      <c r="I665" s="381"/>
      <c r="J665" s="381"/>
      <c r="K665" s="381"/>
      <c r="L665" s="381"/>
      <c r="M665" s="381"/>
      <c r="N665" s="381"/>
      <c r="O665" s="381"/>
      <c r="P665" s="381"/>
      <c r="Q665" s="381"/>
      <c r="R665" s="381"/>
      <c r="S665" s="381"/>
    </row>
    <row r="666" spans="1:19" ht="12.75" customHeight="1">
      <c r="A666" s="381"/>
      <c r="B666" s="389">
        <v>43265</v>
      </c>
      <c r="C666" s="390">
        <v>1723.86</v>
      </c>
      <c r="D666" s="393"/>
      <c r="E666" s="392">
        <f t="shared" si="0"/>
        <v>1.114461011461354E-2</v>
      </c>
      <c r="F666" s="393"/>
      <c r="G666" s="381"/>
      <c r="H666" s="381"/>
      <c r="I666" s="381"/>
      <c r="J666" s="381"/>
      <c r="K666" s="381"/>
      <c r="L666" s="381"/>
      <c r="M666" s="381"/>
      <c r="N666" s="381"/>
      <c r="O666" s="381"/>
      <c r="P666" s="381"/>
      <c r="Q666" s="381"/>
      <c r="R666" s="381"/>
      <c r="S666" s="381"/>
    </row>
    <row r="667" spans="1:19" ht="12.75" customHeight="1">
      <c r="A667" s="381"/>
      <c r="B667" s="389">
        <v>43266</v>
      </c>
      <c r="C667" s="390">
        <v>1715.97</v>
      </c>
      <c r="D667" s="393"/>
      <c r="E667" s="392">
        <f t="shared" si="0"/>
        <v>-4.5769378023736706E-3</v>
      </c>
      <c r="F667" s="393"/>
      <c r="G667" s="381"/>
      <c r="H667" s="381"/>
      <c r="I667" s="381"/>
      <c r="J667" s="381"/>
      <c r="K667" s="381"/>
      <c r="L667" s="381"/>
      <c r="M667" s="381"/>
      <c r="N667" s="381"/>
      <c r="O667" s="381"/>
      <c r="P667" s="381"/>
      <c r="Q667" s="381"/>
      <c r="R667" s="381"/>
      <c r="S667" s="381"/>
    </row>
    <row r="668" spans="1:19" ht="12.75" customHeight="1">
      <c r="A668" s="381"/>
      <c r="B668" s="389">
        <v>43269</v>
      </c>
      <c r="C668" s="390">
        <v>1723.79</v>
      </c>
      <c r="D668" s="393"/>
      <c r="E668" s="392">
        <f t="shared" si="0"/>
        <v>4.5571892282498805E-3</v>
      </c>
      <c r="F668" s="393"/>
      <c r="G668" s="381"/>
      <c r="H668" s="381"/>
      <c r="I668" s="381"/>
      <c r="J668" s="381"/>
      <c r="K668" s="381"/>
      <c r="L668" s="381"/>
      <c r="M668" s="381"/>
      <c r="N668" s="381"/>
      <c r="O668" s="381"/>
      <c r="P668" s="381"/>
      <c r="Q668" s="381"/>
      <c r="R668" s="381"/>
      <c r="S668" s="381"/>
    </row>
    <row r="669" spans="1:19" ht="12.75" customHeight="1">
      <c r="A669" s="381"/>
      <c r="B669" s="389">
        <v>43270</v>
      </c>
      <c r="C669" s="390">
        <v>1734.78</v>
      </c>
      <c r="D669" s="393"/>
      <c r="E669" s="392">
        <f t="shared" si="0"/>
        <v>6.3754865731904253E-3</v>
      </c>
      <c r="F669" s="393"/>
      <c r="G669" s="381"/>
      <c r="H669" s="381"/>
      <c r="I669" s="381"/>
      <c r="J669" s="381"/>
      <c r="K669" s="381"/>
      <c r="L669" s="381"/>
      <c r="M669" s="381"/>
      <c r="N669" s="381"/>
      <c r="O669" s="381"/>
      <c r="P669" s="381"/>
      <c r="Q669" s="381"/>
      <c r="R669" s="381"/>
      <c r="S669" s="381"/>
    </row>
    <row r="670" spans="1:19" ht="12.75" customHeight="1">
      <c r="A670" s="381"/>
      <c r="B670" s="389">
        <v>43271</v>
      </c>
      <c r="C670" s="390">
        <v>1750.08</v>
      </c>
      <c r="D670" s="393"/>
      <c r="E670" s="392">
        <f t="shared" si="0"/>
        <v>8.8195621346798259E-3</v>
      </c>
      <c r="F670" s="393"/>
      <c r="G670" s="381"/>
      <c r="H670" s="381"/>
      <c r="I670" s="381"/>
      <c r="J670" s="381"/>
      <c r="K670" s="381"/>
      <c r="L670" s="381"/>
      <c r="M670" s="381"/>
      <c r="N670" s="381"/>
      <c r="O670" s="381"/>
      <c r="P670" s="381"/>
      <c r="Q670" s="381"/>
      <c r="R670" s="381"/>
      <c r="S670" s="381"/>
    </row>
    <row r="671" spans="1:19" ht="12.75" customHeight="1">
      <c r="A671" s="381"/>
      <c r="B671" s="389">
        <v>43272</v>
      </c>
      <c r="C671" s="390">
        <v>1730.22</v>
      </c>
      <c r="D671" s="393"/>
      <c r="E671" s="392">
        <f t="shared" si="0"/>
        <v>-1.1348052660449803E-2</v>
      </c>
      <c r="F671" s="393"/>
      <c r="G671" s="381"/>
      <c r="H671" s="381"/>
      <c r="I671" s="381"/>
      <c r="J671" s="381"/>
      <c r="K671" s="381"/>
      <c r="L671" s="381"/>
      <c r="M671" s="381"/>
      <c r="N671" s="381"/>
      <c r="O671" s="381"/>
      <c r="P671" s="381"/>
      <c r="Q671" s="381"/>
      <c r="R671" s="381"/>
      <c r="S671" s="381"/>
    </row>
    <row r="672" spans="1:19" ht="12.75" customHeight="1">
      <c r="A672" s="381"/>
      <c r="B672" s="389">
        <v>43273</v>
      </c>
      <c r="C672" s="390">
        <v>1715.67</v>
      </c>
      <c r="D672" s="393"/>
      <c r="E672" s="392">
        <f t="shared" si="0"/>
        <v>-8.4093352290459666E-3</v>
      </c>
      <c r="F672" s="393"/>
      <c r="G672" s="381"/>
      <c r="H672" s="381"/>
      <c r="I672" s="381"/>
      <c r="J672" s="381"/>
      <c r="K672" s="381"/>
      <c r="L672" s="381"/>
      <c r="M672" s="381"/>
      <c r="N672" s="381"/>
      <c r="O672" s="381"/>
      <c r="P672" s="381"/>
      <c r="Q672" s="381"/>
      <c r="R672" s="381"/>
      <c r="S672" s="381"/>
    </row>
    <row r="673" spans="1:19" ht="12.75" customHeight="1">
      <c r="A673" s="381"/>
      <c r="B673" s="389">
        <v>43276</v>
      </c>
      <c r="C673" s="390">
        <v>1663.15</v>
      </c>
      <c r="D673" s="393"/>
      <c r="E673" s="392">
        <f t="shared" si="0"/>
        <v>-3.0611947519045057E-2</v>
      </c>
      <c r="F673" s="393"/>
      <c r="G673" s="381"/>
      <c r="H673" s="381"/>
      <c r="I673" s="381"/>
      <c r="J673" s="381"/>
      <c r="K673" s="381"/>
      <c r="L673" s="381"/>
      <c r="M673" s="381"/>
      <c r="N673" s="381"/>
      <c r="O673" s="381"/>
      <c r="P673" s="381"/>
      <c r="Q673" s="381"/>
      <c r="R673" s="381"/>
      <c r="S673" s="381"/>
    </row>
    <row r="674" spans="1:19" ht="12.75" customHeight="1">
      <c r="A674" s="381"/>
      <c r="B674" s="389">
        <v>43277</v>
      </c>
      <c r="C674" s="390">
        <v>1691.09</v>
      </c>
      <c r="D674" s="393"/>
      <c r="E674" s="392">
        <f t="shared" si="0"/>
        <v>1.67994468328172E-2</v>
      </c>
      <c r="F674" s="393"/>
      <c r="G674" s="381"/>
      <c r="H674" s="381"/>
      <c r="I674" s="381"/>
      <c r="J674" s="381"/>
      <c r="K674" s="381"/>
      <c r="L674" s="381"/>
      <c r="M674" s="381"/>
      <c r="N674" s="381"/>
      <c r="O674" s="381"/>
      <c r="P674" s="381"/>
      <c r="Q674" s="381"/>
      <c r="R674" s="381"/>
      <c r="S674" s="381"/>
    </row>
    <row r="675" spans="1:19" ht="12.75" customHeight="1">
      <c r="A675" s="381"/>
      <c r="B675" s="389">
        <v>43278</v>
      </c>
      <c r="C675" s="390">
        <v>1660.51</v>
      </c>
      <c r="D675" s="393"/>
      <c r="E675" s="392">
        <f t="shared" si="0"/>
        <v>-1.8083011548764349E-2</v>
      </c>
      <c r="F675" s="393"/>
      <c r="G675" s="381"/>
      <c r="H675" s="381"/>
      <c r="I675" s="381"/>
      <c r="J675" s="381"/>
      <c r="K675" s="381"/>
      <c r="L675" s="381"/>
      <c r="M675" s="381"/>
      <c r="N675" s="381"/>
      <c r="O675" s="381"/>
      <c r="P675" s="381"/>
      <c r="Q675" s="381"/>
      <c r="R675" s="381"/>
      <c r="S675" s="381"/>
    </row>
    <row r="676" spans="1:19" ht="12.75" customHeight="1">
      <c r="A676" s="381"/>
      <c r="B676" s="389">
        <v>43279</v>
      </c>
      <c r="C676" s="390">
        <v>1701.45</v>
      </c>
      <c r="D676" s="393"/>
      <c r="E676" s="392">
        <f t="shared" si="0"/>
        <v>2.4655075850190666E-2</v>
      </c>
      <c r="F676" s="393"/>
      <c r="G676" s="381"/>
      <c r="H676" s="381"/>
      <c r="I676" s="381"/>
      <c r="J676" s="381"/>
      <c r="K676" s="381"/>
      <c r="L676" s="381"/>
      <c r="M676" s="381"/>
      <c r="N676" s="381"/>
      <c r="O676" s="381"/>
      <c r="P676" s="381"/>
      <c r="Q676" s="381"/>
      <c r="R676" s="381"/>
      <c r="S676" s="381"/>
    </row>
    <row r="677" spans="1:19" ht="12.75" customHeight="1">
      <c r="A677" s="381"/>
      <c r="B677" s="389">
        <v>43280</v>
      </c>
      <c r="C677" s="390">
        <v>1699.8</v>
      </c>
      <c r="D677" s="393"/>
      <c r="E677" s="392">
        <f t="shared" si="0"/>
        <v>-9.6976108613244794E-4</v>
      </c>
      <c r="F677" s="393"/>
      <c r="G677" s="381"/>
      <c r="H677" s="381"/>
      <c r="I677" s="381"/>
      <c r="J677" s="381"/>
      <c r="K677" s="381"/>
      <c r="L677" s="381"/>
      <c r="M677" s="381"/>
      <c r="N677" s="381"/>
      <c r="O677" s="381"/>
      <c r="P677" s="381"/>
      <c r="Q677" s="381"/>
      <c r="R677" s="381"/>
      <c r="S677" s="381"/>
    </row>
    <row r="678" spans="1:19" ht="12.75" customHeight="1">
      <c r="A678" s="381"/>
      <c r="B678" s="389">
        <v>43283</v>
      </c>
      <c r="C678" s="390">
        <v>1713.78</v>
      </c>
      <c r="D678" s="393"/>
      <c r="E678" s="392">
        <f t="shared" si="0"/>
        <v>8.2244969996470019E-3</v>
      </c>
      <c r="F678" s="393"/>
      <c r="G678" s="381"/>
      <c r="H678" s="381"/>
      <c r="I678" s="381"/>
      <c r="J678" s="381"/>
      <c r="K678" s="381"/>
      <c r="L678" s="381"/>
      <c r="M678" s="381"/>
      <c r="N678" s="381"/>
      <c r="O678" s="381"/>
      <c r="P678" s="381"/>
      <c r="Q678" s="381"/>
      <c r="R678" s="381"/>
      <c r="S678" s="381"/>
    </row>
    <row r="679" spans="1:19" ht="12.75" customHeight="1">
      <c r="A679" s="381"/>
      <c r="B679" s="389">
        <v>43284</v>
      </c>
      <c r="C679" s="390">
        <v>1693.96</v>
      </c>
      <c r="D679" s="393"/>
      <c r="E679" s="392">
        <f t="shared" si="0"/>
        <v>-1.1565078364784265E-2</v>
      </c>
      <c r="F679" s="393"/>
      <c r="G679" s="381"/>
      <c r="H679" s="381"/>
      <c r="I679" s="381"/>
      <c r="J679" s="381"/>
      <c r="K679" s="381"/>
      <c r="L679" s="381"/>
      <c r="M679" s="381"/>
      <c r="N679" s="381"/>
      <c r="O679" s="381"/>
      <c r="P679" s="381"/>
      <c r="Q679" s="381"/>
      <c r="R679" s="381"/>
      <c r="S679" s="381"/>
    </row>
    <row r="680" spans="1:19" ht="12.75" customHeight="1">
      <c r="A680" s="381"/>
      <c r="B680" s="389">
        <v>43286</v>
      </c>
      <c r="C680" s="390">
        <v>1699.73</v>
      </c>
      <c r="D680" s="393"/>
      <c r="E680" s="392">
        <f t="shared" si="0"/>
        <v>3.4062197454485243E-3</v>
      </c>
      <c r="F680" s="393"/>
      <c r="G680" s="381"/>
      <c r="H680" s="381"/>
      <c r="I680" s="381"/>
      <c r="J680" s="381"/>
      <c r="K680" s="381"/>
      <c r="L680" s="381"/>
      <c r="M680" s="381"/>
      <c r="N680" s="381"/>
      <c r="O680" s="381"/>
      <c r="P680" s="381"/>
      <c r="Q680" s="381"/>
      <c r="R680" s="381"/>
      <c r="S680" s="381"/>
    </row>
    <row r="681" spans="1:19" ht="12.75" customHeight="1">
      <c r="A681" s="381"/>
      <c r="B681" s="389">
        <v>43287</v>
      </c>
      <c r="C681" s="390">
        <v>1710.63</v>
      </c>
      <c r="D681" s="393"/>
      <c r="E681" s="392">
        <f t="shared" si="0"/>
        <v>6.4127832067446544E-3</v>
      </c>
      <c r="F681" s="393"/>
      <c r="G681" s="381"/>
      <c r="H681" s="381"/>
      <c r="I681" s="381"/>
      <c r="J681" s="381"/>
      <c r="K681" s="381"/>
      <c r="L681" s="381"/>
      <c r="M681" s="381"/>
      <c r="N681" s="381"/>
      <c r="O681" s="381"/>
      <c r="P681" s="381"/>
      <c r="Q681" s="381"/>
      <c r="R681" s="381"/>
      <c r="S681" s="381"/>
    </row>
    <row r="682" spans="1:19" ht="12.75" customHeight="1">
      <c r="A682" s="381"/>
      <c r="B682" s="389">
        <v>43290</v>
      </c>
      <c r="C682" s="390">
        <v>1739.02</v>
      </c>
      <c r="D682" s="393"/>
      <c r="E682" s="392">
        <f t="shared" si="0"/>
        <v>1.6596224782682301E-2</v>
      </c>
      <c r="F682" s="393"/>
      <c r="G682" s="381"/>
      <c r="H682" s="381"/>
      <c r="I682" s="381"/>
      <c r="J682" s="381"/>
      <c r="K682" s="381"/>
      <c r="L682" s="381"/>
      <c r="M682" s="381"/>
      <c r="N682" s="381"/>
      <c r="O682" s="381"/>
      <c r="P682" s="381"/>
      <c r="Q682" s="381"/>
      <c r="R682" s="381"/>
      <c r="S682" s="381"/>
    </row>
    <row r="683" spans="1:19" ht="12.75" customHeight="1">
      <c r="A683" s="381"/>
      <c r="B683" s="389">
        <v>43291</v>
      </c>
      <c r="C683" s="390">
        <v>1743.07</v>
      </c>
      <c r="D683" s="393"/>
      <c r="E683" s="392">
        <f t="shared" si="0"/>
        <v>2.3288978850157793E-3</v>
      </c>
      <c r="F683" s="393"/>
      <c r="G683" s="381"/>
      <c r="H683" s="381"/>
      <c r="I683" s="381"/>
      <c r="J683" s="381"/>
      <c r="K683" s="381"/>
      <c r="L683" s="381"/>
      <c r="M683" s="381"/>
      <c r="N683" s="381"/>
      <c r="O683" s="381"/>
      <c r="P683" s="381"/>
      <c r="Q683" s="381"/>
      <c r="R683" s="381"/>
      <c r="S683" s="381"/>
    </row>
    <row r="684" spans="1:19" ht="12.75" customHeight="1">
      <c r="A684" s="381"/>
      <c r="B684" s="389">
        <v>43292</v>
      </c>
      <c r="C684" s="390">
        <v>1755</v>
      </c>
      <c r="D684" s="393"/>
      <c r="E684" s="392">
        <f t="shared" si="0"/>
        <v>6.8442460715862907E-3</v>
      </c>
      <c r="F684" s="393"/>
      <c r="G684" s="381"/>
      <c r="H684" s="381"/>
      <c r="I684" s="381"/>
      <c r="J684" s="381"/>
      <c r="K684" s="381"/>
      <c r="L684" s="381"/>
      <c r="M684" s="381"/>
      <c r="N684" s="381"/>
      <c r="O684" s="381"/>
      <c r="P684" s="381"/>
      <c r="Q684" s="381"/>
      <c r="R684" s="381"/>
      <c r="S684" s="381"/>
    </row>
    <row r="685" spans="1:19" ht="12.75" customHeight="1">
      <c r="A685" s="381"/>
      <c r="B685" s="389">
        <v>43293</v>
      </c>
      <c r="C685" s="390">
        <v>1796.62</v>
      </c>
      <c r="D685" s="393"/>
      <c r="E685" s="392">
        <f t="shared" si="0"/>
        <v>2.3715099715099663E-2</v>
      </c>
      <c r="F685" s="393"/>
      <c r="G685" s="381"/>
      <c r="H685" s="381"/>
      <c r="I685" s="381"/>
      <c r="J685" s="381"/>
      <c r="K685" s="381"/>
      <c r="L685" s="381"/>
      <c r="M685" s="381"/>
      <c r="N685" s="381"/>
      <c r="O685" s="381"/>
      <c r="P685" s="381"/>
      <c r="Q685" s="381"/>
      <c r="R685" s="381"/>
      <c r="S685" s="381"/>
    </row>
    <row r="686" spans="1:19" ht="12.75" customHeight="1">
      <c r="A686" s="381"/>
      <c r="B686" s="389">
        <v>43294</v>
      </c>
      <c r="C686" s="390">
        <v>1813.03</v>
      </c>
      <c r="D686" s="393"/>
      <c r="E686" s="392">
        <f t="shared" si="0"/>
        <v>9.1338179470339398E-3</v>
      </c>
      <c r="F686" s="393"/>
      <c r="G686" s="381"/>
      <c r="H686" s="381"/>
      <c r="I686" s="381"/>
      <c r="J686" s="381"/>
      <c r="K686" s="381"/>
      <c r="L686" s="381"/>
      <c r="M686" s="381"/>
      <c r="N686" s="381"/>
      <c r="O686" s="381"/>
      <c r="P686" s="381"/>
      <c r="Q686" s="381"/>
      <c r="R686" s="381"/>
      <c r="S686" s="381"/>
    </row>
    <row r="687" spans="1:19" ht="12.75" customHeight="1">
      <c r="A687" s="381"/>
      <c r="B687" s="389">
        <v>43297</v>
      </c>
      <c r="C687" s="390">
        <v>1822.49</v>
      </c>
      <c r="D687" s="393"/>
      <c r="E687" s="392">
        <f t="shared" si="0"/>
        <v>5.2177845926433264E-3</v>
      </c>
      <c r="F687" s="393"/>
      <c r="G687" s="381"/>
      <c r="H687" s="381"/>
      <c r="I687" s="381"/>
      <c r="J687" s="381"/>
      <c r="K687" s="381"/>
      <c r="L687" s="381"/>
      <c r="M687" s="381"/>
      <c r="N687" s="381"/>
      <c r="O687" s="381"/>
      <c r="P687" s="381"/>
      <c r="Q687" s="381"/>
      <c r="R687" s="381"/>
      <c r="S687" s="381"/>
    </row>
    <row r="688" spans="1:19" ht="12.75" customHeight="1">
      <c r="A688" s="381"/>
      <c r="B688" s="389">
        <v>43298</v>
      </c>
      <c r="C688" s="390">
        <v>1843.93</v>
      </c>
      <c r="D688" s="393"/>
      <c r="E688" s="392">
        <f t="shared" si="0"/>
        <v>1.1764124906035178E-2</v>
      </c>
      <c r="F688" s="393"/>
      <c r="G688" s="381"/>
      <c r="H688" s="381"/>
      <c r="I688" s="381"/>
      <c r="J688" s="381"/>
      <c r="K688" s="381"/>
      <c r="L688" s="381"/>
      <c r="M688" s="381"/>
      <c r="N688" s="381"/>
      <c r="O688" s="381"/>
      <c r="P688" s="381"/>
      <c r="Q688" s="381"/>
      <c r="R688" s="381"/>
      <c r="S688" s="381"/>
    </row>
    <row r="689" spans="1:19" ht="12.75" customHeight="1">
      <c r="A689" s="381"/>
      <c r="B689" s="389">
        <v>43299</v>
      </c>
      <c r="C689" s="390">
        <v>1842.92</v>
      </c>
      <c r="D689" s="393"/>
      <c r="E689" s="392">
        <f t="shared" si="0"/>
        <v>-5.4774313558536569E-4</v>
      </c>
      <c r="F689" s="393"/>
      <c r="G689" s="381"/>
      <c r="H689" s="381"/>
      <c r="I689" s="381"/>
      <c r="J689" s="381"/>
      <c r="K689" s="381"/>
      <c r="L689" s="381"/>
      <c r="M689" s="381"/>
      <c r="N689" s="381"/>
      <c r="O689" s="381"/>
      <c r="P689" s="381"/>
      <c r="Q689" s="381"/>
      <c r="R689" s="381"/>
      <c r="S689" s="381"/>
    </row>
    <row r="690" spans="1:19" ht="12.75" customHeight="1">
      <c r="A690" s="381"/>
      <c r="B690" s="389">
        <v>43300</v>
      </c>
      <c r="C690" s="390">
        <v>1812.97</v>
      </c>
      <c r="D690" s="393"/>
      <c r="E690" s="392">
        <f t="shared" si="0"/>
        <v>-1.6251383673735131E-2</v>
      </c>
      <c r="F690" s="393"/>
      <c r="G690" s="381"/>
      <c r="H690" s="381"/>
      <c r="I690" s="381"/>
      <c r="J690" s="381"/>
      <c r="K690" s="381"/>
      <c r="L690" s="381"/>
      <c r="M690" s="381"/>
      <c r="N690" s="381"/>
      <c r="O690" s="381"/>
      <c r="P690" s="381"/>
      <c r="Q690" s="381"/>
      <c r="R690" s="381"/>
      <c r="S690" s="381"/>
    </row>
    <row r="691" spans="1:19" ht="12.75" customHeight="1">
      <c r="A691" s="381"/>
      <c r="B691" s="389">
        <v>43301</v>
      </c>
      <c r="C691" s="390">
        <v>1813.7</v>
      </c>
      <c r="D691" s="393"/>
      <c r="E691" s="392">
        <f t="shared" si="0"/>
        <v>4.0265420828800025E-4</v>
      </c>
      <c r="F691" s="393"/>
      <c r="G691" s="381"/>
      <c r="H691" s="381"/>
      <c r="I691" s="381"/>
      <c r="J691" s="381"/>
      <c r="K691" s="381"/>
      <c r="L691" s="381"/>
      <c r="M691" s="381"/>
      <c r="N691" s="381"/>
      <c r="O691" s="381"/>
      <c r="P691" s="381"/>
      <c r="Q691" s="381"/>
      <c r="R691" s="381"/>
      <c r="S691" s="381"/>
    </row>
    <row r="692" spans="1:19" ht="12.75" customHeight="1">
      <c r="A692" s="381"/>
      <c r="B692" s="389">
        <v>43304</v>
      </c>
      <c r="C692" s="390">
        <v>1802</v>
      </c>
      <c r="D692" s="393"/>
      <c r="E692" s="392">
        <f t="shared" si="0"/>
        <v>-6.4509014721287894E-3</v>
      </c>
      <c r="F692" s="393"/>
      <c r="G692" s="381"/>
      <c r="H692" s="381"/>
      <c r="I692" s="381"/>
      <c r="J692" s="381"/>
      <c r="K692" s="381"/>
      <c r="L692" s="381"/>
      <c r="M692" s="381"/>
      <c r="N692" s="381"/>
      <c r="O692" s="381"/>
      <c r="P692" s="381"/>
      <c r="Q692" s="381"/>
      <c r="R692" s="381"/>
      <c r="S692" s="381"/>
    </row>
    <row r="693" spans="1:19" ht="12.75" customHeight="1">
      <c r="A693" s="381"/>
      <c r="B693" s="389">
        <v>43305</v>
      </c>
      <c r="C693" s="390">
        <v>1829.24</v>
      </c>
      <c r="D693" s="393"/>
      <c r="E693" s="392">
        <f t="shared" si="0"/>
        <v>1.5116537180910106E-2</v>
      </c>
      <c r="F693" s="393"/>
      <c r="G693" s="381"/>
      <c r="H693" s="381"/>
      <c r="I693" s="381"/>
      <c r="J693" s="381"/>
      <c r="K693" s="381"/>
      <c r="L693" s="381"/>
      <c r="M693" s="381"/>
      <c r="N693" s="381"/>
      <c r="O693" s="381"/>
      <c r="P693" s="381"/>
      <c r="Q693" s="381"/>
      <c r="R693" s="381"/>
      <c r="S693" s="381"/>
    </row>
    <row r="694" spans="1:19" ht="12.75" customHeight="1">
      <c r="A694" s="381"/>
      <c r="B694" s="389">
        <v>43306</v>
      </c>
      <c r="C694" s="390">
        <v>1863.61</v>
      </c>
      <c r="D694" s="393"/>
      <c r="E694" s="392">
        <f t="shared" si="0"/>
        <v>1.8789223939996935E-2</v>
      </c>
      <c r="F694" s="393"/>
      <c r="G694" s="381"/>
      <c r="H694" s="381"/>
      <c r="I694" s="381"/>
      <c r="J694" s="381"/>
      <c r="K694" s="381"/>
      <c r="L694" s="381"/>
      <c r="M694" s="381"/>
      <c r="N694" s="381"/>
      <c r="O694" s="381"/>
      <c r="P694" s="381"/>
      <c r="Q694" s="381"/>
      <c r="R694" s="381"/>
      <c r="S694" s="381"/>
    </row>
    <row r="695" spans="1:19" ht="12.75" customHeight="1">
      <c r="A695" s="381"/>
      <c r="B695" s="389">
        <v>43307</v>
      </c>
      <c r="C695" s="390">
        <v>1808</v>
      </c>
      <c r="D695" s="393"/>
      <c r="E695" s="392">
        <f t="shared" si="0"/>
        <v>-2.9839934321022055E-2</v>
      </c>
      <c r="F695" s="393"/>
      <c r="G695" s="381"/>
      <c r="H695" s="381"/>
      <c r="I695" s="381"/>
      <c r="J695" s="381"/>
      <c r="K695" s="381"/>
      <c r="L695" s="381"/>
      <c r="M695" s="381"/>
      <c r="N695" s="381"/>
      <c r="O695" s="381"/>
      <c r="P695" s="381"/>
      <c r="Q695" s="381"/>
      <c r="R695" s="381"/>
      <c r="S695" s="381"/>
    </row>
    <row r="696" spans="1:19" ht="12.75" customHeight="1">
      <c r="A696" s="381"/>
      <c r="B696" s="389">
        <v>43308</v>
      </c>
      <c r="C696" s="390">
        <v>1817.27</v>
      </c>
      <c r="D696" s="393"/>
      <c r="E696" s="392">
        <f t="shared" si="0"/>
        <v>5.127212389380631E-3</v>
      </c>
      <c r="F696" s="393"/>
      <c r="G696" s="381"/>
      <c r="H696" s="381"/>
      <c r="I696" s="381"/>
      <c r="J696" s="381"/>
      <c r="K696" s="381"/>
      <c r="L696" s="381"/>
      <c r="M696" s="381"/>
      <c r="N696" s="381"/>
      <c r="O696" s="381"/>
      <c r="P696" s="381"/>
      <c r="Q696" s="381"/>
      <c r="R696" s="381"/>
      <c r="S696" s="381"/>
    </row>
    <row r="697" spans="1:19" ht="12.75" customHeight="1">
      <c r="A697" s="381"/>
      <c r="B697" s="389">
        <v>43311</v>
      </c>
      <c r="C697" s="390">
        <v>1779.22</v>
      </c>
      <c r="D697" s="393"/>
      <c r="E697" s="392">
        <f t="shared" si="0"/>
        <v>-2.0938000407204171E-2</v>
      </c>
      <c r="F697" s="393"/>
      <c r="G697" s="381"/>
      <c r="H697" s="381"/>
      <c r="I697" s="381"/>
      <c r="J697" s="381"/>
      <c r="K697" s="381"/>
      <c r="L697" s="381"/>
      <c r="M697" s="381"/>
      <c r="N697" s="381"/>
      <c r="O697" s="381"/>
      <c r="P697" s="381"/>
      <c r="Q697" s="381"/>
      <c r="R697" s="381"/>
      <c r="S697" s="381"/>
    </row>
    <row r="698" spans="1:19" ht="12.75" customHeight="1">
      <c r="A698" s="381"/>
      <c r="B698" s="389">
        <v>43312</v>
      </c>
      <c r="C698" s="390">
        <v>1777.44</v>
      </c>
      <c r="D698" s="393"/>
      <c r="E698" s="392">
        <f t="shared" si="0"/>
        <v>-1.0004383943525985E-3</v>
      </c>
      <c r="F698" s="393"/>
      <c r="G698" s="381"/>
      <c r="H698" s="381"/>
      <c r="I698" s="381"/>
      <c r="J698" s="381"/>
      <c r="K698" s="381"/>
      <c r="L698" s="381"/>
      <c r="M698" s="381"/>
      <c r="N698" s="381"/>
      <c r="O698" s="381"/>
      <c r="P698" s="381"/>
      <c r="Q698" s="381"/>
      <c r="R698" s="381"/>
      <c r="S698" s="381"/>
    </row>
    <row r="699" spans="1:19" ht="12.75" customHeight="1">
      <c r="A699" s="381"/>
      <c r="B699" s="389">
        <v>43313</v>
      </c>
      <c r="C699" s="390">
        <v>1797.17</v>
      </c>
      <c r="D699" s="393"/>
      <c r="E699" s="392">
        <f t="shared" si="0"/>
        <v>1.110023404446836E-2</v>
      </c>
      <c r="F699" s="393"/>
      <c r="G699" s="381"/>
      <c r="H699" s="381"/>
      <c r="I699" s="381"/>
      <c r="J699" s="381"/>
      <c r="K699" s="381"/>
      <c r="L699" s="381"/>
      <c r="M699" s="381"/>
      <c r="N699" s="381"/>
      <c r="O699" s="381"/>
      <c r="P699" s="381"/>
      <c r="Q699" s="381"/>
      <c r="R699" s="381"/>
      <c r="S699" s="381"/>
    </row>
    <row r="700" spans="1:19" ht="12.75" customHeight="1">
      <c r="A700" s="381"/>
      <c r="B700" s="389">
        <v>43314</v>
      </c>
      <c r="C700" s="390">
        <v>1834.33</v>
      </c>
      <c r="D700" s="393"/>
      <c r="E700" s="392">
        <f t="shared" si="0"/>
        <v>2.0676953209768589E-2</v>
      </c>
      <c r="F700" s="393"/>
      <c r="G700" s="381"/>
      <c r="H700" s="381"/>
      <c r="I700" s="381"/>
      <c r="J700" s="381"/>
      <c r="K700" s="381"/>
      <c r="L700" s="381"/>
      <c r="M700" s="381"/>
      <c r="N700" s="381"/>
      <c r="O700" s="381"/>
      <c r="P700" s="381"/>
      <c r="Q700" s="381"/>
      <c r="R700" s="381"/>
      <c r="S700" s="381"/>
    </row>
    <row r="701" spans="1:19" ht="12.75" customHeight="1">
      <c r="A701" s="381"/>
      <c r="B701" s="389">
        <v>43315</v>
      </c>
      <c r="C701" s="390">
        <v>1823.29</v>
      </c>
      <c r="D701" s="393"/>
      <c r="E701" s="392">
        <f t="shared" si="0"/>
        <v>-6.0185462812034629E-3</v>
      </c>
      <c r="F701" s="393"/>
      <c r="G701" s="381"/>
      <c r="H701" s="381"/>
      <c r="I701" s="381"/>
      <c r="J701" s="381"/>
      <c r="K701" s="381"/>
      <c r="L701" s="381"/>
      <c r="M701" s="381"/>
      <c r="N701" s="381"/>
      <c r="O701" s="381"/>
      <c r="P701" s="381"/>
      <c r="Q701" s="381"/>
      <c r="R701" s="381"/>
      <c r="S701" s="381"/>
    </row>
    <row r="702" spans="1:19" ht="12.75" customHeight="1">
      <c r="A702" s="381"/>
      <c r="B702" s="389">
        <v>43318</v>
      </c>
      <c r="C702" s="390">
        <v>1847.75</v>
      </c>
      <c r="D702" s="393"/>
      <c r="E702" s="392">
        <f t="shared" si="0"/>
        <v>1.3415309687433208E-2</v>
      </c>
      <c r="F702" s="393"/>
      <c r="G702" s="381"/>
      <c r="H702" s="381"/>
      <c r="I702" s="381"/>
      <c r="J702" s="381"/>
      <c r="K702" s="381"/>
      <c r="L702" s="381"/>
      <c r="M702" s="381"/>
      <c r="N702" s="381"/>
      <c r="O702" s="381"/>
      <c r="P702" s="381"/>
      <c r="Q702" s="381"/>
      <c r="R702" s="381"/>
      <c r="S702" s="381"/>
    </row>
    <row r="703" spans="1:19" ht="12.75" customHeight="1">
      <c r="A703" s="381"/>
      <c r="B703" s="389">
        <v>43319</v>
      </c>
      <c r="C703" s="390">
        <v>1862.48</v>
      </c>
      <c r="D703" s="393"/>
      <c r="E703" s="392">
        <f t="shared" si="0"/>
        <v>7.9718576647274109E-3</v>
      </c>
      <c r="F703" s="393"/>
      <c r="G703" s="381"/>
      <c r="H703" s="381"/>
      <c r="I703" s="381"/>
      <c r="J703" s="381"/>
      <c r="K703" s="381"/>
      <c r="L703" s="381"/>
      <c r="M703" s="381"/>
      <c r="N703" s="381"/>
      <c r="O703" s="381"/>
      <c r="P703" s="381"/>
      <c r="Q703" s="381"/>
      <c r="R703" s="381"/>
      <c r="S703" s="381"/>
    </row>
    <row r="704" spans="1:19" ht="12.75" customHeight="1">
      <c r="A704" s="381"/>
      <c r="B704" s="389">
        <v>43320</v>
      </c>
      <c r="C704" s="390">
        <v>1886.52</v>
      </c>
      <c r="D704" s="393"/>
      <c r="E704" s="392">
        <f t="shared" si="0"/>
        <v>1.2907521154589485E-2</v>
      </c>
      <c r="F704" s="393"/>
      <c r="G704" s="381"/>
      <c r="H704" s="381"/>
      <c r="I704" s="381"/>
      <c r="J704" s="381"/>
      <c r="K704" s="381"/>
      <c r="L704" s="381"/>
      <c r="M704" s="381"/>
      <c r="N704" s="381"/>
      <c r="O704" s="381"/>
      <c r="P704" s="381"/>
      <c r="Q704" s="381"/>
      <c r="R704" s="381"/>
      <c r="S704" s="381"/>
    </row>
    <row r="705" spans="1:19" ht="12.75" customHeight="1">
      <c r="A705" s="381"/>
      <c r="B705" s="389">
        <v>43321</v>
      </c>
      <c r="C705" s="390">
        <v>1898.52</v>
      </c>
      <c r="D705" s="393"/>
      <c r="E705" s="392">
        <f t="shared" si="0"/>
        <v>6.3609185166337845E-3</v>
      </c>
      <c r="F705" s="393"/>
      <c r="G705" s="381"/>
      <c r="H705" s="381"/>
      <c r="I705" s="381"/>
      <c r="J705" s="381"/>
      <c r="K705" s="381"/>
      <c r="L705" s="381"/>
      <c r="M705" s="381"/>
      <c r="N705" s="381"/>
      <c r="O705" s="381"/>
      <c r="P705" s="381"/>
      <c r="Q705" s="381"/>
      <c r="R705" s="381"/>
      <c r="S705" s="381"/>
    </row>
    <row r="706" spans="1:19" ht="12.75" customHeight="1">
      <c r="A706" s="381"/>
      <c r="B706" s="389">
        <v>43322</v>
      </c>
      <c r="C706" s="390">
        <v>1886.3</v>
      </c>
      <c r="D706" s="393"/>
      <c r="E706" s="392">
        <f t="shared" si="0"/>
        <v>-6.4365927143248403E-3</v>
      </c>
      <c r="F706" s="393"/>
      <c r="G706" s="381"/>
      <c r="H706" s="381"/>
      <c r="I706" s="381"/>
      <c r="J706" s="381"/>
      <c r="K706" s="381"/>
      <c r="L706" s="381"/>
      <c r="M706" s="381"/>
      <c r="N706" s="381"/>
      <c r="O706" s="381"/>
      <c r="P706" s="381"/>
      <c r="Q706" s="381"/>
      <c r="R706" s="381"/>
      <c r="S706" s="381"/>
    </row>
    <row r="707" spans="1:19" ht="12.75" customHeight="1">
      <c r="A707" s="381"/>
      <c r="B707" s="389">
        <v>43325</v>
      </c>
      <c r="C707" s="390">
        <v>1896.2</v>
      </c>
      <c r="D707" s="393"/>
      <c r="E707" s="392">
        <f t="shared" si="0"/>
        <v>5.2483698245242572E-3</v>
      </c>
      <c r="F707" s="393"/>
      <c r="G707" s="381"/>
      <c r="H707" s="381"/>
      <c r="I707" s="381"/>
      <c r="J707" s="381"/>
      <c r="K707" s="381"/>
      <c r="L707" s="381"/>
      <c r="M707" s="381"/>
      <c r="N707" s="381"/>
      <c r="O707" s="381"/>
      <c r="P707" s="381"/>
      <c r="Q707" s="381"/>
      <c r="R707" s="381"/>
      <c r="S707" s="381"/>
    </row>
    <row r="708" spans="1:19" ht="12.75" customHeight="1">
      <c r="A708" s="381"/>
      <c r="B708" s="389">
        <v>43326</v>
      </c>
      <c r="C708" s="390">
        <v>1919.65</v>
      </c>
      <c r="D708" s="393"/>
      <c r="E708" s="392">
        <f t="shared" si="0"/>
        <v>1.236683894104007E-2</v>
      </c>
      <c r="F708" s="393"/>
      <c r="G708" s="381"/>
      <c r="H708" s="381"/>
      <c r="I708" s="381"/>
      <c r="J708" s="381"/>
      <c r="K708" s="381"/>
      <c r="L708" s="381"/>
      <c r="M708" s="381"/>
      <c r="N708" s="381"/>
      <c r="O708" s="381"/>
      <c r="P708" s="381"/>
      <c r="Q708" s="381"/>
      <c r="R708" s="381"/>
      <c r="S708" s="381"/>
    </row>
    <row r="709" spans="1:19" ht="12.75" customHeight="1">
      <c r="A709" s="381"/>
      <c r="B709" s="389">
        <v>43327</v>
      </c>
      <c r="C709" s="390">
        <v>1882.62</v>
      </c>
      <c r="D709" s="393"/>
      <c r="E709" s="392">
        <f t="shared" si="0"/>
        <v>-1.9289974734977844E-2</v>
      </c>
      <c r="F709" s="393"/>
      <c r="G709" s="381"/>
      <c r="H709" s="381"/>
      <c r="I709" s="381"/>
      <c r="J709" s="381"/>
      <c r="K709" s="381"/>
      <c r="L709" s="381"/>
      <c r="M709" s="381"/>
      <c r="N709" s="381"/>
      <c r="O709" s="381"/>
      <c r="P709" s="381"/>
      <c r="Q709" s="381"/>
      <c r="R709" s="381"/>
      <c r="S709" s="381"/>
    </row>
    <row r="710" spans="1:19" ht="12.75" customHeight="1">
      <c r="A710" s="381"/>
      <c r="B710" s="389">
        <v>43328</v>
      </c>
      <c r="C710" s="390">
        <v>1886.52</v>
      </c>
      <c r="D710" s="393"/>
      <c r="E710" s="392">
        <f t="shared" si="0"/>
        <v>2.0715810944322843E-3</v>
      </c>
      <c r="F710" s="393"/>
      <c r="G710" s="381"/>
      <c r="H710" s="381"/>
      <c r="I710" s="381"/>
      <c r="J710" s="381"/>
      <c r="K710" s="381"/>
      <c r="L710" s="381"/>
      <c r="M710" s="381"/>
      <c r="N710" s="381"/>
      <c r="O710" s="381"/>
      <c r="P710" s="381"/>
      <c r="Q710" s="381"/>
      <c r="R710" s="381"/>
      <c r="S710" s="381"/>
    </row>
    <row r="711" spans="1:19" ht="12.75" customHeight="1">
      <c r="A711" s="381"/>
      <c r="B711" s="389">
        <v>43329</v>
      </c>
      <c r="C711" s="390">
        <v>1882.22</v>
      </c>
      <c r="D711" s="393"/>
      <c r="E711" s="392">
        <f t="shared" si="0"/>
        <v>-2.2793291351270728E-3</v>
      </c>
      <c r="F711" s="393"/>
      <c r="G711" s="381"/>
      <c r="H711" s="381"/>
      <c r="I711" s="381"/>
      <c r="J711" s="381"/>
      <c r="K711" s="381"/>
      <c r="L711" s="381"/>
      <c r="M711" s="381"/>
      <c r="N711" s="381"/>
      <c r="O711" s="381"/>
      <c r="P711" s="381"/>
      <c r="Q711" s="381"/>
      <c r="R711" s="381"/>
      <c r="S711" s="381"/>
    </row>
    <row r="712" spans="1:19" ht="12.75" customHeight="1">
      <c r="A712" s="381"/>
      <c r="B712" s="389">
        <v>43332</v>
      </c>
      <c r="C712" s="390">
        <v>1876.71</v>
      </c>
      <c r="D712" s="393"/>
      <c r="E712" s="392">
        <f t="shared" si="0"/>
        <v>-2.927394247218662E-3</v>
      </c>
      <c r="F712" s="393"/>
      <c r="G712" s="381"/>
      <c r="H712" s="381"/>
      <c r="I712" s="381"/>
      <c r="J712" s="381"/>
      <c r="K712" s="381"/>
      <c r="L712" s="381"/>
      <c r="M712" s="381"/>
      <c r="N712" s="381"/>
      <c r="O712" s="381"/>
      <c r="P712" s="381"/>
      <c r="Q712" s="381"/>
      <c r="R712" s="381"/>
      <c r="S712" s="381"/>
    </row>
    <row r="713" spans="1:19" ht="12.75" customHeight="1">
      <c r="A713" s="381"/>
      <c r="B713" s="389">
        <v>43333</v>
      </c>
      <c r="C713" s="390">
        <v>1883.42</v>
      </c>
      <c r="D713" s="393"/>
      <c r="E713" s="392">
        <f t="shared" si="0"/>
        <v>3.5754058964891922E-3</v>
      </c>
      <c r="F713" s="393"/>
      <c r="G713" s="381"/>
      <c r="H713" s="381"/>
      <c r="I713" s="381"/>
      <c r="J713" s="381"/>
      <c r="K713" s="381"/>
      <c r="L713" s="381"/>
      <c r="M713" s="381"/>
      <c r="N713" s="381"/>
      <c r="O713" s="381"/>
      <c r="P713" s="381"/>
      <c r="Q713" s="381"/>
      <c r="R713" s="381"/>
      <c r="S713" s="381"/>
    </row>
    <row r="714" spans="1:19" ht="12.75" customHeight="1">
      <c r="A714" s="381"/>
      <c r="B714" s="389">
        <v>43334</v>
      </c>
      <c r="C714" s="390">
        <v>1904.9</v>
      </c>
      <c r="D714" s="393"/>
      <c r="E714" s="392">
        <f t="shared" si="0"/>
        <v>1.1404784912552701E-2</v>
      </c>
      <c r="F714" s="393"/>
      <c r="G714" s="381"/>
      <c r="H714" s="381"/>
      <c r="I714" s="381"/>
      <c r="J714" s="381"/>
      <c r="K714" s="381"/>
      <c r="L714" s="381"/>
      <c r="M714" s="381"/>
      <c r="N714" s="381"/>
      <c r="O714" s="381"/>
      <c r="P714" s="381"/>
      <c r="Q714" s="381"/>
      <c r="R714" s="381"/>
      <c r="S714" s="381"/>
    </row>
    <row r="715" spans="1:19" ht="12.75" customHeight="1">
      <c r="A715" s="381"/>
      <c r="B715" s="389">
        <v>43335</v>
      </c>
      <c r="C715" s="390">
        <v>1902.9</v>
      </c>
      <c r="D715" s="393"/>
      <c r="E715" s="392">
        <f t="shared" si="0"/>
        <v>-1.0499238805186106E-3</v>
      </c>
      <c r="F715" s="393"/>
      <c r="G715" s="381"/>
      <c r="H715" s="381"/>
      <c r="I715" s="381"/>
      <c r="J715" s="381"/>
      <c r="K715" s="381"/>
      <c r="L715" s="381"/>
      <c r="M715" s="381"/>
      <c r="N715" s="381"/>
      <c r="O715" s="381"/>
      <c r="P715" s="381"/>
      <c r="Q715" s="381"/>
      <c r="R715" s="381"/>
      <c r="S715" s="381"/>
    </row>
    <row r="716" spans="1:19" ht="12.75" customHeight="1">
      <c r="A716" s="381"/>
      <c r="B716" s="389">
        <v>43336</v>
      </c>
      <c r="C716" s="390">
        <v>1905.39</v>
      </c>
      <c r="D716" s="393"/>
      <c r="E716" s="392">
        <f t="shared" si="0"/>
        <v>1.3085290871828192E-3</v>
      </c>
      <c r="F716" s="393"/>
      <c r="G716" s="381"/>
      <c r="H716" s="381"/>
      <c r="I716" s="381"/>
      <c r="J716" s="381"/>
      <c r="K716" s="381"/>
      <c r="L716" s="381"/>
      <c r="M716" s="381"/>
      <c r="N716" s="381"/>
      <c r="O716" s="381"/>
      <c r="P716" s="381"/>
      <c r="Q716" s="381"/>
      <c r="R716" s="381"/>
      <c r="S716" s="381"/>
    </row>
    <row r="717" spans="1:19" ht="12.75" customHeight="1">
      <c r="A717" s="381"/>
      <c r="B717" s="389">
        <v>43339</v>
      </c>
      <c r="C717" s="390">
        <v>1927.68</v>
      </c>
      <c r="D717" s="393"/>
      <c r="E717" s="392">
        <f t="shared" si="0"/>
        <v>1.1698392455087969E-2</v>
      </c>
      <c r="F717" s="393"/>
      <c r="G717" s="381"/>
      <c r="H717" s="381"/>
      <c r="I717" s="381"/>
      <c r="J717" s="381"/>
      <c r="K717" s="381"/>
      <c r="L717" s="381"/>
      <c r="M717" s="381"/>
      <c r="N717" s="381"/>
      <c r="O717" s="381"/>
      <c r="P717" s="381"/>
      <c r="Q717" s="381"/>
      <c r="R717" s="381"/>
      <c r="S717" s="381"/>
    </row>
    <row r="718" spans="1:19" ht="12.75" customHeight="1">
      <c r="A718" s="381"/>
      <c r="B718" s="389">
        <v>43340</v>
      </c>
      <c r="C718" s="390">
        <v>1932.82</v>
      </c>
      <c r="D718" s="393"/>
      <c r="E718" s="392">
        <f t="shared" si="0"/>
        <v>2.6664176626824965E-3</v>
      </c>
      <c r="F718" s="393"/>
      <c r="G718" s="381"/>
      <c r="H718" s="381"/>
      <c r="I718" s="381"/>
      <c r="J718" s="381"/>
      <c r="K718" s="381"/>
      <c r="L718" s="381"/>
      <c r="M718" s="381"/>
      <c r="N718" s="381"/>
      <c r="O718" s="381"/>
      <c r="P718" s="381"/>
      <c r="Q718" s="381"/>
      <c r="R718" s="381"/>
      <c r="S718" s="381"/>
    </row>
    <row r="719" spans="1:19" ht="12.75" customHeight="1">
      <c r="A719" s="381"/>
      <c r="B719" s="389">
        <v>43341</v>
      </c>
      <c r="C719" s="390">
        <v>1998.1</v>
      </c>
      <c r="D719" s="393"/>
      <c r="E719" s="392">
        <f t="shared" si="0"/>
        <v>3.3774484949452122E-2</v>
      </c>
      <c r="F719" s="393"/>
      <c r="G719" s="381"/>
      <c r="H719" s="381"/>
      <c r="I719" s="381"/>
      <c r="J719" s="381"/>
      <c r="K719" s="381"/>
      <c r="L719" s="381"/>
      <c r="M719" s="381"/>
      <c r="N719" s="381"/>
      <c r="O719" s="381"/>
      <c r="P719" s="381"/>
      <c r="Q719" s="381"/>
      <c r="R719" s="381"/>
      <c r="S719" s="381"/>
    </row>
    <row r="720" spans="1:19" ht="12.75" customHeight="1">
      <c r="A720" s="381"/>
      <c r="B720" s="389">
        <v>43342</v>
      </c>
      <c r="C720" s="390">
        <v>2002.38</v>
      </c>
      <c r="D720" s="393"/>
      <c r="E720" s="392">
        <f t="shared" si="0"/>
        <v>2.1420349331866539E-3</v>
      </c>
      <c r="F720" s="393"/>
      <c r="G720" s="381"/>
      <c r="H720" s="381"/>
      <c r="I720" s="381"/>
      <c r="J720" s="381"/>
      <c r="K720" s="381"/>
      <c r="L720" s="381"/>
      <c r="M720" s="381"/>
      <c r="N720" s="381"/>
      <c r="O720" s="381"/>
      <c r="P720" s="381"/>
      <c r="Q720" s="381"/>
      <c r="R720" s="381"/>
      <c r="S720" s="381"/>
    </row>
    <row r="721" spans="1:19" ht="12.75" customHeight="1">
      <c r="A721" s="381"/>
      <c r="B721" s="389">
        <v>43343</v>
      </c>
      <c r="C721" s="390">
        <v>2012.71</v>
      </c>
      <c r="D721" s="393"/>
      <c r="E721" s="392">
        <f t="shared" si="0"/>
        <v>5.1588609554629183E-3</v>
      </c>
      <c r="F721" s="393"/>
      <c r="G721" s="381"/>
      <c r="H721" s="381"/>
      <c r="I721" s="381"/>
      <c r="J721" s="381"/>
      <c r="K721" s="381"/>
      <c r="L721" s="381"/>
      <c r="M721" s="381"/>
      <c r="N721" s="381"/>
      <c r="O721" s="381"/>
      <c r="P721" s="381"/>
      <c r="Q721" s="381"/>
      <c r="R721" s="381"/>
      <c r="S721" s="381"/>
    </row>
    <row r="722" spans="1:19" ht="12.75" customHeight="1">
      <c r="A722" s="381"/>
      <c r="B722" s="389">
        <v>43347</v>
      </c>
      <c r="C722" s="390">
        <v>2039.51</v>
      </c>
      <c r="D722" s="393"/>
      <c r="E722" s="392">
        <f t="shared" si="0"/>
        <v>1.3315380755300144E-2</v>
      </c>
      <c r="F722" s="393"/>
      <c r="G722" s="381"/>
      <c r="H722" s="381"/>
      <c r="I722" s="381"/>
      <c r="J722" s="381"/>
      <c r="K722" s="381"/>
      <c r="L722" s="381"/>
      <c r="M722" s="381"/>
      <c r="N722" s="381"/>
      <c r="O722" s="381"/>
      <c r="P722" s="381"/>
      <c r="Q722" s="381"/>
      <c r="R722" s="381"/>
      <c r="S722" s="381"/>
    </row>
    <row r="723" spans="1:19" ht="12.75" customHeight="1">
      <c r="A723" s="381"/>
      <c r="B723" s="389">
        <v>43348</v>
      </c>
      <c r="C723" s="390">
        <v>1994.82</v>
      </c>
      <c r="D723" s="393"/>
      <c r="E723" s="392">
        <f t="shared" si="0"/>
        <v>-2.1912125951821793E-2</v>
      </c>
      <c r="F723" s="393"/>
      <c r="G723" s="381"/>
      <c r="H723" s="381"/>
      <c r="I723" s="381"/>
      <c r="J723" s="381"/>
      <c r="K723" s="381"/>
      <c r="L723" s="381"/>
      <c r="M723" s="381"/>
      <c r="N723" s="381"/>
      <c r="O723" s="381"/>
      <c r="P723" s="381"/>
      <c r="Q723" s="381"/>
      <c r="R723" s="381"/>
      <c r="S723" s="381"/>
    </row>
    <row r="724" spans="1:19" ht="12.75" customHeight="1">
      <c r="A724" s="381"/>
      <c r="B724" s="389">
        <v>43349</v>
      </c>
      <c r="C724" s="390">
        <v>1958.31</v>
      </c>
      <c r="D724" s="393"/>
      <c r="E724" s="392">
        <f t="shared" si="0"/>
        <v>-1.830240322435106E-2</v>
      </c>
      <c r="F724" s="393"/>
      <c r="G724" s="381"/>
      <c r="H724" s="381"/>
      <c r="I724" s="381"/>
      <c r="J724" s="381"/>
      <c r="K724" s="381"/>
      <c r="L724" s="381"/>
      <c r="M724" s="381"/>
      <c r="N724" s="381"/>
      <c r="O724" s="381"/>
      <c r="P724" s="381"/>
      <c r="Q724" s="381"/>
      <c r="R724" s="381"/>
      <c r="S724" s="381"/>
    </row>
    <row r="725" spans="1:19" ht="12.75" customHeight="1">
      <c r="A725" s="381"/>
      <c r="B725" s="389">
        <v>43350</v>
      </c>
      <c r="C725" s="390">
        <v>1952.07</v>
      </c>
      <c r="D725" s="393"/>
      <c r="E725" s="392">
        <f t="shared" si="0"/>
        <v>-3.1864209445899849E-3</v>
      </c>
      <c r="F725" s="393"/>
      <c r="G725" s="381"/>
      <c r="H725" s="381"/>
      <c r="I725" s="381"/>
      <c r="J725" s="381"/>
      <c r="K725" s="381"/>
      <c r="L725" s="381"/>
      <c r="M725" s="381"/>
      <c r="N725" s="381"/>
      <c r="O725" s="381"/>
      <c r="P725" s="381"/>
      <c r="Q725" s="381"/>
      <c r="R725" s="381"/>
      <c r="S725" s="381"/>
    </row>
    <row r="726" spans="1:19" ht="12.75" customHeight="1">
      <c r="A726" s="381"/>
      <c r="B726" s="389">
        <v>43353</v>
      </c>
      <c r="C726" s="390">
        <v>1939.01</v>
      </c>
      <c r="D726" s="393"/>
      <c r="E726" s="392">
        <f t="shared" si="0"/>
        <v>-6.6903338507328103E-3</v>
      </c>
      <c r="F726" s="393"/>
      <c r="G726" s="381"/>
      <c r="H726" s="381"/>
      <c r="I726" s="381"/>
      <c r="J726" s="381"/>
      <c r="K726" s="381"/>
      <c r="L726" s="381"/>
      <c r="M726" s="381"/>
      <c r="N726" s="381"/>
      <c r="O726" s="381"/>
      <c r="P726" s="381"/>
      <c r="Q726" s="381"/>
      <c r="R726" s="381"/>
      <c r="S726" s="381"/>
    </row>
    <row r="727" spans="1:19" ht="12.75" customHeight="1">
      <c r="A727" s="381"/>
      <c r="B727" s="389">
        <v>43354</v>
      </c>
      <c r="C727" s="390">
        <v>1987.15</v>
      </c>
      <c r="D727" s="393"/>
      <c r="E727" s="392">
        <f t="shared" si="0"/>
        <v>2.4827102490446284E-2</v>
      </c>
      <c r="F727" s="393"/>
      <c r="G727" s="381"/>
      <c r="H727" s="381"/>
      <c r="I727" s="381"/>
      <c r="J727" s="381"/>
      <c r="K727" s="381"/>
      <c r="L727" s="381"/>
      <c r="M727" s="381"/>
      <c r="N727" s="381"/>
      <c r="O727" s="381"/>
      <c r="P727" s="381"/>
      <c r="Q727" s="381"/>
      <c r="R727" s="381"/>
      <c r="S727" s="381"/>
    </row>
    <row r="728" spans="1:19" ht="12.75" customHeight="1">
      <c r="A728" s="381"/>
      <c r="B728" s="389">
        <v>43355</v>
      </c>
      <c r="C728" s="390">
        <v>1990</v>
      </c>
      <c r="D728" s="393"/>
      <c r="E728" s="392">
        <f t="shared" si="0"/>
        <v>1.4342148302846081E-3</v>
      </c>
      <c r="F728" s="393"/>
      <c r="G728" s="381"/>
      <c r="H728" s="381"/>
      <c r="I728" s="381"/>
      <c r="J728" s="381"/>
      <c r="K728" s="381"/>
      <c r="L728" s="381"/>
      <c r="M728" s="381"/>
      <c r="N728" s="381"/>
      <c r="O728" s="381"/>
      <c r="P728" s="381"/>
      <c r="Q728" s="381"/>
      <c r="R728" s="381"/>
      <c r="S728" s="381"/>
    </row>
    <row r="729" spans="1:19" ht="12.75" customHeight="1">
      <c r="A729" s="381"/>
      <c r="B729" s="389">
        <v>43356</v>
      </c>
      <c r="C729" s="390">
        <v>1989.87</v>
      </c>
      <c r="D729" s="393"/>
      <c r="E729" s="392">
        <f t="shared" si="0"/>
        <v>-6.5326633165829762E-5</v>
      </c>
      <c r="F729" s="393"/>
      <c r="G729" s="381"/>
      <c r="H729" s="381"/>
      <c r="I729" s="381"/>
      <c r="J729" s="381"/>
      <c r="K729" s="381"/>
      <c r="L729" s="381"/>
      <c r="M729" s="381"/>
      <c r="N729" s="381"/>
      <c r="O729" s="381"/>
      <c r="P729" s="381"/>
      <c r="Q729" s="381"/>
      <c r="R729" s="381"/>
      <c r="S729" s="381"/>
    </row>
    <row r="730" spans="1:19" ht="12.75" customHeight="1">
      <c r="A730" s="381"/>
      <c r="B730" s="389">
        <v>43357</v>
      </c>
      <c r="C730" s="390">
        <v>1970.19</v>
      </c>
      <c r="D730" s="393"/>
      <c r="E730" s="392">
        <f t="shared" si="0"/>
        <v>-9.8900933226793164E-3</v>
      </c>
      <c r="F730" s="393"/>
      <c r="G730" s="381"/>
      <c r="H730" s="381"/>
      <c r="I730" s="381"/>
      <c r="J730" s="381"/>
      <c r="K730" s="381"/>
      <c r="L730" s="381"/>
      <c r="M730" s="381"/>
      <c r="N730" s="381"/>
      <c r="O730" s="381"/>
      <c r="P730" s="381"/>
      <c r="Q730" s="381"/>
      <c r="R730" s="381"/>
      <c r="S730" s="381"/>
    </row>
    <row r="731" spans="1:19" ht="12.75" customHeight="1">
      <c r="A731" s="381"/>
      <c r="B731" s="389">
        <v>43360</v>
      </c>
      <c r="C731" s="390">
        <v>1908.03</v>
      </c>
      <c r="D731" s="393"/>
      <c r="E731" s="392">
        <f t="shared" si="0"/>
        <v>-3.1550256574239044E-2</v>
      </c>
      <c r="F731" s="393"/>
      <c r="G731" s="381"/>
      <c r="H731" s="381"/>
      <c r="I731" s="381"/>
      <c r="J731" s="381"/>
      <c r="K731" s="381"/>
      <c r="L731" s="381"/>
      <c r="M731" s="381"/>
      <c r="N731" s="381"/>
      <c r="O731" s="381"/>
      <c r="P731" s="381"/>
      <c r="Q731" s="381"/>
      <c r="R731" s="381"/>
      <c r="S731" s="381"/>
    </row>
    <row r="732" spans="1:19" ht="12.75" customHeight="1">
      <c r="A732" s="381"/>
      <c r="B732" s="389">
        <v>43361</v>
      </c>
      <c r="C732" s="390">
        <v>1941.05</v>
      </c>
      <c r="D732" s="393"/>
      <c r="E732" s="392">
        <f t="shared" si="0"/>
        <v>1.7305807560677788E-2</v>
      </c>
      <c r="F732" s="393"/>
      <c r="G732" s="381"/>
      <c r="H732" s="381"/>
      <c r="I732" s="381"/>
      <c r="J732" s="381"/>
      <c r="K732" s="381"/>
      <c r="L732" s="381"/>
      <c r="M732" s="381"/>
      <c r="N732" s="381"/>
      <c r="O732" s="381"/>
      <c r="P732" s="381"/>
      <c r="Q732" s="381"/>
      <c r="R732" s="381"/>
      <c r="S732" s="381"/>
    </row>
    <row r="733" spans="1:19" ht="12.75" customHeight="1">
      <c r="A733" s="381"/>
      <c r="B733" s="389">
        <v>43362</v>
      </c>
      <c r="C733" s="390">
        <v>1926.42</v>
      </c>
      <c r="D733" s="393"/>
      <c r="E733" s="392">
        <f t="shared" si="0"/>
        <v>-7.53715772391228E-3</v>
      </c>
      <c r="F733" s="393"/>
      <c r="G733" s="381"/>
      <c r="H733" s="381"/>
      <c r="I733" s="381"/>
      <c r="J733" s="381"/>
      <c r="K733" s="381"/>
      <c r="L733" s="381"/>
      <c r="M733" s="381"/>
      <c r="N733" s="381"/>
      <c r="O733" s="381"/>
      <c r="P733" s="381"/>
      <c r="Q733" s="381"/>
      <c r="R733" s="381"/>
      <c r="S733" s="381"/>
    </row>
    <row r="734" spans="1:19" ht="12.75" customHeight="1">
      <c r="A734" s="381"/>
      <c r="B734" s="389">
        <v>43363</v>
      </c>
      <c r="C734" s="390">
        <v>1944.3</v>
      </c>
      <c r="D734" s="393"/>
      <c r="E734" s="392">
        <f t="shared" si="0"/>
        <v>9.2814651010681981E-3</v>
      </c>
      <c r="F734" s="393"/>
      <c r="G734" s="381"/>
      <c r="H734" s="381"/>
      <c r="I734" s="381"/>
      <c r="J734" s="381"/>
      <c r="K734" s="381"/>
      <c r="L734" s="381"/>
      <c r="M734" s="381"/>
      <c r="N734" s="381"/>
      <c r="O734" s="381"/>
      <c r="P734" s="381"/>
      <c r="Q734" s="381"/>
      <c r="R734" s="381"/>
      <c r="S734" s="381"/>
    </row>
    <row r="735" spans="1:19" ht="12.75" customHeight="1">
      <c r="A735" s="381"/>
      <c r="B735" s="389">
        <v>43364</v>
      </c>
      <c r="C735" s="390">
        <v>1915.01</v>
      </c>
      <c r="D735" s="393"/>
      <c r="E735" s="392">
        <f t="shared" si="0"/>
        <v>-1.5064547652111293E-2</v>
      </c>
      <c r="F735" s="393"/>
      <c r="G735" s="381"/>
      <c r="H735" s="381"/>
      <c r="I735" s="381"/>
      <c r="J735" s="381"/>
      <c r="K735" s="381"/>
      <c r="L735" s="381"/>
      <c r="M735" s="381"/>
      <c r="N735" s="381"/>
      <c r="O735" s="381"/>
      <c r="P735" s="381"/>
      <c r="Q735" s="381"/>
      <c r="R735" s="381"/>
      <c r="S735" s="381"/>
    </row>
    <row r="736" spans="1:19" ht="12.75" customHeight="1">
      <c r="A736" s="381"/>
      <c r="B736" s="389">
        <v>43367</v>
      </c>
      <c r="C736" s="390">
        <v>1934.36</v>
      </c>
      <c r="D736" s="393"/>
      <c r="E736" s="392">
        <f t="shared" si="0"/>
        <v>1.0104385877880429E-2</v>
      </c>
      <c r="F736" s="393"/>
      <c r="G736" s="381"/>
      <c r="H736" s="381"/>
      <c r="I736" s="381"/>
      <c r="J736" s="381"/>
      <c r="K736" s="381"/>
      <c r="L736" s="381"/>
      <c r="M736" s="381"/>
      <c r="N736" s="381"/>
      <c r="O736" s="381"/>
      <c r="P736" s="381"/>
      <c r="Q736" s="381"/>
      <c r="R736" s="381"/>
      <c r="S736" s="381"/>
    </row>
    <row r="737" spans="1:19" ht="12.75" customHeight="1">
      <c r="A737" s="381"/>
      <c r="B737" s="389">
        <v>43368</v>
      </c>
      <c r="C737" s="390">
        <v>1974.55</v>
      </c>
      <c r="D737" s="393"/>
      <c r="E737" s="392">
        <f t="shared" si="0"/>
        <v>2.0776897785313997E-2</v>
      </c>
      <c r="F737" s="393"/>
      <c r="G737" s="381"/>
      <c r="H737" s="381"/>
      <c r="I737" s="381"/>
      <c r="J737" s="381"/>
      <c r="K737" s="381"/>
      <c r="L737" s="381"/>
      <c r="M737" s="381"/>
      <c r="N737" s="381"/>
      <c r="O737" s="381"/>
      <c r="P737" s="381"/>
      <c r="Q737" s="381"/>
      <c r="R737" s="381"/>
      <c r="S737" s="381"/>
    </row>
    <row r="738" spans="1:19" ht="12.75" customHeight="1">
      <c r="A738" s="381"/>
      <c r="B738" s="389">
        <v>43369</v>
      </c>
      <c r="C738" s="390">
        <v>1974.85</v>
      </c>
      <c r="D738" s="393"/>
      <c r="E738" s="392">
        <f t="shared" si="0"/>
        <v>1.519333519028887E-4</v>
      </c>
      <c r="F738" s="393"/>
      <c r="G738" s="381"/>
      <c r="H738" s="381"/>
      <c r="I738" s="381"/>
      <c r="J738" s="381"/>
      <c r="K738" s="381"/>
      <c r="L738" s="381"/>
      <c r="M738" s="381"/>
      <c r="N738" s="381"/>
      <c r="O738" s="381"/>
      <c r="P738" s="381"/>
      <c r="Q738" s="381"/>
      <c r="R738" s="381"/>
      <c r="S738" s="381"/>
    </row>
    <row r="739" spans="1:19" ht="12.75" customHeight="1">
      <c r="A739" s="381"/>
      <c r="B739" s="389">
        <v>43370</v>
      </c>
      <c r="C739" s="390">
        <v>2012.98</v>
      </c>
      <c r="D739" s="393"/>
      <c r="E739" s="392">
        <f t="shared" si="0"/>
        <v>1.9307795528774374E-2</v>
      </c>
      <c r="F739" s="393"/>
      <c r="G739" s="381"/>
      <c r="H739" s="381"/>
      <c r="I739" s="381"/>
      <c r="J739" s="381"/>
      <c r="K739" s="381"/>
      <c r="L739" s="381"/>
      <c r="M739" s="381"/>
      <c r="N739" s="381"/>
      <c r="O739" s="381"/>
      <c r="P739" s="381"/>
      <c r="Q739" s="381"/>
      <c r="R739" s="381"/>
      <c r="S739" s="381"/>
    </row>
    <row r="740" spans="1:19" ht="12.75" customHeight="1">
      <c r="A740" s="381"/>
      <c r="B740" s="389">
        <v>43371</v>
      </c>
      <c r="C740" s="390">
        <v>2003</v>
      </c>
      <c r="D740" s="393"/>
      <c r="E740" s="392">
        <f t="shared" si="0"/>
        <v>-4.9578237240310852E-3</v>
      </c>
      <c r="F740" s="393"/>
      <c r="G740" s="381"/>
      <c r="H740" s="381"/>
      <c r="I740" s="381"/>
      <c r="J740" s="381"/>
      <c r="K740" s="381"/>
      <c r="L740" s="381"/>
      <c r="M740" s="381"/>
      <c r="N740" s="381"/>
      <c r="O740" s="381"/>
      <c r="P740" s="381"/>
      <c r="Q740" s="381"/>
      <c r="R740" s="381"/>
      <c r="S740" s="381"/>
    </row>
    <row r="741" spans="1:19" ht="12.75" customHeight="1">
      <c r="A741" s="381"/>
      <c r="B741" s="389">
        <v>43374</v>
      </c>
      <c r="C741" s="390">
        <v>2004.36</v>
      </c>
      <c r="D741" s="393"/>
      <c r="E741" s="392">
        <f t="shared" si="0"/>
        <v>6.7898152770839992E-4</v>
      </c>
      <c r="F741" s="393"/>
      <c r="G741" s="381"/>
      <c r="H741" s="381"/>
      <c r="I741" s="381"/>
      <c r="J741" s="381"/>
      <c r="K741" s="381"/>
      <c r="L741" s="381"/>
      <c r="M741" s="381"/>
      <c r="N741" s="381"/>
      <c r="O741" s="381"/>
      <c r="P741" s="381"/>
      <c r="Q741" s="381"/>
      <c r="R741" s="381"/>
      <c r="S741" s="381"/>
    </row>
    <row r="742" spans="1:19" ht="12.75" customHeight="1">
      <c r="A742" s="381"/>
      <c r="B742" s="389">
        <v>43375</v>
      </c>
      <c r="C742" s="390">
        <v>1971.31</v>
      </c>
      <c r="D742" s="393"/>
      <c r="E742" s="392">
        <f t="shared" si="0"/>
        <v>-1.6489053862579595E-2</v>
      </c>
      <c r="F742" s="393"/>
      <c r="G742" s="381"/>
      <c r="H742" s="381"/>
      <c r="I742" s="381"/>
      <c r="J742" s="381"/>
      <c r="K742" s="381"/>
      <c r="L742" s="381"/>
      <c r="M742" s="381"/>
      <c r="N742" s="381"/>
      <c r="O742" s="381"/>
      <c r="P742" s="381"/>
      <c r="Q742" s="381"/>
      <c r="R742" s="381"/>
      <c r="S742" s="381"/>
    </row>
    <row r="743" spans="1:19" ht="12.75" customHeight="1">
      <c r="A743" s="381"/>
      <c r="B743" s="389">
        <v>43376</v>
      </c>
      <c r="C743" s="390">
        <v>1952.76</v>
      </c>
      <c r="D743" s="393"/>
      <c r="E743" s="392">
        <f t="shared" si="0"/>
        <v>-9.4099862527963207E-3</v>
      </c>
      <c r="F743" s="393"/>
      <c r="G743" s="381"/>
      <c r="H743" s="381"/>
      <c r="I743" s="381"/>
      <c r="J743" s="381"/>
      <c r="K743" s="381"/>
      <c r="L743" s="381"/>
      <c r="M743" s="381"/>
      <c r="N743" s="381"/>
      <c r="O743" s="381"/>
      <c r="P743" s="381"/>
      <c r="Q743" s="381"/>
      <c r="R743" s="381"/>
      <c r="S743" s="381"/>
    </row>
    <row r="744" spans="1:19" ht="12.75" customHeight="1">
      <c r="A744" s="381"/>
      <c r="B744" s="389">
        <v>43377</v>
      </c>
      <c r="C744" s="390">
        <v>1909.42</v>
      </c>
      <c r="D744" s="393"/>
      <c r="E744" s="392">
        <f t="shared" si="0"/>
        <v>-2.2194227657264531E-2</v>
      </c>
      <c r="F744" s="393"/>
      <c r="G744" s="381"/>
      <c r="H744" s="381"/>
      <c r="I744" s="381"/>
      <c r="J744" s="381"/>
      <c r="K744" s="381"/>
      <c r="L744" s="381"/>
      <c r="M744" s="381"/>
      <c r="N744" s="381"/>
      <c r="O744" s="381"/>
      <c r="P744" s="381"/>
      <c r="Q744" s="381"/>
      <c r="R744" s="381"/>
      <c r="S744" s="381"/>
    </row>
    <row r="745" spans="1:19" ht="12.75" customHeight="1">
      <c r="A745" s="381"/>
      <c r="B745" s="389">
        <v>43378</v>
      </c>
      <c r="C745" s="390">
        <v>1889.65</v>
      </c>
      <c r="D745" s="393"/>
      <c r="E745" s="392">
        <f t="shared" si="0"/>
        <v>-1.0353929465492184E-2</v>
      </c>
      <c r="F745" s="393"/>
      <c r="G745" s="381"/>
      <c r="H745" s="381"/>
      <c r="I745" s="381"/>
      <c r="J745" s="381"/>
      <c r="K745" s="381"/>
      <c r="L745" s="381"/>
      <c r="M745" s="381"/>
      <c r="N745" s="381"/>
      <c r="O745" s="381"/>
      <c r="P745" s="381"/>
      <c r="Q745" s="381"/>
      <c r="R745" s="381"/>
      <c r="S745" s="381"/>
    </row>
    <row r="746" spans="1:19" ht="12.75" customHeight="1">
      <c r="A746" s="381"/>
      <c r="B746" s="389">
        <v>43381</v>
      </c>
      <c r="C746" s="390">
        <v>1864.42</v>
      </c>
      <c r="D746" s="393"/>
      <c r="E746" s="392">
        <f t="shared" si="0"/>
        <v>-1.3351678882332685E-2</v>
      </c>
      <c r="F746" s="393"/>
      <c r="G746" s="381"/>
      <c r="H746" s="381"/>
      <c r="I746" s="381"/>
      <c r="J746" s="381"/>
      <c r="K746" s="381"/>
      <c r="L746" s="381"/>
      <c r="M746" s="381"/>
      <c r="N746" s="381"/>
      <c r="O746" s="381"/>
      <c r="P746" s="381"/>
      <c r="Q746" s="381"/>
      <c r="R746" s="381"/>
      <c r="S746" s="381"/>
    </row>
    <row r="747" spans="1:19" ht="12.75" customHeight="1">
      <c r="A747" s="381"/>
      <c r="B747" s="389">
        <v>43382</v>
      </c>
      <c r="C747" s="390">
        <v>1870.32</v>
      </c>
      <c r="D747" s="393"/>
      <c r="E747" s="392">
        <f t="shared" si="0"/>
        <v>3.1645230152004267E-3</v>
      </c>
      <c r="F747" s="393"/>
      <c r="G747" s="381"/>
      <c r="H747" s="381"/>
      <c r="I747" s="381"/>
      <c r="J747" s="381"/>
      <c r="K747" s="381"/>
      <c r="L747" s="381"/>
      <c r="M747" s="381"/>
      <c r="N747" s="381"/>
      <c r="O747" s="381"/>
      <c r="P747" s="381"/>
      <c r="Q747" s="381"/>
      <c r="R747" s="381"/>
      <c r="S747" s="381"/>
    </row>
    <row r="748" spans="1:19" ht="12.75" customHeight="1">
      <c r="A748" s="381"/>
      <c r="B748" s="389">
        <v>43383</v>
      </c>
      <c r="C748" s="390">
        <v>1755.25</v>
      </c>
      <c r="D748" s="393"/>
      <c r="E748" s="392">
        <f t="shared" si="0"/>
        <v>-6.1524231147611075E-2</v>
      </c>
      <c r="F748" s="393"/>
      <c r="G748" s="381"/>
      <c r="H748" s="381"/>
      <c r="I748" s="381"/>
      <c r="J748" s="381"/>
      <c r="K748" s="381"/>
      <c r="L748" s="381"/>
      <c r="M748" s="381"/>
      <c r="N748" s="381"/>
      <c r="O748" s="381"/>
      <c r="P748" s="381"/>
      <c r="Q748" s="381"/>
      <c r="R748" s="381"/>
      <c r="S748" s="381"/>
    </row>
    <row r="749" spans="1:19" ht="12.75" customHeight="1">
      <c r="A749" s="381"/>
      <c r="B749" s="389">
        <v>43384</v>
      </c>
      <c r="C749" s="390">
        <v>1719.36</v>
      </c>
      <c r="D749" s="393"/>
      <c r="E749" s="392">
        <f t="shared" si="0"/>
        <v>-2.0447229739353423E-2</v>
      </c>
      <c r="F749" s="393"/>
      <c r="G749" s="381"/>
      <c r="H749" s="381"/>
      <c r="I749" s="381"/>
      <c r="J749" s="381"/>
      <c r="K749" s="381"/>
      <c r="L749" s="381"/>
      <c r="M749" s="381"/>
      <c r="N749" s="381"/>
      <c r="O749" s="381"/>
      <c r="P749" s="381"/>
      <c r="Q749" s="381"/>
      <c r="R749" s="381"/>
      <c r="S749" s="381"/>
    </row>
    <row r="750" spans="1:19" ht="12.75" customHeight="1">
      <c r="A750" s="381"/>
      <c r="B750" s="389">
        <v>43385</v>
      </c>
      <c r="C750" s="390">
        <v>1788.61</v>
      </c>
      <c r="D750" s="393"/>
      <c r="E750" s="392">
        <f t="shared" si="0"/>
        <v>4.0276614554252799E-2</v>
      </c>
      <c r="F750" s="393"/>
      <c r="G750" s="381"/>
      <c r="H750" s="381"/>
      <c r="I750" s="381"/>
      <c r="J750" s="381"/>
      <c r="K750" s="381"/>
      <c r="L750" s="381"/>
      <c r="M750" s="381"/>
      <c r="N750" s="381"/>
      <c r="O750" s="381"/>
      <c r="P750" s="381"/>
      <c r="Q750" s="381"/>
      <c r="R750" s="381"/>
      <c r="S750" s="381"/>
    </row>
    <row r="751" spans="1:19" ht="12.75" customHeight="1">
      <c r="A751" s="381"/>
      <c r="B751" s="389">
        <v>43388</v>
      </c>
      <c r="C751" s="390">
        <v>1760.95</v>
      </c>
      <c r="D751" s="393"/>
      <c r="E751" s="392">
        <f t="shared" si="0"/>
        <v>-1.5464522729941033E-2</v>
      </c>
      <c r="F751" s="393"/>
      <c r="G751" s="381"/>
      <c r="H751" s="381"/>
      <c r="I751" s="381"/>
      <c r="J751" s="381"/>
      <c r="K751" s="381"/>
      <c r="L751" s="381"/>
      <c r="M751" s="381"/>
      <c r="N751" s="381"/>
      <c r="O751" s="381"/>
      <c r="P751" s="381"/>
      <c r="Q751" s="381"/>
      <c r="R751" s="381"/>
      <c r="S751" s="381"/>
    </row>
    <row r="752" spans="1:19" ht="12.75" customHeight="1">
      <c r="A752" s="381"/>
      <c r="B752" s="389">
        <v>43389</v>
      </c>
      <c r="C752" s="390">
        <v>1819.96</v>
      </c>
      <c r="D752" s="393"/>
      <c r="E752" s="392">
        <f t="shared" si="0"/>
        <v>3.3510321133479071E-2</v>
      </c>
      <c r="F752" s="393"/>
      <c r="G752" s="381"/>
      <c r="H752" s="381"/>
      <c r="I752" s="381"/>
      <c r="J752" s="381"/>
      <c r="K752" s="381"/>
      <c r="L752" s="381"/>
      <c r="M752" s="381"/>
      <c r="N752" s="381"/>
      <c r="O752" s="381"/>
      <c r="P752" s="381"/>
      <c r="Q752" s="381"/>
      <c r="R752" s="381"/>
      <c r="S752" s="381"/>
    </row>
    <row r="753" spans="1:19" ht="12.75" customHeight="1">
      <c r="A753" s="381"/>
      <c r="B753" s="389">
        <v>43390</v>
      </c>
      <c r="C753" s="390">
        <v>1831.73</v>
      </c>
      <c r="D753" s="393"/>
      <c r="E753" s="392">
        <f t="shared" si="0"/>
        <v>6.4671751027494118E-3</v>
      </c>
      <c r="F753" s="393"/>
      <c r="G753" s="381"/>
      <c r="H753" s="381"/>
      <c r="I753" s="381"/>
      <c r="J753" s="381"/>
      <c r="K753" s="381"/>
      <c r="L753" s="381"/>
      <c r="M753" s="381"/>
      <c r="N753" s="381"/>
      <c r="O753" s="381"/>
      <c r="P753" s="381"/>
      <c r="Q753" s="381"/>
      <c r="R753" s="381"/>
      <c r="S753" s="381"/>
    </row>
    <row r="754" spans="1:19" ht="12.75" customHeight="1">
      <c r="A754" s="381"/>
      <c r="B754" s="389">
        <v>43391</v>
      </c>
      <c r="C754" s="390">
        <v>1770.72</v>
      </c>
      <c r="D754" s="393"/>
      <c r="E754" s="392">
        <f t="shared" si="0"/>
        <v>-3.3307310575248494E-2</v>
      </c>
      <c r="F754" s="393"/>
      <c r="G754" s="381"/>
      <c r="H754" s="381"/>
      <c r="I754" s="381"/>
      <c r="J754" s="381"/>
      <c r="K754" s="381"/>
      <c r="L754" s="381"/>
      <c r="M754" s="381"/>
      <c r="N754" s="381"/>
      <c r="O754" s="381"/>
      <c r="P754" s="381"/>
      <c r="Q754" s="381"/>
      <c r="R754" s="381"/>
      <c r="S754" s="381"/>
    </row>
    <row r="755" spans="1:19" ht="12.75" customHeight="1">
      <c r="A755" s="381"/>
      <c r="B755" s="389">
        <v>43392</v>
      </c>
      <c r="C755" s="390">
        <v>1764.03</v>
      </c>
      <c r="D755" s="393"/>
      <c r="E755" s="392">
        <f t="shared" si="0"/>
        <v>-3.7781241528870302E-3</v>
      </c>
      <c r="F755" s="393"/>
      <c r="G755" s="381"/>
      <c r="H755" s="381"/>
      <c r="I755" s="381"/>
      <c r="J755" s="381"/>
      <c r="K755" s="381"/>
      <c r="L755" s="381"/>
      <c r="M755" s="381"/>
      <c r="N755" s="381"/>
      <c r="O755" s="381"/>
      <c r="P755" s="381"/>
      <c r="Q755" s="381"/>
      <c r="R755" s="381"/>
      <c r="S755" s="381"/>
    </row>
    <row r="756" spans="1:19" ht="12.75" customHeight="1">
      <c r="A756" s="381"/>
      <c r="B756" s="389">
        <v>43395</v>
      </c>
      <c r="C756" s="390">
        <v>1789.3</v>
      </c>
      <c r="D756" s="393"/>
      <c r="E756" s="392">
        <f t="shared" si="0"/>
        <v>1.4325153200342333E-2</v>
      </c>
      <c r="F756" s="393"/>
      <c r="G756" s="381"/>
      <c r="H756" s="381"/>
      <c r="I756" s="381"/>
      <c r="J756" s="381"/>
      <c r="K756" s="381"/>
      <c r="L756" s="381"/>
      <c r="M756" s="381"/>
      <c r="N756" s="381"/>
      <c r="O756" s="381"/>
      <c r="P756" s="381"/>
      <c r="Q756" s="381"/>
      <c r="R756" s="381"/>
      <c r="S756" s="381"/>
    </row>
    <row r="757" spans="1:19" ht="12.75" customHeight="1">
      <c r="A757" s="381"/>
      <c r="B757" s="389">
        <v>43396</v>
      </c>
      <c r="C757" s="390">
        <v>1768.7</v>
      </c>
      <c r="D757" s="393"/>
      <c r="E757" s="392">
        <f t="shared" si="0"/>
        <v>-1.1512882132677538E-2</v>
      </c>
      <c r="F757" s="393"/>
      <c r="G757" s="381"/>
      <c r="H757" s="381"/>
      <c r="I757" s="381"/>
      <c r="J757" s="381"/>
      <c r="K757" s="381"/>
      <c r="L757" s="381"/>
      <c r="M757" s="381"/>
      <c r="N757" s="381"/>
      <c r="O757" s="381"/>
      <c r="P757" s="381"/>
      <c r="Q757" s="381"/>
      <c r="R757" s="381"/>
      <c r="S757" s="381"/>
    </row>
    <row r="758" spans="1:19" ht="12.75" customHeight="1">
      <c r="A758" s="381"/>
      <c r="B758" s="389">
        <v>43397</v>
      </c>
      <c r="C758" s="390">
        <v>1664.2</v>
      </c>
      <c r="D758" s="393"/>
      <c r="E758" s="392">
        <f t="shared" si="0"/>
        <v>-5.9082942273986583E-2</v>
      </c>
      <c r="F758" s="393"/>
      <c r="G758" s="381"/>
      <c r="H758" s="381"/>
      <c r="I758" s="381"/>
      <c r="J758" s="381"/>
      <c r="K758" s="381"/>
      <c r="L758" s="381"/>
      <c r="M758" s="381"/>
      <c r="N758" s="381"/>
      <c r="O758" s="381"/>
      <c r="P758" s="381"/>
      <c r="Q758" s="381"/>
      <c r="R758" s="381"/>
      <c r="S758" s="381"/>
    </row>
    <row r="759" spans="1:19" ht="12.75" customHeight="1">
      <c r="A759" s="381"/>
      <c r="B759" s="389">
        <v>43398</v>
      </c>
      <c r="C759" s="390">
        <v>1782.17</v>
      </c>
      <c r="D759" s="393"/>
      <c r="E759" s="392">
        <f t="shared" si="0"/>
        <v>7.0886912630693466E-2</v>
      </c>
      <c r="F759" s="393"/>
      <c r="G759" s="381"/>
      <c r="H759" s="381"/>
      <c r="I759" s="381"/>
      <c r="J759" s="381"/>
      <c r="K759" s="381"/>
      <c r="L759" s="381"/>
      <c r="M759" s="381"/>
      <c r="N759" s="381"/>
      <c r="O759" s="381"/>
      <c r="P759" s="381"/>
      <c r="Q759" s="381"/>
      <c r="R759" s="381"/>
      <c r="S759" s="381"/>
    </row>
    <row r="760" spans="1:19" ht="12.75" customHeight="1">
      <c r="A760" s="381"/>
      <c r="B760" s="389">
        <v>43399</v>
      </c>
      <c r="C760" s="390">
        <v>1642.81</v>
      </c>
      <c r="D760" s="393"/>
      <c r="E760" s="392">
        <f t="shared" si="0"/>
        <v>-7.8196805018600934E-2</v>
      </c>
      <c r="F760" s="393"/>
      <c r="G760" s="381"/>
      <c r="H760" s="381"/>
      <c r="I760" s="381"/>
      <c r="J760" s="381"/>
      <c r="K760" s="381"/>
      <c r="L760" s="381"/>
      <c r="M760" s="381"/>
      <c r="N760" s="381"/>
      <c r="O760" s="381"/>
      <c r="P760" s="381"/>
      <c r="Q760" s="381"/>
      <c r="R760" s="381"/>
      <c r="S760" s="381"/>
    </row>
    <row r="761" spans="1:19" ht="12.75" customHeight="1">
      <c r="A761" s="381"/>
      <c r="B761" s="389">
        <v>43402</v>
      </c>
      <c r="C761" s="390">
        <v>1538.88</v>
      </c>
      <c r="D761" s="393"/>
      <c r="E761" s="392">
        <f t="shared" si="0"/>
        <v>-6.3263554519390475E-2</v>
      </c>
      <c r="F761" s="393"/>
      <c r="G761" s="381"/>
      <c r="H761" s="381"/>
      <c r="I761" s="381"/>
      <c r="J761" s="381"/>
      <c r="K761" s="381"/>
      <c r="L761" s="381"/>
      <c r="M761" s="381"/>
      <c r="N761" s="381"/>
      <c r="O761" s="381"/>
      <c r="P761" s="381"/>
      <c r="Q761" s="381"/>
      <c r="R761" s="381"/>
      <c r="S761" s="381"/>
    </row>
    <row r="762" spans="1:19" ht="12.75" customHeight="1">
      <c r="A762" s="381"/>
      <c r="B762" s="389">
        <v>43403</v>
      </c>
      <c r="C762" s="390">
        <v>1530.42</v>
      </c>
      <c r="D762" s="393"/>
      <c r="E762" s="392">
        <f t="shared" si="0"/>
        <v>-5.4975046787274495E-3</v>
      </c>
      <c r="F762" s="393"/>
      <c r="G762" s="381"/>
      <c r="H762" s="381"/>
      <c r="I762" s="381"/>
      <c r="J762" s="381"/>
      <c r="K762" s="381"/>
      <c r="L762" s="381"/>
      <c r="M762" s="381"/>
      <c r="N762" s="381"/>
      <c r="O762" s="381"/>
      <c r="P762" s="381"/>
      <c r="Q762" s="381"/>
      <c r="R762" s="381"/>
      <c r="S762" s="381"/>
    </row>
    <row r="763" spans="1:19" ht="12.75" customHeight="1">
      <c r="A763" s="381"/>
      <c r="B763" s="389">
        <v>43404</v>
      </c>
      <c r="C763" s="390">
        <v>1598.01</v>
      </c>
      <c r="D763" s="393"/>
      <c r="E763" s="392">
        <f t="shared" si="0"/>
        <v>4.416434704198835E-2</v>
      </c>
      <c r="F763" s="393"/>
      <c r="G763" s="381"/>
      <c r="H763" s="381"/>
      <c r="I763" s="381"/>
      <c r="J763" s="381"/>
      <c r="K763" s="381"/>
      <c r="L763" s="381"/>
      <c r="M763" s="381"/>
      <c r="N763" s="381"/>
      <c r="O763" s="381"/>
      <c r="P763" s="381"/>
      <c r="Q763" s="381"/>
      <c r="R763" s="381"/>
      <c r="S763" s="381"/>
    </row>
    <row r="764" spans="1:19" ht="12.75" customHeight="1">
      <c r="A764" s="381"/>
      <c r="B764" s="389">
        <v>43405</v>
      </c>
      <c r="C764" s="390">
        <v>1665.53</v>
      </c>
      <c r="D764" s="393"/>
      <c r="E764" s="392">
        <f t="shared" si="0"/>
        <v>4.2252551611066336E-2</v>
      </c>
      <c r="F764" s="393"/>
      <c r="G764" s="381"/>
      <c r="H764" s="381"/>
      <c r="I764" s="381"/>
      <c r="J764" s="381"/>
      <c r="K764" s="381"/>
      <c r="L764" s="381"/>
      <c r="M764" s="381"/>
      <c r="N764" s="381"/>
      <c r="O764" s="381"/>
      <c r="P764" s="381"/>
      <c r="Q764" s="381"/>
      <c r="R764" s="381"/>
      <c r="S764" s="381"/>
    </row>
    <row r="765" spans="1:19" ht="12.75" customHeight="1">
      <c r="A765" s="381"/>
      <c r="B765" s="389">
        <v>43406</v>
      </c>
      <c r="C765" s="390">
        <v>1665.53</v>
      </c>
      <c r="D765" s="393"/>
      <c r="E765" s="392">
        <f t="shared" si="0"/>
        <v>0</v>
      </c>
      <c r="F765" s="393"/>
      <c r="G765" s="381"/>
      <c r="H765" s="381"/>
      <c r="I765" s="381"/>
      <c r="J765" s="381"/>
      <c r="K765" s="381"/>
      <c r="L765" s="381"/>
      <c r="M765" s="381"/>
      <c r="N765" s="381"/>
      <c r="O765" s="381"/>
      <c r="P765" s="381"/>
      <c r="Q765" s="381"/>
      <c r="R765" s="381"/>
      <c r="S765" s="381"/>
    </row>
    <row r="766" spans="1:19" ht="12.75" customHeight="1">
      <c r="A766" s="381"/>
      <c r="B766" s="389">
        <v>43409</v>
      </c>
      <c r="C766" s="390">
        <v>1627.8</v>
      </c>
      <c r="D766" s="393"/>
      <c r="E766" s="392">
        <f t="shared" si="0"/>
        <v>-2.2653449652663138E-2</v>
      </c>
      <c r="F766" s="393"/>
      <c r="G766" s="381"/>
      <c r="H766" s="381"/>
      <c r="I766" s="381"/>
      <c r="J766" s="381"/>
      <c r="K766" s="381"/>
      <c r="L766" s="381"/>
      <c r="M766" s="381"/>
      <c r="N766" s="381"/>
      <c r="O766" s="381"/>
      <c r="P766" s="381"/>
      <c r="Q766" s="381"/>
      <c r="R766" s="381"/>
      <c r="S766" s="381"/>
    </row>
    <row r="767" spans="1:19" ht="12.75" customHeight="1">
      <c r="A767" s="381"/>
      <c r="B767" s="389">
        <v>43410</v>
      </c>
      <c r="C767" s="390">
        <v>1642.81</v>
      </c>
      <c r="D767" s="393"/>
      <c r="E767" s="392">
        <f t="shared" si="0"/>
        <v>9.2210345251260151E-3</v>
      </c>
      <c r="F767" s="393"/>
      <c r="G767" s="381"/>
      <c r="H767" s="381"/>
      <c r="I767" s="381"/>
      <c r="J767" s="381"/>
      <c r="K767" s="381"/>
      <c r="L767" s="381"/>
      <c r="M767" s="381"/>
      <c r="N767" s="381"/>
      <c r="O767" s="381"/>
      <c r="P767" s="381"/>
      <c r="Q767" s="381"/>
      <c r="R767" s="381"/>
      <c r="S767" s="381"/>
    </row>
    <row r="768" spans="1:19" ht="12.75" customHeight="1">
      <c r="A768" s="381"/>
      <c r="B768" s="389">
        <v>43411</v>
      </c>
      <c r="C768" s="390">
        <v>1755.49</v>
      </c>
      <c r="D768" s="393"/>
      <c r="E768" s="392">
        <f t="shared" si="0"/>
        <v>6.8589794315836894E-2</v>
      </c>
      <c r="F768" s="393"/>
      <c r="G768" s="381"/>
      <c r="H768" s="381"/>
      <c r="I768" s="381"/>
      <c r="J768" s="381"/>
      <c r="K768" s="381"/>
      <c r="L768" s="381"/>
      <c r="M768" s="381"/>
      <c r="N768" s="381"/>
      <c r="O768" s="381"/>
      <c r="P768" s="381"/>
      <c r="Q768" s="381"/>
      <c r="R768" s="381"/>
      <c r="S768" s="381"/>
    </row>
    <row r="769" spans="1:19" ht="12.75" customHeight="1">
      <c r="A769" s="381"/>
      <c r="B769" s="389">
        <v>43412</v>
      </c>
      <c r="C769" s="390">
        <v>1754.91</v>
      </c>
      <c r="D769" s="393"/>
      <c r="E769" s="392">
        <f t="shared" si="0"/>
        <v>-3.3039208426133282E-4</v>
      </c>
      <c r="F769" s="393"/>
      <c r="G769" s="381"/>
      <c r="H769" s="381"/>
      <c r="I769" s="381"/>
      <c r="J769" s="381"/>
      <c r="K769" s="381"/>
      <c r="L769" s="381"/>
      <c r="M769" s="381"/>
      <c r="N769" s="381"/>
      <c r="O769" s="381"/>
      <c r="P769" s="381"/>
      <c r="Q769" s="381"/>
      <c r="R769" s="381"/>
      <c r="S769" s="381"/>
    </row>
    <row r="770" spans="1:19" ht="12.75" customHeight="1">
      <c r="A770" s="381"/>
      <c r="B770" s="389">
        <v>43413</v>
      </c>
      <c r="C770" s="390">
        <v>1712.43</v>
      </c>
      <c r="D770" s="393"/>
      <c r="E770" s="392">
        <f t="shared" si="0"/>
        <v>-2.4206369557413177E-2</v>
      </c>
      <c r="F770" s="393"/>
      <c r="G770" s="381"/>
      <c r="H770" s="381"/>
      <c r="I770" s="381"/>
      <c r="J770" s="381"/>
      <c r="K770" s="381"/>
      <c r="L770" s="381"/>
      <c r="M770" s="381"/>
      <c r="N770" s="381"/>
      <c r="O770" s="381"/>
      <c r="P770" s="381"/>
      <c r="Q770" s="381"/>
      <c r="R770" s="381"/>
      <c r="S770" s="381"/>
    </row>
    <row r="771" spans="1:19" ht="12.75" customHeight="1">
      <c r="A771" s="381"/>
      <c r="B771" s="389">
        <v>43416</v>
      </c>
      <c r="C771" s="390">
        <v>1636.85</v>
      </c>
      <c r="D771" s="393"/>
      <c r="E771" s="392">
        <f t="shared" si="0"/>
        <v>-4.4136110673137052E-2</v>
      </c>
      <c r="F771" s="393"/>
      <c r="G771" s="381"/>
      <c r="H771" s="381"/>
      <c r="I771" s="381"/>
      <c r="J771" s="381"/>
      <c r="K771" s="381"/>
      <c r="L771" s="381"/>
      <c r="M771" s="381"/>
      <c r="N771" s="381"/>
      <c r="O771" s="381"/>
      <c r="P771" s="381"/>
      <c r="Q771" s="381"/>
      <c r="R771" s="381"/>
      <c r="S771" s="381"/>
    </row>
    <row r="772" spans="1:19" ht="12.75" customHeight="1">
      <c r="A772" s="381"/>
      <c r="B772" s="389">
        <v>43417</v>
      </c>
      <c r="C772" s="390">
        <v>1631.17</v>
      </c>
      <c r="D772" s="393"/>
      <c r="E772" s="392">
        <f t="shared" si="0"/>
        <v>-3.4700797263034211E-3</v>
      </c>
      <c r="F772" s="393"/>
      <c r="G772" s="381"/>
      <c r="H772" s="381"/>
      <c r="I772" s="381"/>
      <c r="J772" s="381"/>
      <c r="K772" s="381"/>
      <c r="L772" s="381"/>
      <c r="M772" s="381"/>
      <c r="N772" s="381"/>
      <c r="O772" s="381"/>
      <c r="P772" s="381"/>
      <c r="Q772" s="381"/>
      <c r="R772" s="381"/>
      <c r="S772" s="381"/>
    </row>
    <row r="773" spans="1:19" ht="12.75" customHeight="1">
      <c r="A773" s="381"/>
      <c r="B773" s="389">
        <v>43418</v>
      </c>
      <c r="C773" s="390">
        <v>1599.01</v>
      </c>
      <c r="D773" s="393"/>
      <c r="E773" s="392">
        <f t="shared" si="0"/>
        <v>-1.9715909439236956E-2</v>
      </c>
      <c r="F773" s="393"/>
      <c r="G773" s="381"/>
      <c r="H773" s="381"/>
      <c r="I773" s="381"/>
      <c r="J773" s="381"/>
      <c r="K773" s="381"/>
      <c r="L773" s="381"/>
      <c r="M773" s="381"/>
      <c r="N773" s="381"/>
      <c r="O773" s="381"/>
      <c r="P773" s="381"/>
      <c r="Q773" s="381"/>
      <c r="R773" s="381"/>
      <c r="S773" s="381"/>
    </row>
    <row r="774" spans="1:19" ht="12.75" customHeight="1">
      <c r="A774" s="381"/>
      <c r="B774" s="389">
        <v>43419</v>
      </c>
      <c r="C774" s="390">
        <v>1619.44</v>
      </c>
      <c r="D774" s="393"/>
      <c r="E774" s="392">
        <f t="shared" si="0"/>
        <v>1.2776655555625016E-2</v>
      </c>
      <c r="F774" s="393"/>
      <c r="G774" s="381"/>
      <c r="H774" s="381"/>
      <c r="I774" s="381"/>
      <c r="J774" s="381"/>
      <c r="K774" s="381"/>
      <c r="L774" s="381"/>
      <c r="M774" s="381"/>
      <c r="N774" s="381"/>
      <c r="O774" s="381"/>
      <c r="P774" s="381"/>
      <c r="Q774" s="381"/>
      <c r="R774" s="381"/>
      <c r="S774" s="381"/>
    </row>
    <row r="775" spans="1:19" ht="12.75" customHeight="1">
      <c r="A775" s="381"/>
      <c r="B775" s="389">
        <v>43420</v>
      </c>
      <c r="C775" s="390">
        <v>1593.41</v>
      </c>
      <c r="D775" s="393"/>
      <c r="E775" s="392">
        <f t="shared" si="0"/>
        <v>-1.6073457491478482E-2</v>
      </c>
      <c r="F775" s="393"/>
      <c r="G775" s="381"/>
      <c r="H775" s="381"/>
      <c r="I775" s="381"/>
      <c r="J775" s="381"/>
      <c r="K775" s="381"/>
      <c r="L775" s="381"/>
      <c r="M775" s="381"/>
      <c r="N775" s="381"/>
      <c r="O775" s="381"/>
      <c r="P775" s="381"/>
      <c r="Q775" s="381"/>
      <c r="R775" s="381"/>
      <c r="S775" s="381"/>
    </row>
    <row r="776" spans="1:19" ht="12.75" customHeight="1">
      <c r="A776" s="381"/>
      <c r="B776" s="389">
        <v>43423</v>
      </c>
      <c r="C776" s="390">
        <v>1512.29</v>
      </c>
      <c r="D776" s="393"/>
      <c r="E776" s="392">
        <f t="shared" si="0"/>
        <v>-5.0909684262054444E-2</v>
      </c>
      <c r="F776" s="393"/>
      <c r="G776" s="381"/>
      <c r="H776" s="381"/>
      <c r="I776" s="381"/>
      <c r="J776" s="381"/>
      <c r="K776" s="381"/>
      <c r="L776" s="381"/>
      <c r="M776" s="381"/>
      <c r="N776" s="381"/>
      <c r="O776" s="381"/>
      <c r="P776" s="381"/>
      <c r="Q776" s="381"/>
      <c r="R776" s="381"/>
      <c r="S776" s="381"/>
    </row>
    <row r="777" spans="1:19" ht="12.75" customHeight="1">
      <c r="A777" s="381"/>
      <c r="B777" s="389">
        <v>43424</v>
      </c>
      <c r="C777" s="390">
        <v>1495.46</v>
      </c>
      <c r="D777" s="393"/>
      <c r="E777" s="392">
        <f t="shared" si="0"/>
        <v>-1.1128817885458386E-2</v>
      </c>
      <c r="F777" s="393"/>
      <c r="G777" s="381"/>
      <c r="H777" s="381"/>
      <c r="I777" s="381"/>
      <c r="J777" s="381"/>
      <c r="K777" s="381"/>
      <c r="L777" s="381"/>
      <c r="M777" s="381"/>
      <c r="N777" s="381"/>
      <c r="O777" s="381"/>
      <c r="P777" s="381"/>
      <c r="Q777" s="381"/>
      <c r="R777" s="381"/>
      <c r="S777" s="381"/>
    </row>
    <row r="778" spans="1:19" ht="12.75" customHeight="1">
      <c r="A778" s="381"/>
      <c r="B778" s="389">
        <v>43425</v>
      </c>
      <c r="C778" s="390">
        <v>1516.73</v>
      </c>
      <c r="D778" s="393"/>
      <c r="E778" s="392">
        <f t="shared" si="0"/>
        <v>1.4223048426571072E-2</v>
      </c>
      <c r="F778" s="393"/>
      <c r="G778" s="381"/>
      <c r="H778" s="381"/>
      <c r="I778" s="381"/>
      <c r="J778" s="381"/>
      <c r="K778" s="381"/>
      <c r="L778" s="381"/>
      <c r="M778" s="381"/>
      <c r="N778" s="381"/>
      <c r="O778" s="381"/>
      <c r="P778" s="381"/>
      <c r="Q778" s="381"/>
      <c r="R778" s="381"/>
      <c r="S778" s="381"/>
    </row>
    <row r="779" spans="1:19" ht="12.75" customHeight="1">
      <c r="A779" s="381"/>
      <c r="B779" s="389">
        <v>43427</v>
      </c>
      <c r="C779" s="390">
        <v>1502.06</v>
      </c>
      <c r="D779" s="393"/>
      <c r="E779" s="392">
        <f t="shared" si="0"/>
        <v>-9.6721235816527029E-3</v>
      </c>
      <c r="F779" s="393"/>
      <c r="G779" s="381"/>
      <c r="H779" s="381"/>
      <c r="I779" s="381"/>
      <c r="J779" s="381"/>
      <c r="K779" s="381"/>
      <c r="L779" s="381"/>
      <c r="M779" s="381"/>
      <c r="N779" s="381"/>
      <c r="O779" s="381"/>
      <c r="P779" s="381"/>
      <c r="Q779" s="381"/>
      <c r="R779" s="381"/>
      <c r="S779" s="381"/>
    </row>
    <row r="780" spans="1:19" ht="12.75" customHeight="1">
      <c r="A780" s="381"/>
      <c r="B780" s="389">
        <v>43430</v>
      </c>
      <c r="C780" s="390">
        <v>1581.33</v>
      </c>
      <c r="D780" s="393"/>
      <c r="E780" s="392">
        <f t="shared" si="0"/>
        <v>5.2774190112245822E-2</v>
      </c>
      <c r="F780" s="393"/>
      <c r="G780" s="381"/>
      <c r="H780" s="381"/>
      <c r="I780" s="381"/>
      <c r="J780" s="381"/>
      <c r="K780" s="381"/>
      <c r="L780" s="381"/>
      <c r="M780" s="381"/>
      <c r="N780" s="381"/>
      <c r="O780" s="381"/>
      <c r="P780" s="381"/>
      <c r="Q780" s="381"/>
      <c r="R780" s="381"/>
      <c r="S780" s="381"/>
    </row>
    <row r="781" spans="1:19" ht="12.75" customHeight="1">
      <c r="A781" s="381"/>
      <c r="B781" s="389">
        <v>43431</v>
      </c>
      <c r="C781" s="390">
        <v>1581.42</v>
      </c>
      <c r="D781" s="393"/>
      <c r="E781" s="392">
        <f t="shared" si="0"/>
        <v>5.6914116598250075E-5</v>
      </c>
      <c r="F781" s="393"/>
      <c r="G781" s="381"/>
      <c r="H781" s="381"/>
      <c r="I781" s="381"/>
      <c r="J781" s="381"/>
      <c r="K781" s="381"/>
      <c r="L781" s="381"/>
      <c r="M781" s="381"/>
      <c r="N781" s="381"/>
      <c r="O781" s="381"/>
      <c r="P781" s="381"/>
      <c r="Q781" s="381"/>
      <c r="R781" s="381"/>
      <c r="S781" s="381"/>
    </row>
    <row r="782" spans="1:19" ht="12.75" customHeight="1">
      <c r="A782" s="381"/>
      <c r="B782" s="389">
        <v>43432</v>
      </c>
      <c r="C782" s="390">
        <v>1677.75</v>
      </c>
      <c r="D782" s="393"/>
      <c r="E782" s="392">
        <f t="shared" si="0"/>
        <v>6.0913609287855275E-2</v>
      </c>
      <c r="F782" s="393"/>
      <c r="G782" s="381"/>
      <c r="H782" s="381"/>
      <c r="I782" s="381"/>
      <c r="J782" s="381"/>
      <c r="K782" s="381"/>
      <c r="L782" s="381"/>
      <c r="M782" s="381"/>
      <c r="N782" s="381"/>
      <c r="O782" s="381"/>
      <c r="P782" s="381"/>
      <c r="Q782" s="381"/>
      <c r="R782" s="381"/>
      <c r="S782" s="381"/>
    </row>
    <row r="783" spans="1:19" ht="12.75" customHeight="1">
      <c r="A783" s="381"/>
      <c r="B783" s="389">
        <v>43433</v>
      </c>
      <c r="C783" s="390">
        <v>1673.57</v>
      </c>
      <c r="D783" s="393"/>
      <c r="E783" s="392">
        <f t="shared" si="0"/>
        <v>-2.4914319773506888E-3</v>
      </c>
      <c r="F783" s="393"/>
      <c r="G783" s="381"/>
      <c r="H783" s="381"/>
      <c r="I783" s="381"/>
      <c r="J783" s="381"/>
      <c r="K783" s="381"/>
      <c r="L783" s="381"/>
      <c r="M783" s="381"/>
      <c r="N783" s="381"/>
      <c r="O783" s="381"/>
      <c r="P783" s="381"/>
      <c r="Q783" s="381"/>
      <c r="R783" s="381"/>
      <c r="S783" s="381"/>
    </row>
    <row r="784" spans="1:19" ht="12.75" customHeight="1">
      <c r="A784" s="381"/>
      <c r="B784" s="389">
        <v>43434</v>
      </c>
      <c r="C784" s="390">
        <v>1690.17</v>
      </c>
      <c r="D784" s="393"/>
      <c r="E784" s="392">
        <f t="shared" si="0"/>
        <v>9.9189158505470498E-3</v>
      </c>
      <c r="F784" s="393"/>
      <c r="G784" s="381"/>
      <c r="H784" s="381"/>
      <c r="I784" s="381"/>
      <c r="J784" s="381"/>
      <c r="K784" s="381"/>
      <c r="L784" s="381"/>
      <c r="M784" s="381"/>
      <c r="N784" s="381"/>
      <c r="O784" s="381"/>
      <c r="P784" s="381"/>
      <c r="Q784" s="381"/>
      <c r="R784" s="381"/>
      <c r="S784" s="381"/>
    </row>
    <row r="785" spans="1:19" ht="12.75" customHeight="1">
      <c r="A785" s="381"/>
      <c r="B785" s="389">
        <v>43437</v>
      </c>
      <c r="C785" s="390">
        <v>1772.36</v>
      </c>
      <c r="D785" s="393"/>
      <c r="E785" s="392">
        <f t="shared" si="0"/>
        <v>4.8628244496115691E-2</v>
      </c>
      <c r="F785" s="393"/>
      <c r="G785" s="381"/>
      <c r="H785" s="381"/>
      <c r="I785" s="381"/>
      <c r="J785" s="381"/>
      <c r="K785" s="381"/>
      <c r="L785" s="381"/>
      <c r="M785" s="381"/>
      <c r="N785" s="381"/>
      <c r="O785" s="381"/>
      <c r="P785" s="381"/>
      <c r="Q785" s="381"/>
      <c r="R785" s="381"/>
      <c r="S785" s="381"/>
    </row>
    <row r="786" spans="1:19" ht="12.75" customHeight="1">
      <c r="A786" s="381"/>
      <c r="B786" s="389">
        <v>43438</v>
      </c>
      <c r="C786" s="390">
        <v>1668.4</v>
      </c>
      <c r="D786" s="393"/>
      <c r="E786" s="392">
        <f t="shared" si="0"/>
        <v>-5.8656254936920171E-2</v>
      </c>
      <c r="F786" s="393"/>
      <c r="G786" s="381"/>
      <c r="H786" s="381"/>
      <c r="I786" s="381"/>
      <c r="J786" s="381"/>
      <c r="K786" s="381"/>
      <c r="L786" s="381"/>
      <c r="M786" s="381"/>
      <c r="N786" s="381"/>
      <c r="O786" s="381"/>
      <c r="P786" s="381"/>
      <c r="Q786" s="381"/>
      <c r="R786" s="381"/>
      <c r="S786" s="381"/>
    </row>
    <row r="787" spans="1:19" ht="12.75" customHeight="1">
      <c r="A787" s="381"/>
      <c r="B787" s="389">
        <v>43440</v>
      </c>
      <c r="C787" s="390">
        <v>1699.19</v>
      </c>
      <c r="D787" s="393"/>
      <c r="E787" s="392">
        <f t="shared" si="0"/>
        <v>1.8454807000719331E-2</v>
      </c>
      <c r="F787" s="393"/>
      <c r="G787" s="381"/>
      <c r="H787" s="381"/>
      <c r="I787" s="381"/>
      <c r="J787" s="381"/>
      <c r="K787" s="381"/>
      <c r="L787" s="381"/>
      <c r="M787" s="381"/>
      <c r="N787" s="381"/>
      <c r="O787" s="381"/>
      <c r="P787" s="381"/>
      <c r="Q787" s="381"/>
      <c r="R787" s="381"/>
      <c r="S787" s="381"/>
    </row>
    <row r="788" spans="1:19" ht="12.75" customHeight="1">
      <c r="A788" s="381"/>
      <c r="B788" s="389">
        <v>43441</v>
      </c>
      <c r="C788" s="390">
        <v>1629.13</v>
      </c>
      <c r="D788" s="393"/>
      <c r="E788" s="392">
        <f t="shared" si="0"/>
        <v>-4.1231410260182733E-2</v>
      </c>
      <c r="F788" s="393"/>
      <c r="G788" s="381"/>
      <c r="H788" s="381"/>
      <c r="I788" s="381"/>
      <c r="J788" s="381"/>
      <c r="K788" s="381"/>
      <c r="L788" s="381"/>
      <c r="M788" s="381"/>
      <c r="N788" s="381"/>
      <c r="O788" s="381"/>
      <c r="P788" s="381"/>
      <c r="Q788" s="381"/>
      <c r="R788" s="381"/>
      <c r="S788" s="381"/>
    </row>
    <row r="789" spans="1:19" ht="12.75" customHeight="1">
      <c r="A789" s="381"/>
      <c r="B789" s="389">
        <v>43444</v>
      </c>
      <c r="C789" s="390">
        <v>1641.03</v>
      </c>
      <c r="D789" s="393"/>
      <c r="E789" s="392">
        <f t="shared" si="0"/>
        <v>7.304512224316051E-3</v>
      </c>
      <c r="F789" s="393"/>
      <c r="G789" s="381"/>
      <c r="H789" s="381"/>
      <c r="I789" s="381"/>
      <c r="J789" s="381"/>
      <c r="K789" s="381"/>
      <c r="L789" s="381"/>
      <c r="M789" s="381"/>
      <c r="N789" s="381"/>
      <c r="O789" s="381"/>
      <c r="P789" s="381"/>
      <c r="Q789" s="381"/>
      <c r="R789" s="381"/>
      <c r="S789" s="381"/>
    </row>
    <row r="790" spans="1:19" ht="12.75" customHeight="1">
      <c r="A790" s="381"/>
      <c r="B790" s="389">
        <v>43445</v>
      </c>
      <c r="C790" s="390">
        <v>1643.24</v>
      </c>
      <c r="D790" s="393"/>
      <c r="E790" s="392">
        <f t="shared" si="0"/>
        <v>1.3467151727879489E-3</v>
      </c>
      <c r="F790" s="393"/>
      <c r="G790" s="381"/>
      <c r="H790" s="381"/>
      <c r="I790" s="381"/>
      <c r="J790" s="381"/>
      <c r="K790" s="381"/>
      <c r="L790" s="381"/>
      <c r="M790" s="381"/>
      <c r="N790" s="381"/>
      <c r="O790" s="381"/>
      <c r="P790" s="381"/>
      <c r="Q790" s="381"/>
      <c r="R790" s="381"/>
      <c r="S790" s="381"/>
    </row>
    <row r="791" spans="1:19" ht="12.75" customHeight="1">
      <c r="A791" s="381"/>
      <c r="B791" s="389">
        <v>43446</v>
      </c>
      <c r="C791" s="390">
        <v>1663.54</v>
      </c>
      <c r="D791" s="393"/>
      <c r="E791" s="392">
        <f t="shared" si="0"/>
        <v>1.2353642803242249E-2</v>
      </c>
      <c r="F791" s="393"/>
      <c r="G791" s="381"/>
      <c r="H791" s="381"/>
      <c r="I791" s="381"/>
      <c r="J791" s="381"/>
      <c r="K791" s="381"/>
      <c r="L791" s="381"/>
      <c r="M791" s="381"/>
      <c r="N791" s="381"/>
      <c r="O791" s="381"/>
      <c r="P791" s="381"/>
      <c r="Q791" s="381"/>
      <c r="R791" s="381"/>
      <c r="S791" s="381"/>
    </row>
    <row r="792" spans="1:19" ht="12.75" customHeight="1">
      <c r="A792" s="381"/>
      <c r="B792" s="389">
        <v>43447</v>
      </c>
      <c r="C792" s="390">
        <v>1658.38</v>
      </c>
      <c r="D792" s="393"/>
      <c r="E792" s="392">
        <f t="shared" si="0"/>
        <v>-3.1018190124673106E-3</v>
      </c>
      <c r="F792" s="393"/>
      <c r="G792" s="381"/>
      <c r="H792" s="381"/>
      <c r="I792" s="381"/>
      <c r="J792" s="381"/>
      <c r="K792" s="381"/>
      <c r="L792" s="381"/>
      <c r="M792" s="381"/>
      <c r="N792" s="381"/>
      <c r="O792" s="381"/>
      <c r="P792" s="381"/>
      <c r="Q792" s="381"/>
      <c r="R792" s="381"/>
      <c r="S792" s="381"/>
    </row>
    <row r="793" spans="1:19" ht="12.75" customHeight="1">
      <c r="A793" s="381"/>
      <c r="B793" s="389">
        <v>43448</v>
      </c>
      <c r="C793" s="390">
        <v>1591.91</v>
      </c>
      <c r="D793" s="393"/>
      <c r="E793" s="392">
        <f t="shared" si="0"/>
        <v>-4.0081284144767748E-2</v>
      </c>
      <c r="F793" s="393"/>
      <c r="G793" s="381"/>
      <c r="H793" s="381"/>
      <c r="I793" s="381"/>
      <c r="J793" s="381"/>
      <c r="K793" s="381"/>
      <c r="L793" s="381"/>
      <c r="M793" s="381"/>
      <c r="N793" s="381"/>
      <c r="O793" s="381"/>
      <c r="P793" s="381"/>
      <c r="Q793" s="381"/>
      <c r="R793" s="381"/>
      <c r="S793" s="381"/>
    </row>
    <row r="794" spans="1:19" ht="12.75" customHeight="1">
      <c r="A794" s="381"/>
      <c r="B794" s="389">
        <v>43451</v>
      </c>
      <c r="C794" s="390">
        <v>1520.91</v>
      </c>
      <c r="D794" s="393"/>
      <c r="E794" s="392">
        <f t="shared" si="0"/>
        <v>-4.4600511335439852E-2</v>
      </c>
      <c r="F794" s="393"/>
      <c r="G794" s="381"/>
      <c r="H794" s="381"/>
      <c r="I794" s="381"/>
      <c r="J794" s="381"/>
      <c r="K794" s="381"/>
      <c r="L794" s="381"/>
      <c r="M794" s="381"/>
      <c r="N794" s="381"/>
      <c r="O794" s="381"/>
      <c r="P794" s="381"/>
      <c r="Q794" s="381"/>
      <c r="R794" s="381"/>
      <c r="S794" s="381"/>
    </row>
    <row r="795" spans="1:19" ht="12.75" customHeight="1">
      <c r="A795" s="381"/>
      <c r="B795" s="389">
        <v>43452</v>
      </c>
      <c r="C795" s="390">
        <v>1551.48</v>
      </c>
      <c r="D795" s="393"/>
      <c r="E795" s="392">
        <f t="shared" si="0"/>
        <v>2.0099808667179531E-2</v>
      </c>
      <c r="F795" s="393"/>
      <c r="G795" s="381"/>
      <c r="H795" s="381"/>
      <c r="I795" s="381"/>
      <c r="J795" s="381"/>
      <c r="K795" s="381"/>
      <c r="L795" s="381"/>
      <c r="M795" s="381"/>
      <c r="N795" s="381"/>
      <c r="O795" s="381"/>
      <c r="P795" s="381"/>
      <c r="Q795" s="381"/>
      <c r="R795" s="381"/>
      <c r="S795" s="381"/>
    </row>
    <row r="796" spans="1:19" ht="12.75" customHeight="1">
      <c r="A796" s="381"/>
      <c r="B796" s="389">
        <v>43453</v>
      </c>
      <c r="C796" s="390">
        <v>1495.08</v>
      </c>
      <c r="D796" s="393"/>
      <c r="E796" s="392">
        <f t="shared" si="0"/>
        <v>-3.6352386108747803E-2</v>
      </c>
      <c r="F796" s="393"/>
      <c r="G796" s="381"/>
      <c r="H796" s="381"/>
      <c r="I796" s="381"/>
      <c r="J796" s="381"/>
      <c r="K796" s="381"/>
      <c r="L796" s="381"/>
      <c r="M796" s="381"/>
      <c r="N796" s="381"/>
      <c r="O796" s="381"/>
      <c r="P796" s="381"/>
      <c r="Q796" s="381"/>
      <c r="R796" s="381"/>
      <c r="S796" s="381"/>
    </row>
    <row r="797" spans="1:19" ht="12.75" customHeight="1">
      <c r="A797" s="381"/>
      <c r="B797" s="389">
        <v>43454</v>
      </c>
      <c r="C797" s="390">
        <v>1460.83</v>
      </c>
      <c r="D797" s="393"/>
      <c r="E797" s="392">
        <f t="shared" si="0"/>
        <v>-2.2908473125183959E-2</v>
      </c>
      <c r="F797" s="393"/>
      <c r="G797" s="381"/>
      <c r="H797" s="381"/>
      <c r="I797" s="381"/>
      <c r="J797" s="381"/>
      <c r="K797" s="381"/>
      <c r="L797" s="381"/>
      <c r="M797" s="381"/>
      <c r="N797" s="381"/>
      <c r="O797" s="381"/>
      <c r="P797" s="381"/>
      <c r="Q797" s="381"/>
      <c r="R797" s="381"/>
      <c r="S797" s="381"/>
    </row>
    <row r="798" spans="1:19" ht="12.75" customHeight="1">
      <c r="A798" s="381"/>
      <c r="B798" s="389">
        <v>43455</v>
      </c>
      <c r="C798" s="390">
        <v>1377.45</v>
      </c>
      <c r="D798" s="393"/>
      <c r="E798" s="392">
        <f t="shared" si="0"/>
        <v>-5.7077141077332638E-2</v>
      </c>
      <c r="F798" s="393"/>
      <c r="G798" s="381"/>
      <c r="H798" s="381"/>
      <c r="I798" s="381"/>
      <c r="J798" s="381"/>
      <c r="K798" s="381"/>
      <c r="L798" s="381"/>
      <c r="M798" s="381"/>
      <c r="N798" s="381"/>
      <c r="O798" s="381"/>
      <c r="P798" s="381"/>
      <c r="Q798" s="381"/>
      <c r="R798" s="381"/>
      <c r="S798" s="381"/>
    </row>
    <row r="799" spans="1:19" ht="12.75" customHeight="1">
      <c r="A799" s="381"/>
      <c r="B799" s="389">
        <v>43458</v>
      </c>
      <c r="C799" s="390">
        <v>1343.96</v>
      </c>
      <c r="D799" s="393"/>
      <c r="E799" s="392">
        <f t="shared" si="0"/>
        <v>-2.4313042215688419E-2</v>
      </c>
      <c r="F799" s="393"/>
      <c r="G799" s="381"/>
      <c r="H799" s="381"/>
      <c r="I799" s="381"/>
      <c r="J799" s="381"/>
      <c r="K799" s="381"/>
      <c r="L799" s="381"/>
      <c r="M799" s="381"/>
      <c r="N799" s="381"/>
      <c r="O799" s="381"/>
      <c r="P799" s="381"/>
      <c r="Q799" s="381"/>
      <c r="R799" s="381"/>
      <c r="S799" s="381"/>
    </row>
    <row r="800" spans="1:19" ht="12.75" customHeight="1">
      <c r="A800" s="381"/>
      <c r="B800" s="389">
        <v>43460</v>
      </c>
      <c r="C800" s="390">
        <v>1470.9</v>
      </c>
      <c r="D800" s="393"/>
      <c r="E800" s="392">
        <f t="shared" si="0"/>
        <v>9.4452215839757159E-2</v>
      </c>
      <c r="F800" s="393"/>
      <c r="G800" s="381"/>
      <c r="H800" s="381"/>
      <c r="I800" s="381"/>
      <c r="J800" s="381"/>
      <c r="K800" s="381"/>
      <c r="L800" s="381"/>
      <c r="M800" s="381"/>
      <c r="N800" s="381"/>
      <c r="O800" s="381"/>
      <c r="P800" s="381"/>
      <c r="Q800" s="381"/>
      <c r="R800" s="381"/>
      <c r="S800" s="381"/>
    </row>
    <row r="801" spans="1:19" ht="12.75" customHeight="1">
      <c r="A801" s="381"/>
      <c r="B801" s="389">
        <v>43461</v>
      </c>
      <c r="C801" s="390">
        <v>1461.64</v>
      </c>
      <c r="D801" s="393"/>
      <c r="E801" s="392">
        <f t="shared" si="0"/>
        <v>-6.2954653613433997E-3</v>
      </c>
      <c r="F801" s="393"/>
      <c r="G801" s="381"/>
      <c r="H801" s="381"/>
      <c r="I801" s="381"/>
      <c r="J801" s="381"/>
      <c r="K801" s="381"/>
      <c r="L801" s="381"/>
      <c r="M801" s="381"/>
      <c r="N801" s="381"/>
      <c r="O801" s="381"/>
      <c r="P801" s="381"/>
      <c r="Q801" s="381"/>
      <c r="R801" s="381"/>
      <c r="S801" s="381"/>
    </row>
    <row r="802" spans="1:19" ht="12.75" customHeight="1">
      <c r="A802" s="381"/>
      <c r="B802" s="389">
        <v>43462</v>
      </c>
      <c r="C802" s="390">
        <v>1478.02</v>
      </c>
      <c r="D802" s="393"/>
      <c r="E802" s="392">
        <f t="shared" si="0"/>
        <v>1.120658985796763E-2</v>
      </c>
      <c r="F802" s="393"/>
      <c r="G802" s="381"/>
      <c r="H802" s="381"/>
      <c r="I802" s="381"/>
      <c r="J802" s="381"/>
      <c r="K802" s="381"/>
      <c r="L802" s="381"/>
      <c r="M802" s="381"/>
      <c r="N802" s="381"/>
      <c r="O802" s="381"/>
      <c r="P802" s="381"/>
      <c r="Q802" s="381"/>
      <c r="R802" s="381"/>
      <c r="S802" s="381"/>
    </row>
    <row r="803" spans="1:19" ht="12.75" customHeight="1">
      <c r="A803" s="381"/>
      <c r="B803" s="389">
        <v>43465</v>
      </c>
      <c r="C803" s="390">
        <v>1501.97</v>
      </c>
      <c r="D803" s="393"/>
      <c r="E803" s="392">
        <f t="shared" si="0"/>
        <v>1.6204110905129854E-2</v>
      </c>
      <c r="F803" s="393"/>
      <c r="G803" s="381"/>
      <c r="H803" s="381"/>
      <c r="I803" s="381"/>
      <c r="J803" s="381"/>
      <c r="K803" s="381"/>
      <c r="L803" s="381"/>
      <c r="M803" s="381"/>
      <c r="N803" s="381"/>
      <c r="O803" s="381"/>
      <c r="P803" s="381"/>
      <c r="Q803" s="381"/>
      <c r="R803" s="381"/>
      <c r="S803" s="381"/>
    </row>
    <row r="804" spans="1:19" ht="12.75" customHeight="1">
      <c r="A804" s="381"/>
      <c r="B804" s="389">
        <v>43466</v>
      </c>
      <c r="C804" s="390">
        <v>1501.97</v>
      </c>
      <c r="D804" s="393"/>
      <c r="E804" s="392">
        <f t="shared" si="0"/>
        <v>0</v>
      </c>
      <c r="F804" s="393"/>
      <c r="G804" s="381"/>
      <c r="H804" s="381"/>
      <c r="I804" s="381"/>
      <c r="J804" s="381"/>
      <c r="K804" s="381"/>
      <c r="L804" s="381"/>
      <c r="M804" s="381"/>
      <c r="N804" s="381"/>
      <c r="O804" s="381"/>
      <c r="P804" s="381"/>
      <c r="Q804" s="381"/>
      <c r="R804" s="381"/>
      <c r="S804" s="381"/>
    </row>
    <row r="805" spans="1:19" ht="12.75" customHeight="1">
      <c r="A805" s="381"/>
      <c r="B805" s="389">
        <v>43467</v>
      </c>
      <c r="C805" s="390">
        <v>1539.13</v>
      </c>
      <c r="D805" s="393"/>
      <c r="E805" s="392">
        <f t="shared" si="0"/>
        <v>2.4740840362990069E-2</v>
      </c>
      <c r="F805" s="393"/>
      <c r="G805" s="381"/>
      <c r="H805" s="381"/>
      <c r="I805" s="381"/>
      <c r="J805" s="381"/>
      <c r="K805" s="381"/>
      <c r="L805" s="381"/>
      <c r="M805" s="381"/>
      <c r="N805" s="381"/>
      <c r="O805" s="381"/>
      <c r="P805" s="381"/>
      <c r="Q805" s="381"/>
      <c r="R805" s="381"/>
      <c r="S805" s="381"/>
    </row>
    <row r="806" spans="1:19" ht="12.75" customHeight="1">
      <c r="A806" s="381"/>
      <c r="B806" s="389">
        <v>43468</v>
      </c>
      <c r="C806" s="390">
        <v>1500.28</v>
      </c>
      <c r="D806" s="393"/>
      <c r="E806" s="392">
        <f t="shared" si="0"/>
        <v>-2.5241532554105328E-2</v>
      </c>
      <c r="F806" s="393"/>
      <c r="G806" s="381"/>
      <c r="H806" s="381"/>
      <c r="I806" s="381"/>
      <c r="J806" s="381"/>
      <c r="K806" s="381"/>
      <c r="L806" s="381"/>
      <c r="M806" s="381"/>
      <c r="N806" s="381"/>
      <c r="O806" s="381"/>
      <c r="P806" s="381"/>
      <c r="Q806" s="381"/>
      <c r="R806" s="381"/>
      <c r="S806" s="381"/>
    </row>
    <row r="807" spans="1:19" ht="12.75" customHeight="1">
      <c r="A807" s="381"/>
      <c r="B807" s="389">
        <v>43469</v>
      </c>
      <c r="C807" s="390">
        <v>1575.39</v>
      </c>
      <c r="D807" s="393"/>
      <c r="E807" s="392">
        <f t="shared" si="0"/>
        <v>5.0063988055563113E-2</v>
      </c>
      <c r="F807" s="393"/>
      <c r="G807" s="381"/>
      <c r="H807" s="381"/>
      <c r="I807" s="381"/>
      <c r="J807" s="381"/>
      <c r="K807" s="381"/>
      <c r="L807" s="381"/>
      <c r="M807" s="381"/>
      <c r="N807" s="381"/>
      <c r="O807" s="381"/>
      <c r="P807" s="381"/>
      <c r="Q807" s="381"/>
      <c r="R807" s="381"/>
      <c r="S807" s="381"/>
    </row>
    <row r="808" spans="1:19" ht="12.75" customHeight="1">
      <c r="A808" s="381"/>
      <c r="B808" s="389">
        <v>43472</v>
      </c>
      <c r="C808" s="390">
        <v>1629.51</v>
      </c>
      <c r="D808" s="393"/>
      <c r="E808" s="392">
        <f t="shared" si="0"/>
        <v>3.4353398206158348E-2</v>
      </c>
      <c r="F808" s="393"/>
      <c r="G808" s="381"/>
      <c r="H808" s="381"/>
      <c r="I808" s="381"/>
      <c r="J808" s="381"/>
      <c r="K808" s="381"/>
      <c r="L808" s="381"/>
      <c r="M808" s="381"/>
      <c r="N808" s="381"/>
      <c r="O808" s="381"/>
      <c r="P808" s="381"/>
      <c r="Q808" s="381"/>
      <c r="R808" s="381"/>
      <c r="S808" s="381"/>
    </row>
    <row r="809" spans="1:19" ht="12.75" customHeight="1">
      <c r="A809" s="381"/>
      <c r="B809" s="389">
        <v>43473</v>
      </c>
      <c r="C809" s="390">
        <v>1656.58</v>
      </c>
      <c r="D809" s="393"/>
      <c r="E809" s="392">
        <f t="shared" si="0"/>
        <v>1.6612355861578054E-2</v>
      </c>
      <c r="F809" s="393"/>
      <c r="G809" s="381"/>
      <c r="H809" s="381"/>
      <c r="I809" s="381"/>
      <c r="J809" s="381"/>
      <c r="K809" s="381"/>
      <c r="L809" s="381"/>
      <c r="M809" s="381"/>
      <c r="N809" s="381"/>
      <c r="O809" s="381"/>
      <c r="P809" s="381"/>
      <c r="Q809" s="381"/>
      <c r="R809" s="381"/>
      <c r="S809" s="381"/>
    </row>
    <row r="810" spans="1:19" ht="12.75" customHeight="1">
      <c r="A810" s="381"/>
      <c r="B810" s="389">
        <v>43474</v>
      </c>
      <c r="C810" s="390">
        <v>1659.42</v>
      </c>
      <c r="D810" s="393"/>
      <c r="E810" s="392">
        <f t="shared" si="0"/>
        <v>1.7143753999204758E-3</v>
      </c>
      <c r="F810" s="393"/>
      <c r="G810" s="381"/>
      <c r="H810" s="381"/>
      <c r="I810" s="381"/>
      <c r="J810" s="381"/>
      <c r="K810" s="381"/>
      <c r="L810" s="381"/>
      <c r="M810" s="381"/>
      <c r="N810" s="381"/>
      <c r="O810" s="381"/>
      <c r="P810" s="381"/>
      <c r="Q810" s="381"/>
      <c r="R810" s="381"/>
      <c r="S810" s="381"/>
    </row>
    <row r="811" spans="1:19" ht="12.75" customHeight="1">
      <c r="A811" s="381"/>
      <c r="B811" s="389">
        <v>43475</v>
      </c>
      <c r="C811" s="390">
        <v>1656.22</v>
      </c>
      <c r="D811" s="393"/>
      <c r="E811" s="392">
        <f t="shared" si="0"/>
        <v>-1.9283846163117291E-3</v>
      </c>
      <c r="F811" s="393"/>
      <c r="G811" s="381"/>
      <c r="H811" s="381"/>
      <c r="I811" s="381"/>
      <c r="J811" s="381"/>
      <c r="K811" s="381"/>
      <c r="L811" s="381"/>
      <c r="M811" s="381"/>
      <c r="N811" s="381"/>
      <c r="O811" s="381"/>
      <c r="P811" s="381"/>
      <c r="Q811" s="381"/>
      <c r="R811" s="381"/>
      <c r="S811" s="381"/>
    </row>
    <row r="812" spans="1:19" ht="12.75" customHeight="1">
      <c r="A812" s="381"/>
      <c r="B812" s="389">
        <v>43476</v>
      </c>
      <c r="C812" s="390">
        <v>1640.56</v>
      </c>
      <c r="D812" s="393"/>
      <c r="E812" s="392">
        <f t="shared" si="0"/>
        <v>-9.4552656048110251E-3</v>
      </c>
      <c r="F812" s="393"/>
      <c r="G812" s="381"/>
      <c r="H812" s="381"/>
      <c r="I812" s="381"/>
      <c r="J812" s="381"/>
      <c r="K812" s="381"/>
      <c r="L812" s="381"/>
      <c r="M812" s="381"/>
      <c r="N812" s="381"/>
      <c r="O812" s="381"/>
      <c r="P812" s="381"/>
      <c r="Q812" s="381"/>
      <c r="R812" s="381"/>
      <c r="S812" s="381"/>
    </row>
    <row r="813" spans="1:19" ht="12.75" customHeight="1">
      <c r="A813" s="381"/>
      <c r="B813" s="389">
        <v>43479</v>
      </c>
      <c r="C813" s="390">
        <v>1617.21</v>
      </c>
      <c r="D813" s="393"/>
      <c r="E813" s="392">
        <f t="shared" si="0"/>
        <v>-1.4232944848100559E-2</v>
      </c>
      <c r="F813" s="393"/>
      <c r="G813" s="381"/>
      <c r="H813" s="381"/>
      <c r="I813" s="381"/>
      <c r="J813" s="381"/>
      <c r="K813" s="381"/>
      <c r="L813" s="381"/>
      <c r="M813" s="381"/>
      <c r="N813" s="381"/>
      <c r="O813" s="381"/>
      <c r="P813" s="381"/>
      <c r="Q813" s="381"/>
      <c r="R813" s="381"/>
      <c r="S813" s="381"/>
    </row>
    <row r="814" spans="1:19" ht="12.75" customHeight="1">
      <c r="A814" s="381"/>
      <c r="B814" s="389">
        <v>43480</v>
      </c>
      <c r="C814" s="390">
        <v>1674.56</v>
      </c>
      <c r="D814" s="393"/>
      <c r="E814" s="392">
        <f t="shared" si="0"/>
        <v>3.5462308543726451E-2</v>
      </c>
      <c r="F814" s="393"/>
      <c r="G814" s="381"/>
      <c r="H814" s="381"/>
      <c r="I814" s="381"/>
      <c r="J814" s="381"/>
      <c r="K814" s="381"/>
      <c r="L814" s="381"/>
      <c r="M814" s="381"/>
      <c r="N814" s="381"/>
      <c r="O814" s="381"/>
      <c r="P814" s="381"/>
      <c r="Q814" s="381"/>
      <c r="R814" s="381"/>
      <c r="S814" s="381"/>
    </row>
    <row r="815" spans="1:19" ht="12.75" customHeight="1">
      <c r="A815" s="381"/>
      <c r="B815" s="389">
        <v>43481</v>
      </c>
      <c r="C815" s="390">
        <v>1683.78</v>
      </c>
      <c r="D815" s="393"/>
      <c r="E815" s="392">
        <f t="shared" si="0"/>
        <v>5.5059239442003527E-3</v>
      </c>
      <c r="F815" s="393"/>
      <c r="G815" s="381"/>
      <c r="H815" s="381"/>
      <c r="I815" s="381"/>
      <c r="J815" s="381"/>
      <c r="K815" s="381"/>
      <c r="L815" s="381"/>
      <c r="M815" s="381"/>
      <c r="N815" s="381"/>
      <c r="O815" s="381"/>
      <c r="P815" s="381"/>
      <c r="Q815" s="381"/>
      <c r="R815" s="381"/>
      <c r="S815" s="381"/>
    </row>
    <row r="816" spans="1:19" ht="12.75" customHeight="1">
      <c r="A816" s="381"/>
      <c r="B816" s="389">
        <v>43482</v>
      </c>
      <c r="C816" s="390">
        <v>1693.22</v>
      </c>
      <c r="D816" s="393"/>
      <c r="E816" s="392">
        <f t="shared" si="0"/>
        <v>5.6064331444725113E-3</v>
      </c>
      <c r="F816" s="393"/>
      <c r="G816" s="381"/>
      <c r="H816" s="381"/>
      <c r="I816" s="381"/>
      <c r="J816" s="381"/>
      <c r="K816" s="381"/>
      <c r="L816" s="381"/>
      <c r="M816" s="381"/>
      <c r="N816" s="381"/>
      <c r="O816" s="381"/>
      <c r="P816" s="381"/>
      <c r="Q816" s="381"/>
      <c r="R816" s="381"/>
      <c r="S816" s="381"/>
    </row>
    <row r="817" spans="1:19" ht="12.75" customHeight="1">
      <c r="A817" s="381"/>
      <c r="B817" s="389">
        <v>43483</v>
      </c>
      <c r="C817" s="390">
        <v>1696.2</v>
      </c>
      <c r="D817" s="393"/>
      <c r="E817" s="392">
        <f t="shared" si="0"/>
        <v>1.7599603123044094E-3</v>
      </c>
      <c r="F817" s="393"/>
      <c r="G817" s="381"/>
      <c r="H817" s="381"/>
      <c r="I817" s="381"/>
      <c r="J817" s="381"/>
      <c r="K817" s="381"/>
      <c r="L817" s="381"/>
      <c r="M817" s="381"/>
      <c r="N817" s="381"/>
      <c r="O817" s="381"/>
      <c r="P817" s="381"/>
      <c r="Q817" s="381"/>
      <c r="R817" s="381"/>
      <c r="S817" s="381"/>
    </row>
    <row r="818" spans="1:19" ht="12.75" customHeight="1">
      <c r="A818" s="381"/>
      <c r="B818" s="389">
        <v>43486</v>
      </c>
      <c r="C818" s="390">
        <v>1696.2</v>
      </c>
      <c r="D818" s="393"/>
      <c r="E818" s="392">
        <f t="shared" si="0"/>
        <v>0</v>
      </c>
      <c r="F818" s="393"/>
      <c r="G818" s="381"/>
      <c r="H818" s="381"/>
      <c r="I818" s="381"/>
      <c r="J818" s="381"/>
      <c r="K818" s="381"/>
      <c r="L818" s="381"/>
      <c r="M818" s="381"/>
      <c r="N818" s="381"/>
      <c r="O818" s="381"/>
      <c r="P818" s="381"/>
      <c r="Q818" s="381"/>
      <c r="R818" s="381"/>
      <c r="S818" s="381"/>
    </row>
    <row r="819" spans="1:19" ht="12.75" customHeight="1">
      <c r="A819" s="381"/>
      <c r="B819" s="389">
        <v>43487</v>
      </c>
      <c r="C819" s="390">
        <v>1632.17</v>
      </c>
      <c r="D819" s="393"/>
      <c r="E819" s="392">
        <f t="shared" si="0"/>
        <v>-3.7749086192665926E-2</v>
      </c>
      <c r="F819" s="393"/>
      <c r="G819" s="381"/>
      <c r="H819" s="381"/>
      <c r="I819" s="381"/>
      <c r="J819" s="381"/>
      <c r="K819" s="381"/>
      <c r="L819" s="381"/>
      <c r="M819" s="381"/>
      <c r="N819" s="381"/>
      <c r="O819" s="381"/>
      <c r="P819" s="381"/>
      <c r="Q819" s="381"/>
      <c r="R819" s="381"/>
      <c r="S819" s="381"/>
    </row>
    <row r="820" spans="1:19" ht="12.75" customHeight="1">
      <c r="A820" s="381"/>
      <c r="B820" s="389">
        <v>43488</v>
      </c>
      <c r="C820" s="390">
        <v>1640.02</v>
      </c>
      <c r="D820" s="393"/>
      <c r="E820" s="392">
        <f t="shared" si="0"/>
        <v>4.8095480250218703E-3</v>
      </c>
      <c r="F820" s="393"/>
      <c r="G820" s="381"/>
      <c r="H820" s="381"/>
      <c r="I820" s="381"/>
      <c r="J820" s="381"/>
      <c r="K820" s="381"/>
      <c r="L820" s="381"/>
      <c r="M820" s="381"/>
      <c r="N820" s="381"/>
      <c r="O820" s="381"/>
      <c r="P820" s="381"/>
      <c r="Q820" s="381"/>
      <c r="R820" s="381"/>
      <c r="S820" s="381"/>
    </row>
    <row r="821" spans="1:19" ht="12.75" customHeight="1">
      <c r="A821" s="381"/>
      <c r="B821" s="389">
        <v>43489</v>
      </c>
      <c r="C821" s="390">
        <v>1654.93</v>
      </c>
      <c r="D821" s="393"/>
      <c r="E821" s="392">
        <f t="shared" si="0"/>
        <v>9.0913525444811238E-3</v>
      </c>
      <c r="F821" s="393"/>
      <c r="G821" s="381"/>
      <c r="H821" s="381"/>
      <c r="I821" s="381"/>
      <c r="J821" s="381"/>
      <c r="K821" s="381"/>
      <c r="L821" s="381"/>
      <c r="M821" s="381"/>
      <c r="N821" s="381"/>
      <c r="O821" s="381"/>
      <c r="P821" s="381"/>
      <c r="Q821" s="381"/>
      <c r="R821" s="381"/>
      <c r="S821" s="381"/>
    </row>
    <row r="822" spans="1:19" ht="12.75" customHeight="1">
      <c r="A822" s="381"/>
      <c r="B822" s="389">
        <v>43490</v>
      </c>
      <c r="C822" s="390">
        <v>1670.57</v>
      </c>
      <c r="D822" s="393"/>
      <c r="E822" s="392">
        <f t="shared" si="0"/>
        <v>9.4505507785827003E-3</v>
      </c>
      <c r="F822" s="393"/>
      <c r="G822" s="381"/>
      <c r="H822" s="381"/>
      <c r="I822" s="381"/>
      <c r="J822" s="381"/>
      <c r="K822" s="381"/>
      <c r="L822" s="381"/>
      <c r="M822" s="381"/>
      <c r="N822" s="381"/>
      <c r="O822" s="381"/>
      <c r="P822" s="381"/>
      <c r="Q822" s="381"/>
      <c r="R822" s="381"/>
      <c r="S822" s="381"/>
    </row>
    <row r="823" spans="1:19" ht="12.75" customHeight="1">
      <c r="A823" s="381"/>
      <c r="B823" s="389">
        <v>43493</v>
      </c>
      <c r="C823" s="390">
        <v>1637.89</v>
      </c>
      <c r="D823" s="393"/>
      <c r="E823" s="392">
        <f t="shared" si="0"/>
        <v>-1.9562185361882367E-2</v>
      </c>
      <c r="F823" s="393"/>
      <c r="G823" s="381"/>
      <c r="H823" s="381"/>
      <c r="I823" s="381"/>
      <c r="J823" s="381"/>
      <c r="K823" s="381"/>
      <c r="L823" s="381"/>
      <c r="M823" s="381"/>
      <c r="N823" s="381"/>
      <c r="O823" s="381"/>
      <c r="P823" s="381"/>
      <c r="Q823" s="381"/>
      <c r="R823" s="381"/>
      <c r="S823" s="381"/>
    </row>
    <row r="824" spans="1:19" ht="12.75" customHeight="1">
      <c r="A824" s="381"/>
      <c r="B824" s="389">
        <v>43494</v>
      </c>
      <c r="C824" s="390">
        <v>1593.88</v>
      </c>
      <c r="D824" s="393"/>
      <c r="E824" s="392">
        <f t="shared" si="0"/>
        <v>-2.6869936320509935E-2</v>
      </c>
      <c r="F824" s="393"/>
      <c r="G824" s="381"/>
      <c r="H824" s="381"/>
      <c r="I824" s="381"/>
      <c r="J824" s="381"/>
      <c r="K824" s="381"/>
      <c r="L824" s="381"/>
      <c r="M824" s="381"/>
      <c r="N824" s="381"/>
      <c r="O824" s="381"/>
      <c r="P824" s="381"/>
      <c r="Q824" s="381"/>
      <c r="R824" s="381"/>
      <c r="S824" s="381"/>
    </row>
    <row r="825" spans="1:19" ht="12.75" customHeight="1">
      <c r="A825" s="381"/>
      <c r="B825" s="389">
        <v>43495</v>
      </c>
      <c r="C825" s="390">
        <v>1670.43</v>
      </c>
      <c r="D825" s="393"/>
      <c r="E825" s="392">
        <f t="shared" si="0"/>
        <v>4.802745501543404E-2</v>
      </c>
      <c r="F825" s="393"/>
      <c r="G825" s="381"/>
      <c r="H825" s="381"/>
      <c r="I825" s="381"/>
      <c r="J825" s="381"/>
      <c r="K825" s="381"/>
      <c r="L825" s="381"/>
      <c r="M825" s="381"/>
      <c r="N825" s="381"/>
      <c r="O825" s="381"/>
      <c r="P825" s="381"/>
      <c r="Q825" s="381"/>
      <c r="R825" s="381"/>
      <c r="S825" s="381"/>
    </row>
    <row r="826" spans="1:19" ht="12.75" customHeight="1">
      <c r="A826" s="381"/>
      <c r="B826" s="389">
        <v>43496</v>
      </c>
      <c r="C826" s="390">
        <v>1718.73</v>
      </c>
      <c r="D826" s="393"/>
      <c r="E826" s="392">
        <f t="shared" si="0"/>
        <v>2.8914710583502368E-2</v>
      </c>
      <c r="F826" s="393"/>
      <c r="G826" s="381"/>
      <c r="H826" s="381"/>
      <c r="I826" s="381"/>
      <c r="J826" s="381"/>
      <c r="K826" s="381"/>
      <c r="L826" s="381"/>
      <c r="M826" s="381"/>
      <c r="N826" s="381"/>
      <c r="O826" s="381"/>
      <c r="P826" s="381"/>
      <c r="Q826" s="381"/>
      <c r="R826" s="381"/>
      <c r="S826" s="381"/>
    </row>
    <row r="827" spans="1:19" ht="12.75" customHeight="1">
      <c r="A827" s="381"/>
      <c r="B827" s="389">
        <v>43497</v>
      </c>
      <c r="C827" s="390">
        <v>1626.23</v>
      </c>
      <c r="D827" s="393"/>
      <c r="E827" s="392">
        <f t="shared" si="0"/>
        <v>-5.3818808073403002E-2</v>
      </c>
      <c r="F827" s="393"/>
      <c r="G827" s="381"/>
      <c r="H827" s="381"/>
      <c r="I827" s="381"/>
      <c r="J827" s="381"/>
      <c r="K827" s="381"/>
      <c r="L827" s="381"/>
      <c r="M827" s="381"/>
      <c r="N827" s="381"/>
      <c r="O827" s="381"/>
      <c r="P827" s="381"/>
      <c r="Q827" s="381"/>
      <c r="R827" s="381"/>
      <c r="S827" s="381"/>
    </row>
    <row r="828" spans="1:19" ht="12.75" customHeight="1">
      <c r="A828" s="381"/>
      <c r="B828" s="389">
        <v>43500</v>
      </c>
      <c r="C828" s="390">
        <v>1633.31</v>
      </c>
      <c r="D828" s="393"/>
      <c r="E828" s="392">
        <f t="shared" si="0"/>
        <v>4.3536277156366321E-3</v>
      </c>
      <c r="F828" s="393"/>
      <c r="G828" s="381"/>
      <c r="H828" s="381"/>
      <c r="I828" s="381"/>
      <c r="J828" s="381"/>
      <c r="K828" s="381"/>
      <c r="L828" s="381"/>
      <c r="M828" s="381"/>
      <c r="N828" s="381"/>
      <c r="O828" s="381"/>
      <c r="P828" s="381"/>
      <c r="Q828" s="381"/>
      <c r="R828" s="381"/>
      <c r="S828" s="381"/>
    </row>
    <row r="829" spans="1:19" ht="12.75" customHeight="1">
      <c r="A829" s="381"/>
      <c r="B829" s="389">
        <v>43501</v>
      </c>
      <c r="C829" s="390">
        <v>1658.81</v>
      </c>
      <c r="D829" s="393"/>
      <c r="E829" s="392">
        <f t="shared" si="0"/>
        <v>1.5612467933215468E-2</v>
      </c>
      <c r="F829" s="393"/>
      <c r="G829" s="381"/>
      <c r="H829" s="381"/>
      <c r="I829" s="381"/>
      <c r="J829" s="381"/>
      <c r="K829" s="381"/>
      <c r="L829" s="381"/>
      <c r="M829" s="381"/>
      <c r="N829" s="381"/>
      <c r="O829" s="381"/>
      <c r="P829" s="381"/>
      <c r="Q829" s="381"/>
      <c r="R829" s="381"/>
      <c r="S829" s="381"/>
    </row>
    <row r="830" spans="1:19" ht="12.75" customHeight="1">
      <c r="A830" s="381"/>
      <c r="B830" s="389">
        <v>43502</v>
      </c>
      <c r="C830" s="390">
        <v>1640.26</v>
      </c>
      <c r="D830" s="393"/>
      <c r="E830" s="392">
        <f t="shared" si="0"/>
        <v>-1.1182715320018577E-2</v>
      </c>
      <c r="F830" s="393"/>
      <c r="G830" s="381"/>
      <c r="H830" s="381"/>
      <c r="I830" s="381"/>
      <c r="J830" s="381"/>
      <c r="K830" s="381"/>
      <c r="L830" s="381"/>
      <c r="M830" s="381"/>
      <c r="N830" s="381"/>
      <c r="O830" s="381"/>
      <c r="P830" s="381"/>
      <c r="Q830" s="381"/>
      <c r="R830" s="381"/>
      <c r="S830" s="381"/>
    </row>
    <row r="831" spans="1:19" ht="12.75" customHeight="1">
      <c r="A831" s="381"/>
      <c r="B831" s="389">
        <v>43503</v>
      </c>
      <c r="C831" s="390">
        <v>1614.37</v>
      </c>
      <c r="D831" s="393"/>
      <c r="E831" s="392">
        <f t="shared" si="0"/>
        <v>-1.5784083011230021E-2</v>
      </c>
      <c r="F831" s="393"/>
      <c r="G831" s="381"/>
      <c r="H831" s="381"/>
      <c r="I831" s="381"/>
      <c r="J831" s="381"/>
      <c r="K831" s="381"/>
      <c r="L831" s="381"/>
      <c r="M831" s="381"/>
      <c r="N831" s="381"/>
      <c r="O831" s="381"/>
      <c r="P831" s="381"/>
      <c r="Q831" s="381"/>
      <c r="R831" s="381"/>
      <c r="S831" s="381"/>
    </row>
    <row r="832" spans="1:19" ht="12.75" customHeight="1">
      <c r="A832" s="381"/>
      <c r="B832" s="389">
        <v>43504</v>
      </c>
      <c r="C832" s="390">
        <v>1588.22</v>
      </c>
      <c r="D832" s="393"/>
      <c r="E832" s="392">
        <f t="shared" si="0"/>
        <v>-1.6198269293904E-2</v>
      </c>
      <c r="F832" s="393"/>
      <c r="G832" s="381"/>
      <c r="H832" s="381"/>
      <c r="I832" s="381"/>
      <c r="J832" s="381"/>
      <c r="K832" s="381"/>
      <c r="L832" s="381"/>
      <c r="M832" s="381"/>
      <c r="N832" s="381"/>
      <c r="O832" s="381"/>
      <c r="P832" s="381"/>
      <c r="Q832" s="381"/>
      <c r="R832" s="381"/>
      <c r="S832" s="381"/>
    </row>
    <row r="833" spans="1:19" ht="12.75" customHeight="1">
      <c r="A833" s="381"/>
      <c r="B833" s="389">
        <v>43507</v>
      </c>
      <c r="C833" s="390">
        <v>1591</v>
      </c>
      <c r="D833" s="393"/>
      <c r="E833" s="392">
        <f t="shared" si="0"/>
        <v>1.750387225951E-3</v>
      </c>
      <c r="F833" s="393"/>
      <c r="G833" s="381"/>
      <c r="H833" s="381"/>
      <c r="I833" s="381"/>
      <c r="J833" s="381"/>
      <c r="K833" s="381"/>
      <c r="L833" s="381"/>
      <c r="M833" s="381"/>
      <c r="N833" s="381"/>
      <c r="O833" s="381"/>
      <c r="P833" s="381"/>
      <c r="Q833" s="381"/>
      <c r="R833" s="381"/>
      <c r="S833" s="381"/>
    </row>
    <row r="834" spans="1:19" ht="12.75" customHeight="1">
      <c r="A834" s="381"/>
      <c r="B834" s="389">
        <v>43508</v>
      </c>
      <c r="C834" s="390">
        <v>1638.01</v>
      </c>
      <c r="D834" s="393"/>
      <c r="E834" s="392">
        <f t="shared" si="0"/>
        <v>2.9547454431175346E-2</v>
      </c>
      <c r="F834" s="393"/>
      <c r="G834" s="381"/>
      <c r="H834" s="381"/>
      <c r="I834" s="381"/>
      <c r="J834" s="381"/>
      <c r="K834" s="381"/>
      <c r="L834" s="381"/>
      <c r="M834" s="381"/>
      <c r="N834" s="381"/>
      <c r="O834" s="381"/>
      <c r="P834" s="381"/>
      <c r="Q834" s="381"/>
      <c r="R834" s="381"/>
      <c r="S834" s="381"/>
    </row>
    <row r="835" spans="1:19" ht="12.75" customHeight="1">
      <c r="A835" s="381"/>
      <c r="B835" s="389">
        <v>43509</v>
      </c>
      <c r="C835" s="390">
        <v>1640</v>
      </c>
      <c r="D835" s="393"/>
      <c r="E835" s="392">
        <f t="shared" si="0"/>
        <v>1.214888797992586E-3</v>
      </c>
      <c r="F835" s="393"/>
      <c r="G835" s="381"/>
      <c r="H835" s="381"/>
      <c r="I835" s="381"/>
      <c r="J835" s="381"/>
      <c r="K835" s="381"/>
      <c r="L835" s="381"/>
      <c r="M835" s="381"/>
      <c r="N835" s="381"/>
      <c r="O835" s="381"/>
      <c r="P835" s="381"/>
      <c r="Q835" s="381"/>
      <c r="R835" s="381"/>
      <c r="S835" s="381"/>
    </row>
    <row r="836" spans="1:19" ht="12.75" customHeight="1">
      <c r="A836" s="381"/>
      <c r="B836" s="389">
        <v>43510</v>
      </c>
      <c r="C836" s="390">
        <v>1622.65</v>
      </c>
      <c r="D836" s="393"/>
      <c r="E836" s="392">
        <f t="shared" si="0"/>
        <v>-1.0579268292682853E-2</v>
      </c>
      <c r="F836" s="393"/>
      <c r="G836" s="381"/>
      <c r="H836" s="381"/>
      <c r="I836" s="381"/>
      <c r="J836" s="381"/>
      <c r="K836" s="381"/>
      <c r="L836" s="381"/>
      <c r="M836" s="381"/>
      <c r="N836" s="381"/>
      <c r="O836" s="381"/>
      <c r="P836" s="381"/>
      <c r="Q836" s="381"/>
      <c r="R836" s="381"/>
      <c r="S836" s="381"/>
    </row>
    <row r="837" spans="1:19" ht="12.75" customHeight="1">
      <c r="A837" s="381"/>
      <c r="B837" s="389">
        <v>43511</v>
      </c>
      <c r="C837" s="390">
        <v>1607.95</v>
      </c>
      <c r="D837" s="393"/>
      <c r="E837" s="392">
        <f t="shared" si="0"/>
        <v>-9.0592549225033681E-3</v>
      </c>
      <c r="F837" s="393"/>
      <c r="G837" s="381"/>
      <c r="H837" s="381"/>
      <c r="I837" s="381"/>
      <c r="J837" s="381"/>
      <c r="K837" s="381"/>
      <c r="L837" s="381"/>
      <c r="M837" s="381"/>
      <c r="N837" s="381"/>
      <c r="O837" s="381"/>
      <c r="P837" s="381"/>
      <c r="Q837" s="381"/>
      <c r="R837" s="381"/>
      <c r="S837" s="381"/>
    </row>
    <row r="838" spans="1:19" ht="12.75" customHeight="1">
      <c r="A838" s="381"/>
      <c r="B838" s="389">
        <v>43514</v>
      </c>
      <c r="C838" s="390">
        <v>1607.95</v>
      </c>
      <c r="D838" s="393"/>
      <c r="E838" s="392">
        <f t="shared" si="0"/>
        <v>0</v>
      </c>
      <c r="F838" s="393"/>
      <c r="G838" s="381"/>
      <c r="H838" s="381"/>
      <c r="I838" s="381"/>
      <c r="J838" s="381"/>
      <c r="K838" s="381"/>
      <c r="L838" s="381"/>
      <c r="M838" s="381"/>
      <c r="N838" s="381"/>
      <c r="O838" s="381"/>
      <c r="P838" s="381"/>
      <c r="Q838" s="381"/>
      <c r="R838" s="381"/>
      <c r="S838" s="381"/>
    </row>
    <row r="839" spans="1:19" ht="12.75" customHeight="1">
      <c r="A839" s="381"/>
      <c r="B839" s="389">
        <v>43515</v>
      </c>
      <c r="C839" s="390">
        <v>1627.58</v>
      </c>
      <c r="D839" s="393"/>
      <c r="E839" s="392">
        <f t="shared" si="0"/>
        <v>1.2208091047607228E-2</v>
      </c>
      <c r="F839" s="393"/>
      <c r="G839" s="381"/>
      <c r="H839" s="381"/>
      <c r="I839" s="381"/>
      <c r="J839" s="381"/>
      <c r="K839" s="381"/>
      <c r="L839" s="381"/>
      <c r="M839" s="381"/>
      <c r="N839" s="381"/>
      <c r="O839" s="381"/>
      <c r="P839" s="381"/>
      <c r="Q839" s="381"/>
      <c r="R839" s="381"/>
      <c r="S839" s="381"/>
    </row>
    <row r="840" spans="1:19" ht="12.75" customHeight="1">
      <c r="A840" s="381"/>
      <c r="B840" s="389">
        <v>43516</v>
      </c>
      <c r="C840" s="390">
        <v>1622.1</v>
      </c>
      <c r="D840" s="393"/>
      <c r="E840" s="392">
        <f t="shared" si="0"/>
        <v>-3.3669619926516292E-3</v>
      </c>
      <c r="F840" s="393"/>
      <c r="G840" s="381"/>
      <c r="H840" s="381"/>
      <c r="I840" s="381"/>
      <c r="J840" s="381"/>
      <c r="K840" s="381"/>
      <c r="L840" s="381"/>
      <c r="M840" s="381"/>
      <c r="N840" s="381"/>
      <c r="O840" s="381"/>
      <c r="P840" s="381"/>
      <c r="Q840" s="381"/>
      <c r="R840" s="381"/>
      <c r="S840" s="381"/>
    </row>
    <row r="841" spans="1:19" ht="12.75" customHeight="1">
      <c r="A841" s="381"/>
      <c r="B841" s="389">
        <v>43517</v>
      </c>
      <c r="C841" s="390">
        <v>1619.44</v>
      </c>
      <c r="D841" s="393"/>
      <c r="E841" s="392">
        <f t="shared" si="0"/>
        <v>-1.639849577707797E-3</v>
      </c>
      <c r="F841" s="393"/>
      <c r="G841" s="381"/>
      <c r="H841" s="381"/>
      <c r="I841" s="381"/>
      <c r="J841" s="381"/>
      <c r="K841" s="381"/>
      <c r="L841" s="381"/>
      <c r="M841" s="381"/>
      <c r="N841" s="381"/>
      <c r="O841" s="381"/>
      <c r="P841" s="381"/>
      <c r="Q841" s="381"/>
      <c r="R841" s="381"/>
      <c r="S841" s="381"/>
    </row>
    <row r="842" spans="1:19" ht="12.75" customHeight="1">
      <c r="A842" s="381"/>
      <c r="B842" s="389">
        <v>43518</v>
      </c>
      <c r="C842" s="390">
        <v>1631.56</v>
      </c>
      <c r="D842" s="393"/>
      <c r="E842" s="392">
        <f t="shared" si="0"/>
        <v>7.4840685669119722E-3</v>
      </c>
      <c r="F842" s="393"/>
      <c r="G842" s="381"/>
      <c r="H842" s="381"/>
      <c r="I842" s="381"/>
      <c r="J842" s="381"/>
      <c r="K842" s="381"/>
      <c r="L842" s="381"/>
      <c r="M842" s="381"/>
      <c r="N842" s="381"/>
      <c r="O842" s="381"/>
      <c r="P842" s="381"/>
      <c r="Q842" s="381"/>
      <c r="R842" s="381"/>
      <c r="S842" s="381"/>
    </row>
    <row r="843" spans="1:19" ht="12.75" customHeight="1">
      <c r="A843" s="381"/>
      <c r="B843" s="389">
        <v>43521</v>
      </c>
      <c r="C843" s="390">
        <v>1633</v>
      </c>
      <c r="D843" s="393"/>
      <c r="E843" s="392">
        <f t="shared" si="0"/>
        <v>8.8259089460396289E-4</v>
      </c>
      <c r="F843" s="393"/>
      <c r="G843" s="381"/>
      <c r="H843" s="381"/>
      <c r="I843" s="381"/>
      <c r="J843" s="381"/>
      <c r="K843" s="381"/>
      <c r="L843" s="381"/>
      <c r="M843" s="381"/>
      <c r="N843" s="381"/>
      <c r="O843" s="381"/>
      <c r="P843" s="381"/>
      <c r="Q843" s="381"/>
      <c r="R843" s="381"/>
      <c r="S843" s="381"/>
    </row>
    <row r="844" spans="1:19" ht="12.75" customHeight="1">
      <c r="A844" s="381"/>
      <c r="B844" s="389">
        <v>43522</v>
      </c>
      <c r="C844" s="390">
        <v>1636.4</v>
      </c>
      <c r="D844" s="393"/>
      <c r="E844" s="392">
        <f t="shared" si="0"/>
        <v>2.0820575627680249E-3</v>
      </c>
      <c r="F844" s="393"/>
      <c r="G844" s="381"/>
      <c r="H844" s="381"/>
      <c r="I844" s="381"/>
      <c r="J844" s="381"/>
      <c r="K844" s="381"/>
      <c r="L844" s="381"/>
      <c r="M844" s="381"/>
      <c r="N844" s="381"/>
      <c r="O844" s="381"/>
      <c r="P844" s="381"/>
      <c r="Q844" s="381"/>
      <c r="R844" s="381"/>
      <c r="S844" s="381"/>
    </row>
    <row r="845" spans="1:19" ht="12.75" customHeight="1">
      <c r="A845" s="381"/>
      <c r="B845" s="389">
        <v>43523</v>
      </c>
      <c r="C845" s="390">
        <v>1641.09</v>
      </c>
      <c r="D845" s="393"/>
      <c r="E845" s="392">
        <f t="shared" si="0"/>
        <v>2.8660474211683606E-3</v>
      </c>
      <c r="F845" s="393"/>
      <c r="G845" s="381"/>
      <c r="H845" s="381"/>
      <c r="I845" s="381"/>
      <c r="J845" s="381"/>
      <c r="K845" s="381"/>
      <c r="L845" s="381"/>
      <c r="M845" s="381"/>
      <c r="N845" s="381"/>
      <c r="O845" s="381"/>
      <c r="P845" s="381"/>
      <c r="Q845" s="381"/>
      <c r="R845" s="381"/>
      <c r="S845" s="381"/>
    </row>
    <row r="846" spans="1:19" ht="12.75" customHeight="1">
      <c r="A846" s="381"/>
      <c r="B846" s="389">
        <v>43524</v>
      </c>
      <c r="C846" s="390">
        <v>1639.83</v>
      </c>
      <c r="D846" s="393"/>
      <c r="E846" s="392">
        <f t="shared" si="0"/>
        <v>-7.67782388534477E-4</v>
      </c>
      <c r="F846" s="393"/>
      <c r="G846" s="381"/>
      <c r="H846" s="381"/>
      <c r="I846" s="381"/>
      <c r="J846" s="381"/>
      <c r="K846" s="381"/>
      <c r="L846" s="381"/>
      <c r="M846" s="381"/>
      <c r="N846" s="381"/>
      <c r="O846" s="381"/>
      <c r="P846" s="381"/>
      <c r="Q846" s="381"/>
      <c r="R846" s="381"/>
      <c r="S846" s="381"/>
    </row>
    <row r="847" spans="1:19" ht="12.75" customHeight="1">
      <c r="A847" s="381"/>
      <c r="B847" s="389">
        <v>43525</v>
      </c>
      <c r="C847" s="390">
        <v>1671.73</v>
      </c>
      <c r="D847" s="393"/>
      <c r="E847" s="392">
        <f t="shared" si="0"/>
        <v>1.9453236006171437E-2</v>
      </c>
      <c r="F847" s="393"/>
      <c r="G847" s="381"/>
      <c r="H847" s="381"/>
      <c r="I847" s="381"/>
      <c r="J847" s="381"/>
      <c r="K847" s="381"/>
      <c r="L847" s="381"/>
      <c r="M847" s="381"/>
      <c r="N847" s="381"/>
      <c r="O847" s="381"/>
      <c r="P847" s="381"/>
      <c r="Q847" s="381"/>
      <c r="R847" s="381"/>
      <c r="S847" s="381"/>
    </row>
    <row r="848" spans="1:19" ht="12.75" customHeight="1">
      <c r="A848" s="381"/>
      <c r="B848" s="389">
        <v>43528</v>
      </c>
      <c r="C848" s="390">
        <v>1696.17</v>
      </c>
      <c r="D848" s="393"/>
      <c r="E848" s="392">
        <f t="shared" si="0"/>
        <v>1.4619585698647519E-2</v>
      </c>
      <c r="F848" s="393"/>
      <c r="G848" s="381"/>
      <c r="H848" s="381"/>
      <c r="I848" s="381"/>
      <c r="J848" s="381"/>
      <c r="K848" s="381"/>
      <c r="L848" s="381"/>
      <c r="M848" s="381"/>
      <c r="N848" s="381"/>
      <c r="O848" s="381"/>
      <c r="P848" s="381"/>
      <c r="Q848" s="381"/>
      <c r="R848" s="381"/>
      <c r="S848" s="381"/>
    </row>
    <row r="849" spans="1:19" ht="12.75" customHeight="1">
      <c r="A849" s="381"/>
      <c r="B849" s="389">
        <v>43529</v>
      </c>
      <c r="C849" s="390">
        <v>1692.43</v>
      </c>
      <c r="D849" s="393"/>
      <c r="E849" s="392">
        <f t="shared" si="0"/>
        <v>-2.2049676624394943E-3</v>
      </c>
      <c r="F849" s="393"/>
      <c r="G849" s="381"/>
      <c r="H849" s="381"/>
      <c r="I849" s="381"/>
      <c r="J849" s="381"/>
      <c r="K849" s="381"/>
      <c r="L849" s="381"/>
      <c r="M849" s="381"/>
      <c r="N849" s="381"/>
      <c r="O849" s="381"/>
      <c r="P849" s="381"/>
      <c r="Q849" s="381"/>
      <c r="R849" s="381"/>
      <c r="S849" s="381"/>
    </row>
    <row r="850" spans="1:19" ht="12.75" customHeight="1">
      <c r="A850" s="381"/>
      <c r="B850" s="389">
        <v>43530</v>
      </c>
      <c r="C850" s="390">
        <v>1668.95</v>
      </c>
      <c r="D850" s="393"/>
      <c r="E850" s="392">
        <f t="shared" si="0"/>
        <v>-1.387354277577213E-2</v>
      </c>
      <c r="F850" s="393"/>
      <c r="G850" s="381"/>
      <c r="H850" s="381"/>
      <c r="I850" s="381"/>
      <c r="J850" s="381"/>
      <c r="K850" s="381"/>
      <c r="L850" s="381"/>
      <c r="M850" s="381"/>
      <c r="N850" s="381"/>
      <c r="O850" s="381"/>
      <c r="P850" s="381"/>
      <c r="Q850" s="381"/>
      <c r="R850" s="381"/>
      <c r="S850" s="381"/>
    </row>
    <row r="851" spans="1:19" ht="12.75" customHeight="1">
      <c r="A851" s="381"/>
      <c r="B851" s="389">
        <v>43531</v>
      </c>
      <c r="C851" s="390">
        <v>1625.95</v>
      </c>
      <c r="D851" s="393"/>
      <c r="E851" s="392">
        <f t="shared" si="0"/>
        <v>-2.5764702357769842E-2</v>
      </c>
      <c r="F851" s="393"/>
      <c r="G851" s="381"/>
      <c r="H851" s="381"/>
      <c r="I851" s="381"/>
      <c r="J851" s="381"/>
      <c r="K851" s="381"/>
      <c r="L851" s="381"/>
      <c r="M851" s="381"/>
      <c r="N851" s="381"/>
      <c r="O851" s="381"/>
      <c r="P851" s="381"/>
      <c r="Q851" s="381"/>
      <c r="R851" s="381"/>
      <c r="S851" s="381"/>
    </row>
    <row r="852" spans="1:19" ht="12.75" customHeight="1">
      <c r="A852" s="381"/>
      <c r="B852" s="389">
        <v>43532</v>
      </c>
      <c r="C852" s="390">
        <v>1620.8</v>
      </c>
      <c r="D852" s="393"/>
      <c r="E852" s="392">
        <f t="shared" si="0"/>
        <v>-3.167379070697196E-3</v>
      </c>
      <c r="F852" s="393"/>
      <c r="G852" s="381"/>
      <c r="H852" s="381"/>
      <c r="I852" s="381"/>
      <c r="J852" s="381"/>
      <c r="K852" s="381"/>
      <c r="L852" s="381"/>
      <c r="M852" s="381"/>
      <c r="N852" s="381"/>
      <c r="O852" s="381"/>
      <c r="P852" s="381"/>
      <c r="Q852" s="381"/>
      <c r="R852" s="381"/>
      <c r="S852" s="381"/>
    </row>
    <row r="853" spans="1:19" ht="12.75" customHeight="1">
      <c r="A853" s="381"/>
      <c r="B853" s="389">
        <v>43535</v>
      </c>
      <c r="C853" s="390">
        <v>1670.62</v>
      </c>
      <c r="D853" s="393"/>
      <c r="E853" s="392">
        <f t="shared" si="0"/>
        <v>3.073790720631786E-2</v>
      </c>
      <c r="F853" s="393"/>
      <c r="G853" s="381"/>
      <c r="H853" s="381"/>
      <c r="I853" s="381"/>
      <c r="J853" s="381"/>
      <c r="K853" s="381"/>
      <c r="L853" s="381"/>
      <c r="M853" s="381"/>
      <c r="N853" s="381"/>
      <c r="O853" s="381"/>
      <c r="P853" s="381"/>
      <c r="Q853" s="381"/>
      <c r="R853" s="381"/>
      <c r="S853" s="381"/>
    </row>
    <row r="854" spans="1:19" ht="12.75" customHeight="1">
      <c r="A854" s="381"/>
      <c r="B854" s="389">
        <v>43536</v>
      </c>
      <c r="C854" s="390">
        <v>1673.1</v>
      </c>
      <c r="D854" s="393"/>
      <c r="E854" s="392">
        <f t="shared" si="0"/>
        <v>1.4844788162478029E-3</v>
      </c>
      <c r="F854" s="393"/>
      <c r="G854" s="381"/>
      <c r="H854" s="381"/>
      <c r="I854" s="381"/>
      <c r="J854" s="381"/>
      <c r="K854" s="381"/>
      <c r="L854" s="381"/>
      <c r="M854" s="381"/>
      <c r="N854" s="381"/>
      <c r="O854" s="381"/>
      <c r="P854" s="381"/>
      <c r="Q854" s="381"/>
      <c r="R854" s="381"/>
      <c r="S854" s="381"/>
    </row>
    <row r="855" spans="1:19" ht="12.75" customHeight="1">
      <c r="A855" s="381"/>
      <c r="B855" s="389">
        <v>43537</v>
      </c>
      <c r="C855" s="390">
        <v>1690.81</v>
      </c>
      <c r="D855" s="393"/>
      <c r="E855" s="392">
        <f t="shared" si="0"/>
        <v>1.0585141354372052E-2</v>
      </c>
      <c r="F855" s="393"/>
      <c r="G855" s="381"/>
      <c r="H855" s="381"/>
      <c r="I855" s="381"/>
      <c r="J855" s="381"/>
      <c r="K855" s="381"/>
      <c r="L855" s="381"/>
      <c r="M855" s="381"/>
      <c r="N855" s="381"/>
      <c r="O855" s="381"/>
      <c r="P855" s="381"/>
      <c r="Q855" s="381"/>
      <c r="R855" s="381"/>
      <c r="S855" s="381"/>
    </row>
    <row r="856" spans="1:19" ht="12.75" customHeight="1">
      <c r="A856" s="381"/>
      <c r="B856" s="389">
        <v>43538</v>
      </c>
      <c r="C856" s="390">
        <v>1686.22</v>
      </c>
      <c r="D856" s="393"/>
      <c r="E856" s="392">
        <f t="shared" si="0"/>
        <v>-2.7146752148378139E-3</v>
      </c>
      <c r="F856" s="393"/>
      <c r="G856" s="381"/>
      <c r="H856" s="381"/>
      <c r="I856" s="381"/>
      <c r="J856" s="381"/>
      <c r="K856" s="381"/>
      <c r="L856" s="381"/>
      <c r="M856" s="381"/>
      <c r="N856" s="381"/>
      <c r="O856" s="381"/>
      <c r="P856" s="381"/>
      <c r="Q856" s="381"/>
      <c r="R856" s="381"/>
      <c r="S856" s="381"/>
    </row>
    <row r="857" spans="1:19" ht="12.75" customHeight="1">
      <c r="A857" s="381"/>
      <c r="B857" s="389">
        <v>43539</v>
      </c>
      <c r="C857" s="390">
        <v>1712.36</v>
      </c>
      <c r="D857" s="393"/>
      <c r="E857" s="392">
        <f t="shared" si="0"/>
        <v>1.5502129022310074E-2</v>
      </c>
      <c r="F857" s="393"/>
      <c r="G857" s="381"/>
      <c r="H857" s="381"/>
      <c r="I857" s="381"/>
      <c r="J857" s="381"/>
      <c r="K857" s="381"/>
      <c r="L857" s="381"/>
      <c r="M857" s="381"/>
      <c r="N857" s="381"/>
      <c r="O857" s="381"/>
      <c r="P857" s="381"/>
      <c r="Q857" s="381"/>
      <c r="R857" s="381"/>
      <c r="S857" s="381"/>
    </row>
    <row r="858" spans="1:19" ht="12.75" customHeight="1">
      <c r="A858" s="381"/>
      <c r="B858" s="389">
        <v>43542</v>
      </c>
      <c r="C858" s="390">
        <v>1742.15</v>
      </c>
      <c r="D858" s="393"/>
      <c r="E858" s="392">
        <f t="shared" si="0"/>
        <v>1.7397042677941732E-2</v>
      </c>
      <c r="F858" s="393"/>
      <c r="G858" s="381"/>
      <c r="H858" s="381"/>
      <c r="I858" s="381"/>
      <c r="J858" s="381"/>
      <c r="K858" s="381"/>
      <c r="L858" s="381"/>
      <c r="M858" s="381"/>
      <c r="N858" s="381"/>
      <c r="O858" s="381"/>
      <c r="P858" s="381"/>
      <c r="Q858" s="381"/>
      <c r="R858" s="381"/>
      <c r="S858" s="381"/>
    </row>
    <row r="859" spans="1:19" ht="12.75" customHeight="1">
      <c r="A859" s="381"/>
      <c r="B859" s="389">
        <v>43543</v>
      </c>
      <c r="C859" s="390">
        <v>1761.85</v>
      </c>
      <c r="D859" s="393"/>
      <c r="E859" s="392">
        <f t="shared" si="0"/>
        <v>1.1307866716413484E-2</v>
      </c>
      <c r="F859" s="393"/>
      <c r="G859" s="381"/>
      <c r="H859" s="381"/>
      <c r="I859" s="381"/>
      <c r="J859" s="381"/>
      <c r="K859" s="381"/>
      <c r="L859" s="381"/>
      <c r="M859" s="381"/>
      <c r="N859" s="381"/>
      <c r="O859" s="381"/>
      <c r="P859" s="381"/>
      <c r="Q859" s="381"/>
      <c r="R859" s="381"/>
      <c r="S859" s="381"/>
    </row>
    <row r="860" spans="1:19" ht="12.75" customHeight="1">
      <c r="A860" s="381"/>
      <c r="B860" s="389">
        <v>43544</v>
      </c>
      <c r="C860" s="390">
        <v>1797.27</v>
      </c>
      <c r="D860" s="393"/>
      <c r="E860" s="392">
        <f t="shared" si="0"/>
        <v>2.010386809319753E-2</v>
      </c>
      <c r="F860" s="393"/>
      <c r="G860" s="381"/>
      <c r="H860" s="381"/>
      <c r="I860" s="381"/>
      <c r="J860" s="381"/>
      <c r="K860" s="381"/>
      <c r="L860" s="381"/>
      <c r="M860" s="381"/>
      <c r="N860" s="381"/>
      <c r="O860" s="381"/>
      <c r="P860" s="381"/>
      <c r="Q860" s="381"/>
      <c r="R860" s="381"/>
      <c r="S860" s="381"/>
    </row>
    <row r="861" spans="1:19" ht="12.75" customHeight="1">
      <c r="A861" s="381"/>
      <c r="B861" s="389">
        <v>43545</v>
      </c>
      <c r="C861" s="390">
        <v>1819.26</v>
      </c>
      <c r="D861" s="393"/>
      <c r="E861" s="392">
        <f t="shared" si="0"/>
        <v>1.22352234221903E-2</v>
      </c>
      <c r="F861" s="393"/>
      <c r="G861" s="381"/>
      <c r="H861" s="381"/>
      <c r="I861" s="381"/>
      <c r="J861" s="381"/>
      <c r="K861" s="381"/>
      <c r="L861" s="381"/>
      <c r="M861" s="381"/>
      <c r="N861" s="381"/>
      <c r="O861" s="381"/>
      <c r="P861" s="381"/>
      <c r="Q861" s="381"/>
      <c r="R861" s="381"/>
      <c r="S861" s="381"/>
    </row>
    <row r="862" spans="1:19" ht="12.75" customHeight="1">
      <c r="A862" s="381"/>
      <c r="B862" s="389">
        <v>43546</v>
      </c>
      <c r="C862" s="390">
        <v>1764.77</v>
      </c>
      <c r="D862" s="393"/>
      <c r="E862" s="392">
        <f t="shared" si="0"/>
        <v>-2.9951738618998913E-2</v>
      </c>
      <c r="F862" s="393"/>
      <c r="G862" s="381"/>
      <c r="H862" s="381"/>
      <c r="I862" s="381"/>
      <c r="J862" s="381"/>
      <c r="K862" s="381"/>
      <c r="L862" s="381"/>
      <c r="M862" s="381"/>
      <c r="N862" s="381"/>
      <c r="O862" s="381"/>
      <c r="P862" s="381"/>
      <c r="Q862" s="381"/>
      <c r="R862" s="381"/>
      <c r="S862" s="381"/>
    </row>
    <row r="863" spans="1:19" ht="12.75" customHeight="1">
      <c r="A863" s="381"/>
      <c r="B863" s="389">
        <v>43549</v>
      </c>
      <c r="C863" s="390">
        <v>1774.26</v>
      </c>
      <c r="D863" s="393"/>
      <c r="E863" s="392">
        <f t="shared" si="0"/>
        <v>5.3774712852099338E-3</v>
      </c>
      <c r="F863" s="393"/>
      <c r="G863" s="381"/>
      <c r="H863" s="381"/>
      <c r="I863" s="381"/>
      <c r="J863" s="381"/>
      <c r="K863" s="381"/>
      <c r="L863" s="381"/>
      <c r="M863" s="381"/>
      <c r="N863" s="381"/>
      <c r="O863" s="381"/>
      <c r="P863" s="381"/>
      <c r="Q863" s="381"/>
      <c r="R863" s="381"/>
      <c r="S863" s="381"/>
    </row>
    <row r="864" spans="1:19" ht="12.75" customHeight="1">
      <c r="A864" s="381"/>
      <c r="B864" s="389">
        <v>43550</v>
      </c>
      <c r="C864" s="390">
        <v>1783.76</v>
      </c>
      <c r="D864" s="393"/>
      <c r="E864" s="392">
        <f t="shared" si="0"/>
        <v>5.3543449099906493E-3</v>
      </c>
      <c r="F864" s="393"/>
      <c r="G864" s="381"/>
      <c r="H864" s="381"/>
      <c r="I864" s="381"/>
      <c r="J864" s="381"/>
      <c r="K864" s="381"/>
      <c r="L864" s="381"/>
      <c r="M864" s="381"/>
      <c r="N864" s="381"/>
      <c r="O864" s="381"/>
      <c r="P864" s="381"/>
      <c r="Q864" s="381"/>
      <c r="R864" s="381"/>
      <c r="S864" s="381"/>
    </row>
    <row r="865" spans="1:19" ht="12.75" customHeight="1">
      <c r="A865" s="381"/>
      <c r="B865" s="389">
        <v>43551</v>
      </c>
      <c r="C865" s="390">
        <v>1765.7</v>
      </c>
      <c r="D865" s="393"/>
      <c r="E865" s="392">
        <f t="shared" si="0"/>
        <v>-1.0124680450284806E-2</v>
      </c>
      <c r="F865" s="393"/>
      <c r="G865" s="381"/>
      <c r="H865" s="381"/>
      <c r="I865" s="381"/>
      <c r="J865" s="381"/>
      <c r="K865" s="381"/>
      <c r="L865" s="381"/>
      <c r="M865" s="381"/>
      <c r="N865" s="381"/>
      <c r="O865" s="381"/>
      <c r="P865" s="381"/>
      <c r="Q865" s="381"/>
      <c r="R865" s="381"/>
      <c r="S865" s="381"/>
    </row>
    <row r="866" spans="1:19" ht="12.75" customHeight="1">
      <c r="A866" s="381"/>
      <c r="B866" s="389">
        <v>43552</v>
      </c>
      <c r="C866" s="390">
        <v>1773.42</v>
      </c>
      <c r="D866" s="393"/>
      <c r="E866" s="392">
        <f t="shared" si="0"/>
        <v>4.3722036586055779E-3</v>
      </c>
      <c r="F866" s="393"/>
      <c r="G866" s="381"/>
      <c r="H866" s="381"/>
      <c r="I866" s="381"/>
      <c r="J866" s="381"/>
      <c r="K866" s="381"/>
      <c r="L866" s="381"/>
      <c r="M866" s="381"/>
      <c r="N866" s="381"/>
      <c r="O866" s="381"/>
      <c r="P866" s="381"/>
      <c r="Q866" s="381"/>
      <c r="R866" s="381"/>
      <c r="S866" s="381"/>
    </row>
    <row r="867" spans="1:19" ht="12.75" customHeight="1">
      <c r="A867" s="381"/>
      <c r="B867" s="389">
        <v>43553</v>
      </c>
      <c r="C867" s="390">
        <v>1780.75</v>
      </c>
      <c r="D867" s="393"/>
      <c r="E867" s="392">
        <f t="shared" si="0"/>
        <v>4.1332566453518016E-3</v>
      </c>
      <c r="F867" s="393"/>
      <c r="G867" s="381"/>
      <c r="H867" s="381"/>
      <c r="I867" s="381"/>
      <c r="J867" s="381"/>
      <c r="K867" s="381"/>
      <c r="L867" s="381"/>
      <c r="M867" s="381"/>
      <c r="N867" s="381"/>
      <c r="O867" s="381"/>
      <c r="P867" s="381"/>
      <c r="Q867" s="381"/>
      <c r="R867" s="381"/>
      <c r="S867" s="381"/>
    </row>
    <row r="868" spans="1:19" ht="12.75" customHeight="1">
      <c r="A868" s="381"/>
      <c r="B868" s="389">
        <v>43556</v>
      </c>
      <c r="C868" s="390">
        <v>1814.19</v>
      </c>
      <c r="D868" s="393"/>
      <c r="E868" s="392">
        <f t="shared" si="0"/>
        <v>1.8778604520567121E-2</v>
      </c>
      <c r="F868" s="393"/>
      <c r="G868" s="381"/>
      <c r="H868" s="381"/>
      <c r="I868" s="381"/>
      <c r="J868" s="381"/>
      <c r="K868" s="381"/>
      <c r="L868" s="381"/>
      <c r="M868" s="381"/>
      <c r="N868" s="381"/>
      <c r="O868" s="381"/>
      <c r="P868" s="381"/>
      <c r="Q868" s="381"/>
      <c r="R868" s="381"/>
      <c r="S868" s="381"/>
    </row>
    <row r="869" spans="1:19" ht="12.75" customHeight="1">
      <c r="A869" s="381"/>
      <c r="B869" s="389">
        <v>43557</v>
      </c>
      <c r="C869" s="390">
        <v>1813.98</v>
      </c>
      <c r="D869" s="393"/>
      <c r="E869" s="392">
        <f t="shared" si="0"/>
        <v>-1.1575413821041103E-4</v>
      </c>
      <c r="F869" s="393"/>
      <c r="G869" s="381"/>
      <c r="H869" s="381"/>
      <c r="I869" s="381"/>
      <c r="J869" s="381"/>
      <c r="K869" s="381"/>
      <c r="L869" s="381"/>
      <c r="M869" s="381"/>
      <c r="N869" s="381"/>
      <c r="O869" s="381"/>
      <c r="P869" s="381"/>
      <c r="Q869" s="381"/>
      <c r="R869" s="381"/>
      <c r="S869" s="381"/>
    </row>
    <row r="870" spans="1:19" ht="12.75" customHeight="1">
      <c r="A870" s="381"/>
      <c r="B870" s="389">
        <v>43558</v>
      </c>
      <c r="C870" s="390">
        <v>1820.7</v>
      </c>
      <c r="D870" s="393"/>
      <c r="E870" s="392">
        <f t="shared" si="0"/>
        <v>3.704561241028026E-3</v>
      </c>
      <c r="F870" s="393"/>
      <c r="G870" s="381"/>
      <c r="H870" s="381"/>
      <c r="I870" s="381"/>
      <c r="J870" s="381"/>
      <c r="K870" s="381"/>
      <c r="L870" s="381"/>
      <c r="M870" s="381"/>
      <c r="N870" s="381"/>
      <c r="O870" s="381"/>
      <c r="P870" s="381"/>
      <c r="Q870" s="381"/>
      <c r="R870" s="381"/>
      <c r="S870" s="381"/>
    </row>
    <row r="871" spans="1:19" ht="12.75" customHeight="1">
      <c r="A871" s="381"/>
      <c r="B871" s="389">
        <v>43559</v>
      </c>
      <c r="C871" s="390">
        <v>1818.86</v>
      </c>
      <c r="D871" s="393"/>
      <c r="E871" s="392">
        <f t="shared" si="0"/>
        <v>-1.0106003185589296E-3</v>
      </c>
      <c r="F871" s="393"/>
      <c r="G871" s="381"/>
      <c r="H871" s="381"/>
      <c r="I871" s="381"/>
      <c r="J871" s="381"/>
      <c r="K871" s="381"/>
      <c r="L871" s="381"/>
      <c r="M871" s="381"/>
      <c r="N871" s="381"/>
      <c r="O871" s="381"/>
      <c r="P871" s="381"/>
      <c r="Q871" s="381"/>
      <c r="R871" s="381"/>
      <c r="S871" s="381"/>
    </row>
    <row r="872" spans="1:19" ht="12.75" customHeight="1">
      <c r="A872" s="381"/>
      <c r="B872" s="389">
        <v>43560</v>
      </c>
      <c r="C872" s="390">
        <v>1837.28</v>
      </c>
      <c r="D872" s="393"/>
      <c r="E872" s="392">
        <f t="shared" si="0"/>
        <v>1.01272225459903E-2</v>
      </c>
      <c r="F872" s="393"/>
      <c r="G872" s="381"/>
      <c r="H872" s="381"/>
      <c r="I872" s="381"/>
      <c r="J872" s="381"/>
      <c r="K872" s="381"/>
      <c r="L872" s="381"/>
      <c r="M872" s="381"/>
      <c r="N872" s="381"/>
      <c r="O872" s="381"/>
      <c r="P872" s="381"/>
      <c r="Q872" s="381"/>
      <c r="R872" s="381"/>
      <c r="S872" s="381"/>
    </row>
    <row r="873" spans="1:19" ht="12.75" customHeight="1">
      <c r="A873" s="381"/>
      <c r="B873" s="389">
        <v>43563</v>
      </c>
      <c r="C873" s="390">
        <v>1849.86</v>
      </c>
      <c r="D873" s="393"/>
      <c r="E873" s="392">
        <f t="shared" si="0"/>
        <v>6.8470782896454807E-3</v>
      </c>
      <c r="F873" s="393"/>
      <c r="G873" s="381"/>
      <c r="H873" s="381"/>
      <c r="I873" s="381"/>
      <c r="J873" s="381"/>
      <c r="K873" s="381"/>
      <c r="L873" s="381"/>
      <c r="M873" s="381"/>
      <c r="N873" s="381"/>
      <c r="O873" s="381"/>
      <c r="P873" s="381"/>
      <c r="Q873" s="381"/>
      <c r="R873" s="381"/>
      <c r="S873" s="381"/>
    </row>
    <row r="874" spans="1:19" ht="12.75" customHeight="1">
      <c r="A874" s="381"/>
      <c r="B874" s="389">
        <v>43564</v>
      </c>
      <c r="C874" s="390">
        <v>1835.84</v>
      </c>
      <c r="D874" s="393"/>
      <c r="E874" s="392">
        <f t="shared" si="0"/>
        <v>-7.5789519206859168E-3</v>
      </c>
      <c r="F874" s="393"/>
      <c r="G874" s="381"/>
      <c r="H874" s="381"/>
      <c r="I874" s="381"/>
      <c r="J874" s="381"/>
      <c r="K874" s="381"/>
      <c r="L874" s="381"/>
      <c r="M874" s="381"/>
      <c r="N874" s="381"/>
      <c r="O874" s="381"/>
      <c r="P874" s="381"/>
      <c r="Q874" s="381"/>
      <c r="R874" s="381"/>
      <c r="S874" s="381"/>
    </row>
    <row r="875" spans="1:19" ht="12.75" customHeight="1">
      <c r="A875" s="381"/>
      <c r="B875" s="389">
        <v>43565</v>
      </c>
      <c r="C875" s="390">
        <v>1847.33</v>
      </c>
      <c r="D875" s="393"/>
      <c r="E875" s="392">
        <f t="shared" si="0"/>
        <v>6.2587153564581666E-3</v>
      </c>
      <c r="F875" s="393"/>
      <c r="G875" s="381"/>
      <c r="H875" s="381"/>
      <c r="I875" s="381"/>
      <c r="J875" s="381"/>
      <c r="K875" s="381"/>
      <c r="L875" s="381"/>
      <c r="M875" s="381"/>
      <c r="N875" s="381"/>
      <c r="O875" s="381"/>
      <c r="P875" s="381"/>
      <c r="Q875" s="381"/>
      <c r="R875" s="381"/>
      <c r="S875" s="381"/>
    </row>
    <row r="876" spans="1:19" ht="12.75" customHeight="1">
      <c r="A876" s="381"/>
      <c r="B876" s="389">
        <v>43566</v>
      </c>
      <c r="C876" s="390">
        <v>1844.07</v>
      </c>
      <c r="D876" s="393"/>
      <c r="E876" s="392">
        <f t="shared" si="0"/>
        <v>-1.7647090665988685E-3</v>
      </c>
      <c r="F876" s="393"/>
      <c r="G876" s="381"/>
      <c r="H876" s="381"/>
      <c r="I876" s="381"/>
      <c r="J876" s="381"/>
      <c r="K876" s="381"/>
      <c r="L876" s="381"/>
      <c r="M876" s="381"/>
      <c r="N876" s="381"/>
      <c r="O876" s="381"/>
      <c r="P876" s="381"/>
      <c r="Q876" s="381"/>
      <c r="R876" s="381"/>
      <c r="S876" s="381"/>
    </row>
    <row r="877" spans="1:19" ht="12.75" customHeight="1">
      <c r="A877" s="381"/>
      <c r="B877" s="389">
        <v>43567</v>
      </c>
      <c r="C877" s="390">
        <v>1843.06</v>
      </c>
      <c r="D877" s="393"/>
      <c r="E877" s="392">
        <f t="shared" si="0"/>
        <v>-5.4770155145955624E-4</v>
      </c>
      <c r="F877" s="393"/>
      <c r="G877" s="381"/>
      <c r="H877" s="381"/>
      <c r="I877" s="381"/>
      <c r="J877" s="381"/>
      <c r="K877" s="381"/>
      <c r="L877" s="381"/>
      <c r="M877" s="381"/>
      <c r="N877" s="381"/>
      <c r="O877" s="381"/>
      <c r="P877" s="381"/>
      <c r="Q877" s="381"/>
      <c r="R877" s="381"/>
      <c r="S877" s="381"/>
    </row>
    <row r="878" spans="1:19" ht="12.75" customHeight="1">
      <c r="A878" s="381"/>
      <c r="B878" s="389">
        <v>43570</v>
      </c>
      <c r="C878" s="390">
        <v>1844.87</v>
      </c>
      <c r="D878" s="393"/>
      <c r="E878" s="392">
        <f t="shared" si="0"/>
        <v>9.8206243963838702E-4</v>
      </c>
      <c r="F878" s="393"/>
      <c r="G878" s="381"/>
      <c r="H878" s="381"/>
      <c r="I878" s="381"/>
      <c r="J878" s="381"/>
      <c r="K878" s="381"/>
      <c r="L878" s="381"/>
      <c r="M878" s="381"/>
      <c r="N878" s="381"/>
      <c r="O878" s="381"/>
      <c r="P878" s="381"/>
      <c r="Q878" s="381"/>
      <c r="R878" s="381"/>
      <c r="S878" s="381"/>
    </row>
    <row r="879" spans="1:19" ht="12.75" customHeight="1">
      <c r="A879" s="381"/>
      <c r="B879" s="389">
        <v>43571</v>
      </c>
      <c r="C879" s="390">
        <v>1863.04</v>
      </c>
      <c r="D879" s="393"/>
      <c r="E879" s="392">
        <f t="shared" si="0"/>
        <v>9.8489324451045412E-3</v>
      </c>
      <c r="F879" s="393"/>
      <c r="G879" s="381"/>
      <c r="H879" s="381"/>
      <c r="I879" s="381"/>
      <c r="J879" s="381"/>
      <c r="K879" s="381"/>
      <c r="L879" s="381"/>
      <c r="M879" s="381"/>
      <c r="N879" s="381"/>
      <c r="O879" s="381"/>
      <c r="P879" s="381"/>
      <c r="Q879" s="381"/>
      <c r="R879" s="381"/>
      <c r="S879" s="381"/>
    </row>
    <row r="880" spans="1:19" ht="12.75" customHeight="1">
      <c r="A880" s="381"/>
      <c r="B880" s="389">
        <v>43572</v>
      </c>
      <c r="C880" s="390">
        <v>1864.82</v>
      </c>
      <c r="D880" s="393"/>
      <c r="E880" s="392">
        <f t="shared" si="0"/>
        <v>9.554276880796575E-4</v>
      </c>
      <c r="F880" s="393"/>
      <c r="G880" s="381"/>
      <c r="H880" s="381"/>
      <c r="I880" s="381"/>
      <c r="J880" s="381"/>
      <c r="K880" s="381"/>
      <c r="L880" s="381"/>
      <c r="M880" s="381"/>
      <c r="N880" s="381"/>
      <c r="O880" s="381"/>
      <c r="P880" s="381"/>
      <c r="Q880" s="381"/>
      <c r="R880" s="381"/>
      <c r="S880" s="381"/>
    </row>
    <row r="881" spans="1:19" ht="12.75" customHeight="1">
      <c r="A881" s="381"/>
      <c r="B881" s="389">
        <v>43573</v>
      </c>
      <c r="C881" s="390">
        <v>1861.69</v>
      </c>
      <c r="D881" s="393"/>
      <c r="E881" s="392">
        <f t="shared" si="0"/>
        <v>-1.6784461771108816E-3</v>
      </c>
      <c r="F881" s="393"/>
      <c r="G881" s="381"/>
      <c r="H881" s="381"/>
      <c r="I881" s="381"/>
      <c r="J881" s="381"/>
      <c r="K881" s="381"/>
      <c r="L881" s="381"/>
      <c r="M881" s="381"/>
      <c r="N881" s="381"/>
      <c r="O881" s="381"/>
      <c r="P881" s="381"/>
      <c r="Q881" s="381"/>
      <c r="R881" s="381"/>
      <c r="S881" s="381"/>
    </row>
    <row r="882" spans="1:19" ht="12.75" customHeight="1">
      <c r="A882" s="381"/>
      <c r="B882" s="389">
        <v>43574</v>
      </c>
      <c r="C882" s="390">
        <v>1861.69</v>
      </c>
      <c r="D882" s="393"/>
      <c r="E882" s="392">
        <f t="shared" si="0"/>
        <v>0</v>
      </c>
      <c r="F882" s="393"/>
      <c r="G882" s="381"/>
      <c r="H882" s="381"/>
      <c r="I882" s="381"/>
      <c r="J882" s="381"/>
      <c r="K882" s="381"/>
      <c r="L882" s="381"/>
      <c r="M882" s="381"/>
      <c r="N882" s="381"/>
      <c r="O882" s="381"/>
      <c r="P882" s="381"/>
      <c r="Q882" s="381"/>
      <c r="R882" s="381"/>
      <c r="S882" s="381"/>
    </row>
    <row r="883" spans="1:19" ht="12.75" customHeight="1">
      <c r="A883" s="381"/>
      <c r="B883" s="389">
        <v>43577</v>
      </c>
      <c r="C883" s="390">
        <v>1887.31</v>
      </c>
      <c r="D883" s="393"/>
      <c r="E883" s="392">
        <f t="shared" si="0"/>
        <v>1.376168964757829E-2</v>
      </c>
      <c r="F883" s="393"/>
      <c r="G883" s="381"/>
      <c r="H883" s="381"/>
      <c r="I883" s="381"/>
      <c r="J883" s="381"/>
      <c r="K883" s="381"/>
      <c r="L883" s="381"/>
      <c r="M883" s="381"/>
      <c r="N883" s="381"/>
      <c r="O883" s="381"/>
      <c r="P883" s="381"/>
      <c r="Q883" s="381"/>
      <c r="R883" s="381"/>
      <c r="S883" s="381"/>
    </row>
    <row r="884" spans="1:19" ht="12.75" customHeight="1">
      <c r="A884" s="381"/>
      <c r="B884" s="389">
        <v>43578</v>
      </c>
      <c r="C884" s="390">
        <v>1923.77</v>
      </c>
      <c r="D884" s="393"/>
      <c r="E884" s="392">
        <f t="shared" si="0"/>
        <v>1.9318500935193494E-2</v>
      </c>
      <c r="F884" s="393"/>
      <c r="G884" s="381"/>
      <c r="H884" s="381"/>
      <c r="I884" s="381"/>
      <c r="J884" s="381"/>
      <c r="K884" s="381"/>
      <c r="L884" s="381"/>
      <c r="M884" s="381"/>
      <c r="N884" s="381"/>
      <c r="O884" s="381"/>
      <c r="P884" s="381"/>
      <c r="Q884" s="381"/>
      <c r="R884" s="381"/>
      <c r="S884" s="381"/>
    </row>
    <row r="885" spans="1:19" ht="12.75" customHeight="1">
      <c r="A885" s="381"/>
      <c r="B885" s="389">
        <v>43579</v>
      </c>
      <c r="C885" s="390">
        <v>1901.75</v>
      </c>
      <c r="D885" s="393"/>
      <c r="E885" s="392">
        <f t="shared" si="0"/>
        <v>-1.1446274762575537E-2</v>
      </c>
      <c r="F885" s="393"/>
      <c r="G885" s="381"/>
      <c r="H885" s="381"/>
      <c r="I885" s="381"/>
      <c r="J885" s="381"/>
      <c r="K885" s="381"/>
      <c r="L885" s="381"/>
      <c r="M885" s="381"/>
      <c r="N885" s="381"/>
      <c r="O885" s="381"/>
      <c r="P885" s="381"/>
      <c r="Q885" s="381"/>
      <c r="R885" s="381"/>
      <c r="S885" s="381"/>
    </row>
    <row r="886" spans="1:19" ht="12.75" customHeight="1">
      <c r="A886" s="381"/>
      <c r="B886" s="389">
        <v>43580</v>
      </c>
      <c r="C886" s="390">
        <v>1902.25</v>
      </c>
      <c r="D886" s="393"/>
      <c r="E886" s="392">
        <f t="shared" si="0"/>
        <v>2.629157355067413E-4</v>
      </c>
      <c r="F886" s="393"/>
      <c r="G886" s="381"/>
      <c r="H886" s="381"/>
      <c r="I886" s="381"/>
      <c r="J886" s="381"/>
      <c r="K886" s="381"/>
      <c r="L886" s="381"/>
      <c r="M886" s="381"/>
      <c r="N886" s="381"/>
      <c r="O886" s="381"/>
      <c r="P886" s="381"/>
      <c r="Q886" s="381"/>
      <c r="R886" s="381"/>
      <c r="S886" s="381"/>
    </row>
    <row r="887" spans="1:19" ht="12.75" customHeight="1">
      <c r="A887" s="381"/>
      <c r="B887" s="389">
        <v>43581</v>
      </c>
      <c r="C887" s="390">
        <v>1950.63</v>
      </c>
      <c r="D887" s="393"/>
      <c r="E887" s="392">
        <f t="shared" si="0"/>
        <v>2.5433039821264325E-2</v>
      </c>
      <c r="F887" s="393"/>
      <c r="G887" s="381"/>
      <c r="H887" s="381"/>
      <c r="I887" s="381"/>
      <c r="J887" s="381"/>
      <c r="K887" s="381"/>
      <c r="L887" s="381"/>
      <c r="M887" s="381"/>
      <c r="N887" s="381"/>
      <c r="O887" s="381"/>
      <c r="P887" s="381"/>
      <c r="Q887" s="381"/>
      <c r="R887" s="381"/>
      <c r="S887" s="381"/>
    </row>
    <row r="888" spans="1:19" ht="12.75" customHeight="1">
      <c r="A888" s="381"/>
      <c r="B888" s="389">
        <v>43584</v>
      </c>
      <c r="C888" s="390">
        <v>1938.43</v>
      </c>
      <c r="D888" s="393"/>
      <c r="E888" s="392">
        <f t="shared" si="0"/>
        <v>-6.2543896074601646E-3</v>
      </c>
      <c r="F888" s="393"/>
      <c r="G888" s="381"/>
      <c r="H888" s="381"/>
      <c r="I888" s="381"/>
      <c r="J888" s="381"/>
      <c r="K888" s="381"/>
      <c r="L888" s="381"/>
      <c r="M888" s="381"/>
      <c r="N888" s="381"/>
      <c r="O888" s="381"/>
      <c r="P888" s="381"/>
      <c r="Q888" s="381"/>
      <c r="R888" s="381"/>
      <c r="S888" s="381"/>
    </row>
    <row r="889" spans="1:19" ht="12.75" customHeight="1">
      <c r="A889" s="381"/>
      <c r="B889" s="389">
        <v>43585</v>
      </c>
      <c r="C889" s="390">
        <v>1926.52</v>
      </c>
      <c r="D889" s="393"/>
      <c r="E889" s="392">
        <f t="shared" si="0"/>
        <v>-6.1441475833535764E-3</v>
      </c>
      <c r="F889" s="393"/>
      <c r="G889" s="381"/>
      <c r="H889" s="381"/>
      <c r="I889" s="381"/>
      <c r="J889" s="381"/>
      <c r="K889" s="381"/>
      <c r="L889" s="381"/>
      <c r="M889" s="381"/>
      <c r="N889" s="381"/>
      <c r="O889" s="381"/>
      <c r="P889" s="381"/>
      <c r="Q889" s="381"/>
      <c r="R889" s="381"/>
      <c r="S889" s="381"/>
    </row>
    <row r="890" spans="1:19" ht="12.75" customHeight="1">
      <c r="A890" s="381"/>
      <c r="B890" s="389">
        <v>43586</v>
      </c>
      <c r="C890" s="390">
        <v>1911.52</v>
      </c>
      <c r="D890" s="393"/>
      <c r="E890" s="392">
        <f t="shared" si="0"/>
        <v>-7.7860598384652535E-3</v>
      </c>
      <c r="F890" s="393"/>
      <c r="G890" s="381"/>
      <c r="H890" s="381"/>
      <c r="I890" s="381"/>
      <c r="J890" s="381"/>
      <c r="K890" s="381"/>
      <c r="L890" s="381"/>
      <c r="M890" s="381"/>
      <c r="N890" s="381"/>
      <c r="O890" s="381"/>
      <c r="P890" s="381"/>
      <c r="Q890" s="381"/>
      <c r="R890" s="381"/>
      <c r="S890" s="381"/>
    </row>
    <row r="891" spans="1:19" ht="12.75" customHeight="1">
      <c r="A891" s="381"/>
      <c r="B891" s="389">
        <v>43587</v>
      </c>
      <c r="C891" s="390">
        <v>1900.82</v>
      </c>
      <c r="D891" s="393"/>
      <c r="E891" s="392">
        <f t="shared" si="0"/>
        <v>-5.5976395747886487E-3</v>
      </c>
      <c r="F891" s="393"/>
      <c r="G891" s="381"/>
      <c r="H891" s="381"/>
      <c r="I891" s="381"/>
      <c r="J891" s="381"/>
      <c r="K891" s="381"/>
      <c r="L891" s="381"/>
      <c r="M891" s="381"/>
      <c r="N891" s="381"/>
      <c r="O891" s="381"/>
      <c r="P891" s="381"/>
      <c r="Q891" s="381"/>
      <c r="R891" s="381"/>
      <c r="S891" s="381"/>
    </row>
    <row r="892" spans="1:19" ht="12.75" customHeight="1">
      <c r="A892" s="381"/>
      <c r="B892" s="389">
        <v>43588</v>
      </c>
      <c r="C892" s="390">
        <v>1962.46</v>
      </c>
      <c r="D892" s="393"/>
      <c r="E892" s="392">
        <f t="shared" si="0"/>
        <v>3.2428109973590358E-2</v>
      </c>
      <c r="F892" s="393"/>
      <c r="G892" s="381"/>
      <c r="H892" s="381"/>
      <c r="I892" s="381"/>
      <c r="J892" s="381"/>
      <c r="K892" s="381"/>
      <c r="L892" s="381"/>
      <c r="M892" s="381"/>
      <c r="N892" s="381"/>
      <c r="O892" s="381"/>
      <c r="P892" s="381"/>
      <c r="Q892" s="381"/>
      <c r="R892" s="381"/>
      <c r="S892" s="381"/>
    </row>
    <row r="893" spans="1:19" ht="12.75" customHeight="1">
      <c r="A893" s="381"/>
      <c r="B893" s="389">
        <v>43591</v>
      </c>
      <c r="C893" s="390">
        <v>1950.55</v>
      </c>
      <c r="D893" s="393"/>
      <c r="E893" s="392">
        <f t="shared" si="0"/>
        <v>-6.0689135065173927E-3</v>
      </c>
      <c r="F893" s="393"/>
      <c r="G893" s="381"/>
      <c r="H893" s="381"/>
      <c r="I893" s="381"/>
      <c r="J893" s="381"/>
      <c r="K893" s="381"/>
      <c r="L893" s="381"/>
      <c r="M893" s="381"/>
      <c r="N893" s="381"/>
      <c r="O893" s="381"/>
      <c r="P893" s="381"/>
      <c r="Q893" s="381"/>
      <c r="R893" s="381"/>
      <c r="S893" s="381"/>
    </row>
    <row r="894" spans="1:19" ht="12.75" customHeight="1">
      <c r="A894" s="381"/>
      <c r="B894" s="389">
        <v>43592</v>
      </c>
      <c r="C894" s="390">
        <v>1921</v>
      </c>
      <c r="D894" s="393"/>
      <c r="E894" s="392">
        <f t="shared" si="0"/>
        <v>-1.5149573197303257E-2</v>
      </c>
      <c r="F894" s="393"/>
      <c r="G894" s="381"/>
      <c r="H894" s="381"/>
      <c r="I894" s="381"/>
      <c r="J894" s="381"/>
      <c r="K894" s="381"/>
      <c r="L894" s="381"/>
      <c r="M894" s="381"/>
      <c r="N894" s="381"/>
      <c r="O894" s="381"/>
      <c r="P894" s="381"/>
      <c r="Q894" s="381"/>
      <c r="R894" s="381"/>
      <c r="S894" s="381"/>
    </row>
    <row r="895" spans="1:19" ht="12.75" customHeight="1">
      <c r="A895" s="381"/>
      <c r="B895" s="389">
        <v>43593</v>
      </c>
      <c r="C895" s="390">
        <v>1917.77</v>
      </c>
      <c r="D895" s="393"/>
      <c r="E895" s="392">
        <f t="shared" si="0"/>
        <v>-1.6814159292035669E-3</v>
      </c>
      <c r="F895" s="393"/>
      <c r="G895" s="381"/>
      <c r="H895" s="381"/>
      <c r="I895" s="381"/>
      <c r="J895" s="381"/>
      <c r="K895" s="381"/>
      <c r="L895" s="381"/>
      <c r="M895" s="381"/>
      <c r="N895" s="381"/>
      <c r="O895" s="381"/>
      <c r="P895" s="381"/>
      <c r="Q895" s="381"/>
      <c r="R895" s="381"/>
      <c r="S895" s="381"/>
    </row>
    <row r="896" spans="1:19" ht="12.75" customHeight="1">
      <c r="A896" s="381"/>
      <c r="B896" s="389">
        <v>43594</v>
      </c>
      <c r="C896" s="390">
        <v>1899.87</v>
      </c>
      <c r="D896" s="393"/>
      <c r="E896" s="392">
        <f t="shared" si="0"/>
        <v>-9.333757437023249E-3</v>
      </c>
      <c r="F896" s="393"/>
      <c r="G896" s="381"/>
      <c r="H896" s="381"/>
      <c r="I896" s="381"/>
      <c r="J896" s="381"/>
      <c r="K896" s="381"/>
      <c r="L896" s="381"/>
      <c r="M896" s="381"/>
      <c r="N896" s="381"/>
      <c r="O896" s="381"/>
      <c r="P896" s="381"/>
      <c r="Q896" s="381"/>
      <c r="R896" s="381"/>
      <c r="S896" s="381"/>
    </row>
    <row r="897" spans="1:19" ht="12.75" customHeight="1">
      <c r="A897" s="381"/>
      <c r="B897" s="389">
        <v>43595</v>
      </c>
      <c r="C897" s="390">
        <v>1889.98</v>
      </c>
      <c r="D897" s="393"/>
      <c r="E897" s="392">
        <f t="shared" si="0"/>
        <v>-5.2056193318489319E-3</v>
      </c>
      <c r="F897" s="393"/>
      <c r="G897" s="381"/>
      <c r="H897" s="381"/>
      <c r="I897" s="381"/>
      <c r="J897" s="381"/>
      <c r="K897" s="381"/>
      <c r="L897" s="381"/>
      <c r="M897" s="381"/>
      <c r="N897" s="381"/>
      <c r="O897" s="381"/>
      <c r="P897" s="381"/>
      <c r="Q897" s="381"/>
      <c r="R897" s="381"/>
      <c r="S897" s="381"/>
    </row>
    <row r="898" spans="1:19" ht="12.75" customHeight="1">
      <c r="A898" s="381"/>
      <c r="B898" s="389">
        <v>43598</v>
      </c>
      <c r="C898" s="390">
        <v>1822.68</v>
      </c>
      <c r="D898" s="393"/>
      <c r="E898" s="392">
        <f t="shared" si="0"/>
        <v>-3.5608842421612885E-2</v>
      </c>
      <c r="F898" s="393"/>
      <c r="G898" s="381"/>
      <c r="H898" s="381"/>
      <c r="I898" s="381"/>
      <c r="J898" s="381"/>
      <c r="K898" s="381"/>
      <c r="L898" s="381"/>
      <c r="M898" s="381"/>
      <c r="N898" s="381"/>
      <c r="O898" s="381"/>
      <c r="P898" s="381"/>
      <c r="Q898" s="381"/>
      <c r="R898" s="381"/>
      <c r="S898" s="381"/>
    </row>
    <row r="899" spans="1:19" ht="12.75" customHeight="1">
      <c r="A899" s="381"/>
      <c r="B899" s="389">
        <v>43599</v>
      </c>
      <c r="C899" s="390">
        <v>1840.12</v>
      </c>
      <c r="D899" s="393"/>
      <c r="E899" s="392">
        <f t="shared" si="0"/>
        <v>9.5683279566352031E-3</v>
      </c>
      <c r="F899" s="393"/>
      <c r="G899" s="381"/>
      <c r="H899" s="381"/>
      <c r="I899" s="381"/>
      <c r="J899" s="381"/>
      <c r="K899" s="381"/>
      <c r="L899" s="381"/>
      <c r="M899" s="381"/>
      <c r="N899" s="381"/>
      <c r="O899" s="381"/>
      <c r="P899" s="381"/>
      <c r="Q899" s="381"/>
      <c r="R899" s="381"/>
      <c r="S899" s="381"/>
    </row>
    <row r="900" spans="1:19" ht="12.75" customHeight="1">
      <c r="A900" s="381"/>
      <c r="B900" s="389">
        <v>43600</v>
      </c>
      <c r="C900" s="390">
        <v>1871.15</v>
      </c>
      <c r="D900" s="393"/>
      <c r="E900" s="392">
        <f t="shared" si="0"/>
        <v>1.686303067191286E-2</v>
      </c>
      <c r="F900" s="393"/>
      <c r="G900" s="381"/>
      <c r="H900" s="381"/>
      <c r="I900" s="381"/>
      <c r="J900" s="381"/>
      <c r="K900" s="381"/>
      <c r="L900" s="381"/>
      <c r="M900" s="381"/>
      <c r="N900" s="381"/>
      <c r="O900" s="381"/>
      <c r="P900" s="381"/>
      <c r="Q900" s="381"/>
      <c r="R900" s="381"/>
      <c r="S900" s="381"/>
    </row>
    <row r="901" spans="1:19" ht="12.75" customHeight="1">
      <c r="A901" s="381"/>
      <c r="B901" s="389">
        <v>43601</v>
      </c>
      <c r="C901" s="390">
        <v>1907.57</v>
      </c>
      <c r="D901" s="393"/>
      <c r="E901" s="392">
        <f t="shared" si="0"/>
        <v>1.9463966010207612E-2</v>
      </c>
      <c r="F901" s="393"/>
      <c r="G901" s="381"/>
      <c r="H901" s="381"/>
      <c r="I901" s="381"/>
      <c r="J901" s="381"/>
      <c r="K901" s="381"/>
      <c r="L901" s="381"/>
      <c r="M901" s="381"/>
      <c r="N901" s="381"/>
      <c r="O901" s="381"/>
      <c r="P901" s="381"/>
      <c r="Q901" s="381"/>
      <c r="R901" s="381"/>
      <c r="S901" s="381"/>
    </row>
    <row r="902" spans="1:19" ht="12.75" customHeight="1">
      <c r="A902" s="381"/>
      <c r="B902" s="389">
        <v>43602</v>
      </c>
      <c r="C902" s="390">
        <v>1869</v>
      </c>
      <c r="D902" s="393"/>
      <c r="E902" s="392">
        <f t="shared" si="0"/>
        <v>-2.0219441488385725E-2</v>
      </c>
      <c r="F902" s="393"/>
      <c r="G902" s="381"/>
      <c r="H902" s="381"/>
      <c r="I902" s="381"/>
      <c r="J902" s="381"/>
      <c r="K902" s="381"/>
      <c r="L902" s="381"/>
      <c r="M902" s="381"/>
      <c r="N902" s="381"/>
      <c r="O902" s="381"/>
      <c r="P902" s="381"/>
      <c r="Q902" s="381"/>
      <c r="R902" s="381"/>
      <c r="S902" s="381"/>
    </row>
    <row r="903" spans="1:19" ht="12.75" customHeight="1">
      <c r="A903" s="381"/>
      <c r="B903" s="389">
        <v>43605</v>
      </c>
      <c r="C903" s="390">
        <v>1858.97</v>
      </c>
      <c r="D903" s="393"/>
      <c r="E903" s="392">
        <f t="shared" si="0"/>
        <v>-5.3665061530230318E-3</v>
      </c>
      <c r="F903" s="393"/>
      <c r="G903" s="381"/>
      <c r="H903" s="381"/>
      <c r="I903" s="381"/>
      <c r="J903" s="381"/>
      <c r="K903" s="381"/>
      <c r="L903" s="381"/>
      <c r="M903" s="381"/>
      <c r="N903" s="381"/>
      <c r="O903" s="381"/>
      <c r="P903" s="381"/>
      <c r="Q903" s="381"/>
      <c r="R903" s="381"/>
      <c r="S903" s="381"/>
    </row>
    <row r="904" spans="1:19" ht="12.75" customHeight="1">
      <c r="A904" s="381"/>
      <c r="B904" s="389">
        <v>43606</v>
      </c>
      <c r="C904" s="390">
        <v>1857.52</v>
      </c>
      <c r="D904" s="393"/>
      <c r="E904" s="392">
        <f t="shared" si="0"/>
        <v>-7.8000182896986736E-4</v>
      </c>
      <c r="F904" s="393"/>
      <c r="G904" s="381"/>
      <c r="H904" s="381"/>
      <c r="I904" s="381"/>
      <c r="J904" s="381"/>
      <c r="K904" s="381"/>
      <c r="L904" s="381"/>
      <c r="M904" s="381"/>
      <c r="N904" s="381"/>
      <c r="O904" s="381"/>
      <c r="P904" s="381"/>
      <c r="Q904" s="381"/>
      <c r="R904" s="381"/>
      <c r="S904" s="381"/>
    </row>
    <row r="905" spans="1:19" ht="12.75" customHeight="1">
      <c r="A905" s="381"/>
      <c r="B905" s="389">
        <v>43607</v>
      </c>
      <c r="C905" s="390">
        <v>1859.68</v>
      </c>
      <c r="D905" s="393"/>
      <c r="E905" s="392">
        <f t="shared" si="0"/>
        <v>1.1628407769499471E-3</v>
      </c>
      <c r="F905" s="393"/>
      <c r="G905" s="381"/>
      <c r="H905" s="381"/>
      <c r="I905" s="381"/>
      <c r="J905" s="381"/>
      <c r="K905" s="381"/>
      <c r="L905" s="381"/>
      <c r="M905" s="381"/>
      <c r="N905" s="381"/>
      <c r="O905" s="381"/>
      <c r="P905" s="381"/>
      <c r="Q905" s="381"/>
      <c r="R905" s="381"/>
      <c r="S905" s="381"/>
    </row>
    <row r="906" spans="1:19" ht="12.75" customHeight="1">
      <c r="A906" s="381"/>
      <c r="B906" s="389">
        <v>43608</v>
      </c>
      <c r="C906" s="390">
        <v>1815.48</v>
      </c>
      <c r="D906" s="393"/>
      <c r="E906" s="392">
        <f t="shared" si="0"/>
        <v>-2.3767529897616768E-2</v>
      </c>
      <c r="F906" s="393"/>
      <c r="G906" s="381"/>
      <c r="H906" s="381"/>
      <c r="I906" s="381"/>
      <c r="J906" s="381"/>
      <c r="K906" s="381"/>
      <c r="L906" s="381"/>
      <c r="M906" s="381"/>
      <c r="N906" s="381"/>
      <c r="O906" s="381"/>
      <c r="P906" s="381"/>
      <c r="Q906" s="381"/>
      <c r="R906" s="381"/>
      <c r="S906" s="381"/>
    </row>
    <row r="907" spans="1:19" ht="12.75" customHeight="1">
      <c r="A907" s="381"/>
      <c r="B907" s="389">
        <v>43609</v>
      </c>
      <c r="C907" s="390">
        <v>1823.28</v>
      </c>
      <c r="D907" s="393"/>
      <c r="E907" s="392">
        <f t="shared" si="0"/>
        <v>4.2963844272589924E-3</v>
      </c>
      <c r="F907" s="393"/>
      <c r="G907" s="381"/>
      <c r="H907" s="381"/>
      <c r="I907" s="381"/>
      <c r="J907" s="381"/>
      <c r="K907" s="381"/>
      <c r="L907" s="381"/>
      <c r="M907" s="381"/>
      <c r="N907" s="381"/>
      <c r="O907" s="381"/>
      <c r="P907" s="381"/>
      <c r="Q907" s="381"/>
      <c r="R907" s="381"/>
      <c r="S907" s="381"/>
    </row>
    <row r="908" spans="1:19" ht="12.75" customHeight="1">
      <c r="A908" s="381"/>
      <c r="B908" s="389">
        <v>43612</v>
      </c>
      <c r="C908" s="390">
        <v>1823.28</v>
      </c>
      <c r="D908" s="393"/>
      <c r="E908" s="392">
        <f t="shared" si="0"/>
        <v>0</v>
      </c>
      <c r="F908" s="393"/>
      <c r="G908" s="381"/>
      <c r="H908" s="381"/>
      <c r="I908" s="381"/>
      <c r="J908" s="381"/>
      <c r="K908" s="381"/>
      <c r="L908" s="381"/>
      <c r="M908" s="381"/>
      <c r="N908" s="381"/>
      <c r="O908" s="381"/>
      <c r="P908" s="381"/>
      <c r="Q908" s="381"/>
      <c r="R908" s="381"/>
      <c r="S908" s="381"/>
    </row>
    <row r="909" spans="1:19" ht="12.75" customHeight="1">
      <c r="A909" s="381"/>
      <c r="B909" s="389">
        <v>43613</v>
      </c>
      <c r="C909" s="390">
        <v>1836.43</v>
      </c>
      <c r="D909" s="393"/>
      <c r="E909" s="392">
        <f t="shared" si="0"/>
        <v>7.212276775920401E-3</v>
      </c>
      <c r="F909" s="393"/>
      <c r="G909" s="381"/>
      <c r="H909" s="381"/>
      <c r="I909" s="381"/>
      <c r="J909" s="381"/>
      <c r="K909" s="381"/>
      <c r="L909" s="381"/>
      <c r="M909" s="381"/>
      <c r="N909" s="381"/>
      <c r="O909" s="381"/>
      <c r="P909" s="381"/>
      <c r="Q909" s="381"/>
      <c r="R909" s="381"/>
      <c r="S909" s="381"/>
    </row>
    <row r="910" spans="1:19" ht="12.75" customHeight="1">
      <c r="A910" s="381"/>
      <c r="B910" s="389">
        <v>43614</v>
      </c>
      <c r="C910" s="390">
        <v>1819.19</v>
      </c>
      <c r="D910" s="393"/>
      <c r="E910" s="392">
        <f t="shared" si="0"/>
        <v>-9.3877795505410422E-3</v>
      </c>
      <c r="F910" s="393"/>
      <c r="G910" s="381"/>
      <c r="H910" s="381"/>
      <c r="I910" s="381"/>
      <c r="J910" s="381"/>
      <c r="K910" s="381"/>
      <c r="L910" s="381"/>
      <c r="M910" s="381"/>
      <c r="N910" s="381"/>
      <c r="O910" s="381"/>
      <c r="P910" s="381"/>
      <c r="Q910" s="381"/>
      <c r="R910" s="381"/>
      <c r="S910" s="381"/>
    </row>
    <row r="911" spans="1:19" ht="12.75" customHeight="1">
      <c r="A911" s="381"/>
      <c r="B911" s="389">
        <v>43615</v>
      </c>
      <c r="C911" s="390">
        <v>1816.32</v>
      </c>
      <c r="D911" s="393"/>
      <c r="E911" s="392">
        <f t="shared" si="0"/>
        <v>-1.5776252068229191E-3</v>
      </c>
      <c r="F911" s="393"/>
      <c r="G911" s="381"/>
      <c r="H911" s="381"/>
      <c r="I911" s="381"/>
      <c r="J911" s="381"/>
      <c r="K911" s="381"/>
      <c r="L911" s="381"/>
      <c r="M911" s="381"/>
      <c r="N911" s="381"/>
      <c r="O911" s="381"/>
      <c r="P911" s="381"/>
      <c r="Q911" s="381"/>
      <c r="R911" s="381"/>
      <c r="S911" s="381"/>
    </row>
    <row r="912" spans="1:19" ht="12.75" customHeight="1">
      <c r="A912" s="381"/>
      <c r="B912" s="389">
        <v>43616</v>
      </c>
      <c r="C912" s="390">
        <v>1775.07</v>
      </c>
      <c r="D912" s="393"/>
      <c r="E912" s="392">
        <f t="shared" si="0"/>
        <v>-2.2710755813953543E-2</v>
      </c>
      <c r="F912" s="393"/>
      <c r="G912" s="381"/>
      <c r="H912" s="381"/>
      <c r="I912" s="381"/>
      <c r="J912" s="381"/>
      <c r="K912" s="381"/>
      <c r="L912" s="381"/>
      <c r="M912" s="381"/>
      <c r="N912" s="381"/>
      <c r="O912" s="381"/>
      <c r="P912" s="381"/>
      <c r="Q912" s="381"/>
      <c r="R912" s="381"/>
      <c r="S912" s="381"/>
    </row>
    <row r="913" spans="1:19" ht="12.75" customHeight="1">
      <c r="A913" s="381"/>
      <c r="B913" s="389">
        <v>43619</v>
      </c>
      <c r="C913" s="390">
        <v>1692.69</v>
      </c>
      <c r="D913" s="393"/>
      <c r="E913" s="392">
        <f t="shared" si="0"/>
        <v>-4.6409437374300699E-2</v>
      </c>
      <c r="F913" s="393"/>
      <c r="G913" s="381"/>
      <c r="H913" s="381"/>
      <c r="I913" s="381"/>
      <c r="J913" s="381"/>
      <c r="K913" s="381"/>
      <c r="L913" s="381"/>
      <c r="M913" s="381"/>
      <c r="N913" s="381"/>
      <c r="O913" s="381"/>
      <c r="P913" s="381"/>
      <c r="Q913" s="381"/>
      <c r="R913" s="381"/>
      <c r="S913" s="381"/>
    </row>
    <row r="914" spans="1:19" ht="12.75" customHeight="1">
      <c r="A914" s="381"/>
      <c r="B914" s="389">
        <v>43620</v>
      </c>
      <c r="C914" s="390">
        <v>1729.56</v>
      </c>
      <c r="D914" s="393"/>
      <c r="E914" s="392">
        <f t="shared" si="0"/>
        <v>2.1781897453166277E-2</v>
      </c>
      <c r="F914" s="393"/>
      <c r="G914" s="381"/>
      <c r="H914" s="381"/>
      <c r="I914" s="381"/>
      <c r="J914" s="381"/>
      <c r="K914" s="381"/>
      <c r="L914" s="381"/>
      <c r="M914" s="381"/>
      <c r="N914" s="381"/>
      <c r="O914" s="381"/>
      <c r="P914" s="381"/>
      <c r="Q914" s="381"/>
      <c r="R914" s="381"/>
      <c r="S914" s="381"/>
    </row>
    <row r="915" spans="1:19" ht="12.75" customHeight="1">
      <c r="A915" s="381"/>
      <c r="B915" s="389">
        <v>43621</v>
      </c>
      <c r="C915" s="390">
        <v>1738.5</v>
      </c>
      <c r="D915" s="393"/>
      <c r="E915" s="392">
        <f t="shared" si="0"/>
        <v>5.1689447026990187E-3</v>
      </c>
      <c r="F915" s="393"/>
      <c r="G915" s="381"/>
      <c r="H915" s="381"/>
      <c r="I915" s="381"/>
      <c r="J915" s="381"/>
      <c r="K915" s="381"/>
      <c r="L915" s="381"/>
      <c r="M915" s="381"/>
      <c r="N915" s="381"/>
      <c r="O915" s="381"/>
      <c r="P915" s="381"/>
      <c r="Q915" s="381"/>
      <c r="R915" s="381"/>
      <c r="S915" s="381"/>
    </row>
    <row r="916" spans="1:19" ht="12.75" customHeight="1">
      <c r="A916" s="381"/>
      <c r="B916" s="389">
        <v>43622</v>
      </c>
      <c r="C916" s="390">
        <v>1754.36</v>
      </c>
      <c r="D916" s="393"/>
      <c r="E916" s="392">
        <f t="shared" si="0"/>
        <v>9.1228070175437548E-3</v>
      </c>
      <c r="F916" s="393"/>
      <c r="G916" s="381"/>
      <c r="H916" s="381"/>
      <c r="I916" s="381"/>
      <c r="J916" s="381"/>
      <c r="K916" s="381"/>
      <c r="L916" s="381"/>
      <c r="M916" s="381"/>
      <c r="N916" s="381"/>
      <c r="O916" s="381"/>
      <c r="P916" s="381"/>
      <c r="Q916" s="381"/>
      <c r="R916" s="381"/>
      <c r="S916" s="381"/>
    </row>
    <row r="917" spans="1:19" ht="12.75" customHeight="1">
      <c r="A917" s="381"/>
      <c r="B917" s="389">
        <v>43623</v>
      </c>
      <c r="C917" s="390">
        <v>1804.03</v>
      </c>
      <c r="D917" s="393"/>
      <c r="E917" s="392">
        <f t="shared" si="0"/>
        <v>2.8312319022321564E-2</v>
      </c>
      <c r="F917" s="393"/>
      <c r="G917" s="381"/>
      <c r="H917" s="381"/>
      <c r="I917" s="381"/>
      <c r="J917" s="381"/>
      <c r="K917" s="381"/>
      <c r="L917" s="381"/>
      <c r="M917" s="381"/>
      <c r="N917" s="381"/>
      <c r="O917" s="381"/>
      <c r="P917" s="381"/>
      <c r="Q917" s="381"/>
      <c r="R917" s="381"/>
      <c r="S917" s="381"/>
    </row>
    <row r="918" spans="1:19" ht="12.75" customHeight="1">
      <c r="A918" s="381"/>
      <c r="B918" s="389">
        <v>43626</v>
      </c>
      <c r="C918" s="390">
        <v>1860.63</v>
      </c>
      <c r="D918" s="393"/>
      <c r="E918" s="392">
        <f t="shared" si="0"/>
        <v>3.1374201094216847E-2</v>
      </c>
      <c r="F918" s="393"/>
      <c r="G918" s="381"/>
      <c r="H918" s="381"/>
      <c r="I918" s="381"/>
      <c r="J918" s="381"/>
      <c r="K918" s="381"/>
      <c r="L918" s="381"/>
      <c r="M918" s="381"/>
      <c r="N918" s="381"/>
      <c r="O918" s="381"/>
      <c r="P918" s="381"/>
      <c r="Q918" s="381"/>
      <c r="R918" s="381"/>
      <c r="S918" s="381"/>
    </row>
    <row r="919" spans="1:19" ht="12.75" customHeight="1">
      <c r="A919" s="381"/>
      <c r="B919" s="389">
        <v>43627</v>
      </c>
      <c r="C919" s="390">
        <v>1863.7</v>
      </c>
      <c r="D919" s="393"/>
      <c r="E919" s="392">
        <f t="shared" si="0"/>
        <v>1.6499787706314439E-3</v>
      </c>
      <c r="F919" s="393"/>
      <c r="G919" s="381"/>
      <c r="H919" s="381"/>
      <c r="I919" s="381"/>
      <c r="J919" s="381"/>
      <c r="K919" s="381"/>
      <c r="L919" s="381"/>
      <c r="M919" s="381"/>
      <c r="N919" s="381"/>
      <c r="O919" s="381"/>
      <c r="P919" s="381"/>
      <c r="Q919" s="381"/>
      <c r="R919" s="381"/>
      <c r="S919" s="381"/>
    </row>
    <row r="920" spans="1:19" ht="12.75" customHeight="1">
      <c r="A920" s="381"/>
      <c r="B920" s="389">
        <v>43628</v>
      </c>
      <c r="C920" s="390">
        <v>1855.32</v>
      </c>
      <c r="D920" s="393"/>
      <c r="E920" s="392">
        <f t="shared" si="0"/>
        <v>-4.4964318291571548E-3</v>
      </c>
      <c r="F920" s="393"/>
      <c r="G920" s="381"/>
      <c r="H920" s="381"/>
      <c r="I920" s="381"/>
      <c r="J920" s="381"/>
      <c r="K920" s="381"/>
      <c r="L920" s="381"/>
      <c r="M920" s="381"/>
      <c r="N920" s="381"/>
      <c r="O920" s="381"/>
      <c r="P920" s="381"/>
      <c r="Q920" s="381"/>
      <c r="R920" s="381"/>
      <c r="S920" s="381"/>
    </row>
    <row r="921" spans="1:19" ht="12.75" customHeight="1">
      <c r="A921" s="381"/>
      <c r="B921" s="389">
        <v>43629</v>
      </c>
      <c r="C921" s="390">
        <v>1870.3</v>
      </c>
      <c r="D921" s="393"/>
      <c r="E921" s="392">
        <f t="shared" si="0"/>
        <v>8.074078865101475E-3</v>
      </c>
      <c r="F921" s="393"/>
      <c r="G921" s="381"/>
      <c r="H921" s="381"/>
      <c r="I921" s="381"/>
      <c r="J921" s="381"/>
      <c r="K921" s="381"/>
      <c r="L921" s="381"/>
      <c r="M921" s="381"/>
      <c r="N921" s="381"/>
      <c r="O921" s="381"/>
      <c r="P921" s="381"/>
      <c r="Q921" s="381"/>
      <c r="R921" s="381"/>
      <c r="S921" s="381"/>
    </row>
    <row r="922" spans="1:19" ht="12.75" customHeight="1">
      <c r="A922" s="381"/>
      <c r="B922" s="389">
        <v>43630</v>
      </c>
      <c r="C922" s="390">
        <v>1869.67</v>
      </c>
      <c r="D922" s="393"/>
      <c r="E922" s="392">
        <f t="shared" si="0"/>
        <v>-3.3684435652026057E-4</v>
      </c>
      <c r="F922" s="393"/>
      <c r="G922" s="381"/>
      <c r="H922" s="381"/>
      <c r="I922" s="381"/>
      <c r="J922" s="381"/>
      <c r="K922" s="381"/>
      <c r="L922" s="381"/>
      <c r="M922" s="381"/>
      <c r="N922" s="381"/>
      <c r="O922" s="381"/>
      <c r="P922" s="381"/>
      <c r="Q922" s="381"/>
      <c r="R922" s="381"/>
      <c r="S922" s="381"/>
    </row>
    <row r="923" spans="1:19" ht="12.75" customHeight="1">
      <c r="A923" s="381"/>
      <c r="B923" s="389">
        <v>43633</v>
      </c>
      <c r="C923" s="390">
        <v>1886.03</v>
      </c>
      <c r="D923" s="393"/>
      <c r="E923" s="392">
        <f t="shared" si="0"/>
        <v>8.7502072558258703E-3</v>
      </c>
      <c r="F923" s="393"/>
      <c r="G923" s="381"/>
      <c r="H923" s="381"/>
      <c r="I923" s="381"/>
      <c r="J923" s="381"/>
      <c r="K923" s="381"/>
      <c r="L923" s="381"/>
      <c r="M923" s="381"/>
      <c r="N923" s="381"/>
      <c r="O923" s="381"/>
      <c r="P923" s="381"/>
      <c r="Q923" s="381"/>
      <c r="R923" s="381"/>
      <c r="S923" s="381"/>
    </row>
    <row r="924" spans="1:19" ht="12.75" customHeight="1">
      <c r="A924" s="381"/>
      <c r="B924" s="389">
        <v>43634</v>
      </c>
      <c r="C924" s="390">
        <v>1901.37</v>
      </c>
      <c r="D924" s="393"/>
      <c r="E924" s="392">
        <f t="shared" si="0"/>
        <v>8.133486741992435E-3</v>
      </c>
      <c r="F924" s="393"/>
      <c r="G924" s="381"/>
      <c r="H924" s="381"/>
      <c r="I924" s="381"/>
      <c r="J924" s="381"/>
      <c r="K924" s="381"/>
      <c r="L924" s="381"/>
      <c r="M924" s="381"/>
      <c r="N924" s="381"/>
      <c r="O924" s="381"/>
      <c r="P924" s="381"/>
      <c r="Q924" s="381"/>
      <c r="R924" s="381"/>
      <c r="S924" s="381"/>
    </row>
    <row r="925" spans="1:19" ht="12.75" customHeight="1">
      <c r="A925" s="381"/>
      <c r="B925" s="389">
        <v>43635</v>
      </c>
      <c r="C925" s="390">
        <v>1908.79</v>
      </c>
      <c r="D925" s="393"/>
      <c r="E925" s="392">
        <f t="shared" si="0"/>
        <v>3.9024492865671334E-3</v>
      </c>
      <c r="F925" s="393"/>
      <c r="G925" s="381"/>
      <c r="H925" s="381"/>
      <c r="I925" s="381"/>
      <c r="J925" s="381"/>
      <c r="K925" s="381"/>
      <c r="L925" s="381"/>
      <c r="M925" s="381"/>
      <c r="N925" s="381"/>
      <c r="O925" s="381"/>
      <c r="P925" s="381"/>
      <c r="Q925" s="381"/>
      <c r="R925" s="381"/>
      <c r="S925" s="381"/>
    </row>
    <row r="926" spans="1:19" ht="12.75" customHeight="1">
      <c r="A926" s="381"/>
      <c r="B926" s="389">
        <v>43636</v>
      </c>
      <c r="C926" s="390">
        <v>1918.19</v>
      </c>
      <c r="D926" s="393"/>
      <c r="E926" s="392">
        <f t="shared" si="0"/>
        <v>4.9245857323225728E-3</v>
      </c>
      <c r="F926" s="393"/>
      <c r="G926" s="381"/>
      <c r="H926" s="381"/>
      <c r="I926" s="381"/>
      <c r="J926" s="381"/>
      <c r="K926" s="381"/>
      <c r="L926" s="381"/>
      <c r="M926" s="381"/>
      <c r="N926" s="381"/>
      <c r="O926" s="381"/>
      <c r="P926" s="381"/>
      <c r="Q926" s="381"/>
      <c r="R926" s="381"/>
      <c r="S926" s="381"/>
    </row>
    <row r="927" spans="1:19" ht="12.75" customHeight="1">
      <c r="A927" s="381"/>
      <c r="B927" s="389">
        <v>43637</v>
      </c>
      <c r="C927" s="390">
        <v>1911.3</v>
      </c>
      <c r="D927" s="393"/>
      <c r="E927" s="392">
        <f t="shared" si="0"/>
        <v>-3.5919278069430627E-3</v>
      </c>
      <c r="F927" s="393"/>
      <c r="G927" s="381"/>
      <c r="H927" s="381"/>
      <c r="I927" s="381"/>
      <c r="J927" s="381"/>
      <c r="K927" s="381"/>
      <c r="L927" s="381"/>
      <c r="M927" s="381"/>
      <c r="N927" s="381"/>
      <c r="O927" s="381"/>
      <c r="P927" s="381"/>
      <c r="Q927" s="381"/>
      <c r="R927" s="381"/>
      <c r="S927" s="381"/>
    </row>
    <row r="928" spans="1:19" ht="12.75" customHeight="1">
      <c r="A928" s="381"/>
      <c r="B928" s="389">
        <v>43640</v>
      </c>
      <c r="C928" s="390">
        <v>1913.9</v>
      </c>
      <c r="D928" s="393"/>
      <c r="E928" s="392">
        <f t="shared" si="0"/>
        <v>1.3603306649925262E-3</v>
      </c>
      <c r="F928" s="393"/>
      <c r="G928" s="381"/>
      <c r="H928" s="381"/>
      <c r="I928" s="381"/>
      <c r="J928" s="381"/>
      <c r="K928" s="381"/>
      <c r="L928" s="381"/>
      <c r="M928" s="381"/>
      <c r="N928" s="381"/>
      <c r="O928" s="381"/>
      <c r="P928" s="381"/>
      <c r="Q928" s="381"/>
      <c r="R928" s="381"/>
      <c r="S928" s="381"/>
    </row>
    <row r="929" spans="1:19" ht="12.75" customHeight="1">
      <c r="A929" s="381"/>
      <c r="B929" s="389">
        <v>43641</v>
      </c>
      <c r="C929" s="390">
        <v>1878.27</v>
      </c>
      <c r="D929" s="393"/>
      <c r="E929" s="392">
        <f t="shared" si="0"/>
        <v>-1.8616437640420092E-2</v>
      </c>
      <c r="F929" s="393"/>
      <c r="G929" s="381"/>
      <c r="H929" s="381"/>
      <c r="I929" s="381"/>
      <c r="J929" s="381"/>
      <c r="K929" s="381"/>
      <c r="L929" s="381"/>
      <c r="M929" s="381"/>
      <c r="N929" s="381"/>
      <c r="O929" s="381"/>
      <c r="P929" s="381"/>
      <c r="Q929" s="381"/>
      <c r="R929" s="381"/>
      <c r="S929" s="381"/>
    </row>
    <row r="930" spans="1:19" ht="12.75" customHeight="1">
      <c r="A930" s="381"/>
      <c r="B930" s="389">
        <v>43642</v>
      </c>
      <c r="C930" s="390">
        <v>1897.83</v>
      </c>
      <c r="D930" s="393"/>
      <c r="E930" s="392">
        <f t="shared" si="0"/>
        <v>1.0413838266063902E-2</v>
      </c>
      <c r="F930" s="393"/>
      <c r="G930" s="381"/>
      <c r="H930" s="381"/>
      <c r="I930" s="381"/>
      <c r="J930" s="381"/>
      <c r="K930" s="381"/>
      <c r="L930" s="381"/>
      <c r="M930" s="381"/>
      <c r="N930" s="381"/>
      <c r="O930" s="381"/>
      <c r="P930" s="381"/>
      <c r="Q930" s="381"/>
      <c r="R930" s="381"/>
      <c r="S930" s="381"/>
    </row>
    <row r="931" spans="1:19" ht="12.75" customHeight="1">
      <c r="A931" s="381"/>
      <c r="B931" s="389">
        <v>43643</v>
      </c>
      <c r="C931" s="390">
        <v>1904.28</v>
      </c>
      <c r="D931" s="393"/>
      <c r="E931" s="392">
        <f t="shared" si="0"/>
        <v>3.3986184220926585E-3</v>
      </c>
      <c r="F931" s="393"/>
      <c r="G931" s="381"/>
      <c r="H931" s="381"/>
      <c r="I931" s="381"/>
      <c r="J931" s="381"/>
      <c r="K931" s="381"/>
      <c r="L931" s="381"/>
      <c r="M931" s="381"/>
      <c r="N931" s="381"/>
      <c r="O931" s="381"/>
      <c r="P931" s="381"/>
      <c r="Q931" s="381"/>
      <c r="R931" s="381"/>
      <c r="S931" s="381"/>
    </row>
    <row r="932" spans="1:19" ht="12.75" customHeight="1">
      <c r="A932" s="381"/>
      <c r="B932" s="389">
        <v>43644</v>
      </c>
      <c r="C932" s="390">
        <v>1893.63</v>
      </c>
      <c r="D932" s="393"/>
      <c r="E932" s="392">
        <f t="shared" si="0"/>
        <v>-5.5926649442308296E-3</v>
      </c>
      <c r="F932" s="393"/>
      <c r="G932" s="381"/>
      <c r="H932" s="381"/>
      <c r="I932" s="381"/>
      <c r="J932" s="381"/>
      <c r="K932" s="381"/>
      <c r="L932" s="381"/>
      <c r="M932" s="381"/>
      <c r="N932" s="381"/>
      <c r="O932" s="381"/>
      <c r="P932" s="381"/>
      <c r="Q932" s="381"/>
      <c r="R932" s="381"/>
      <c r="S932" s="381"/>
    </row>
    <row r="933" spans="1:19" ht="12.75" customHeight="1">
      <c r="A933" s="381"/>
      <c r="B933" s="389">
        <v>43647</v>
      </c>
      <c r="C933" s="390">
        <v>1922.19</v>
      </c>
      <c r="D933" s="393"/>
      <c r="E933" s="392">
        <f t="shared" si="0"/>
        <v>1.5082143819014293E-2</v>
      </c>
      <c r="F933" s="393"/>
      <c r="G933" s="381"/>
      <c r="H933" s="381"/>
      <c r="I933" s="381"/>
      <c r="J933" s="381"/>
      <c r="K933" s="381"/>
      <c r="L933" s="381"/>
      <c r="M933" s="381"/>
      <c r="N933" s="381"/>
      <c r="O933" s="381"/>
      <c r="P933" s="381"/>
      <c r="Q933" s="381"/>
      <c r="R933" s="381"/>
      <c r="S933" s="381"/>
    </row>
    <row r="934" spans="1:19" ht="12.75" customHeight="1">
      <c r="A934" s="381"/>
      <c r="B934" s="389">
        <v>43648</v>
      </c>
      <c r="C934" s="390">
        <v>1934.31</v>
      </c>
      <c r="D934" s="393"/>
      <c r="E934" s="392">
        <f t="shared" si="0"/>
        <v>6.3053080080532897E-3</v>
      </c>
      <c r="F934" s="393"/>
      <c r="G934" s="381"/>
      <c r="H934" s="381"/>
      <c r="I934" s="381"/>
      <c r="J934" s="381"/>
      <c r="K934" s="381"/>
      <c r="L934" s="381"/>
      <c r="M934" s="381"/>
      <c r="N934" s="381"/>
      <c r="O934" s="381"/>
      <c r="P934" s="381"/>
      <c r="Q934" s="381"/>
      <c r="R934" s="381"/>
      <c r="S934" s="381"/>
    </row>
    <row r="935" spans="1:19" ht="12.75" customHeight="1">
      <c r="A935" s="381"/>
      <c r="B935" s="389">
        <v>43649</v>
      </c>
      <c r="C935" s="390">
        <v>1939</v>
      </c>
      <c r="D935" s="393"/>
      <c r="E935" s="392">
        <f t="shared" si="0"/>
        <v>2.4246372091341062E-3</v>
      </c>
      <c r="F935" s="393"/>
      <c r="G935" s="381"/>
      <c r="H935" s="381"/>
      <c r="I935" s="381"/>
      <c r="J935" s="381"/>
      <c r="K935" s="381"/>
      <c r="L935" s="381"/>
      <c r="M935" s="381"/>
      <c r="N935" s="381"/>
      <c r="O935" s="381"/>
      <c r="P935" s="381"/>
      <c r="Q935" s="381"/>
      <c r="R935" s="381"/>
      <c r="S935" s="381"/>
    </row>
    <row r="936" spans="1:19" ht="12.75" customHeight="1">
      <c r="A936" s="381"/>
      <c r="B936" s="389">
        <v>43650</v>
      </c>
      <c r="C936" s="390">
        <v>1939</v>
      </c>
      <c r="D936" s="393"/>
      <c r="E936" s="392">
        <f t="shared" si="0"/>
        <v>0</v>
      </c>
      <c r="F936" s="393"/>
      <c r="G936" s="381"/>
      <c r="H936" s="381"/>
      <c r="I936" s="381"/>
      <c r="J936" s="381"/>
      <c r="K936" s="381"/>
      <c r="L936" s="381"/>
      <c r="M936" s="381"/>
      <c r="N936" s="381"/>
      <c r="O936" s="381"/>
      <c r="P936" s="381"/>
      <c r="Q936" s="381"/>
      <c r="R936" s="381"/>
      <c r="S936" s="381"/>
    </row>
    <row r="937" spans="1:19" ht="12.75" customHeight="1">
      <c r="A937" s="381"/>
      <c r="B937" s="389">
        <v>43651</v>
      </c>
      <c r="C937" s="390">
        <v>1942.91</v>
      </c>
      <c r="D937" s="393"/>
      <c r="E937" s="392">
        <f t="shared" si="0"/>
        <v>2.0165033522434594E-3</v>
      </c>
      <c r="F937" s="393"/>
      <c r="G937" s="381"/>
      <c r="H937" s="381"/>
      <c r="I937" s="381"/>
      <c r="J937" s="381"/>
      <c r="K937" s="381"/>
      <c r="L937" s="381"/>
      <c r="M937" s="381"/>
      <c r="N937" s="381"/>
      <c r="O937" s="381"/>
      <c r="P937" s="381"/>
      <c r="Q937" s="381"/>
      <c r="R937" s="381"/>
      <c r="S937" s="381"/>
    </row>
    <row r="938" spans="1:19" ht="12.75" customHeight="1">
      <c r="A938" s="381"/>
      <c r="B938" s="389">
        <v>43654</v>
      </c>
      <c r="C938" s="390">
        <v>1952.32</v>
      </c>
      <c r="D938" s="393"/>
      <c r="E938" s="392">
        <f t="shared" si="0"/>
        <v>4.8432505880353638E-3</v>
      </c>
      <c r="F938" s="393"/>
      <c r="G938" s="381"/>
      <c r="H938" s="381"/>
      <c r="I938" s="381"/>
      <c r="J938" s="381"/>
      <c r="K938" s="381"/>
      <c r="L938" s="381"/>
      <c r="M938" s="381"/>
      <c r="N938" s="381"/>
      <c r="O938" s="381"/>
      <c r="P938" s="381"/>
      <c r="Q938" s="381"/>
      <c r="R938" s="381"/>
      <c r="S938" s="381"/>
    </row>
    <row r="939" spans="1:19" ht="12.75" customHeight="1">
      <c r="A939" s="381"/>
      <c r="B939" s="389">
        <v>43655</v>
      </c>
      <c r="C939" s="390">
        <v>1988.3</v>
      </c>
      <c r="D939" s="393"/>
      <c r="E939" s="392">
        <f t="shared" si="0"/>
        <v>1.8429355843304407E-2</v>
      </c>
      <c r="F939" s="393"/>
      <c r="G939" s="381"/>
      <c r="H939" s="381"/>
      <c r="I939" s="381"/>
      <c r="J939" s="381"/>
      <c r="K939" s="381"/>
      <c r="L939" s="381"/>
      <c r="M939" s="381"/>
      <c r="N939" s="381"/>
      <c r="O939" s="381"/>
      <c r="P939" s="381"/>
      <c r="Q939" s="381"/>
      <c r="R939" s="381"/>
      <c r="S939" s="381"/>
    </row>
    <row r="940" spans="1:19" ht="12.75" customHeight="1">
      <c r="A940" s="381"/>
      <c r="B940" s="389">
        <v>43656</v>
      </c>
      <c r="C940" s="390">
        <v>2017.41</v>
      </c>
      <c r="D940" s="393"/>
      <c r="E940" s="392">
        <f t="shared" si="0"/>
        <v>1.4640647789569083E-2</v>
      </c>
      <c r="F940" s="393"/>
      <c r="G940" s="381"/>
      <c r="H940" s="381"/>
      <c r="I940" s="381"/>
      <c r="J940" s="381"/>
      <c r="K940" s="381"/>
      <c r="L940" s="381"/>
      <c r="M940" s="381"/>
      <c r="N940" s="381"/>
      <c r="O940" s="381"/>
      <c r="P940" s="381"/>
      <c r="Q940" s="381"/>
      <c r="R940" s="381"/>
      <c r="S940" s="381"/>
    </row>
    <row r="941" spans="1:19" ht="12.75" customHeight="1">
      <c r="A941" s="381"/>
      <c r="B941" s="389">
        <v>43657</v>
      </c>
      <c r="C941" s="390">
        <v>2001.07</v>
      </c>
      <c r="D941" s="393"/>
      <c r="E941" s="392">
        <f t="shared" si="0"/>
        <v>-8.0994939055522019E-3</v>
      </c>
      <c r="F941" s="393"/>
      <c r="G941" s="381"/>
      <c r="H941" s="381"/>
      <c r="I941" s="381"/>
      <c r="J941" s="381"/>
      <c r="K941" s="381"/>
      <c r="L941" s="381"/>
      <c r="M941" s="381"/>
      <c r="N941" s="381"/>
      <c r="O941" s="381"/>
      <c r="P941" s="381"/>
      <c r="Q941" s="381"/>
      <c r="R941" s="381"/>
      <c r="S941" s="381"/>
    </row>
    <row r="942" spans="1:19" ht="12.75" customHeight="1">
      <c r="A942" s="381"/>
      <c r="B942" s="389">
        <v>43658</v>
      </c>
      <c r="C942" s="390">
        <v>2011</v>
      </c>
      <c r="D942" s="393"/>
      <c r="E942" s="392">
        <f t="shared" si="0"/>
        <v>4.9623451453473244E-3</v>
      </c>
      <c r="F942" s="393"/>
      <c r="G942" s="381"/>
      <c r="H942" s="381"/>
      <c r="I942" s="381"/>
      <c r="J942" s="381"/>
      <c r="K942" s="381"/>
      <c r="L942" s="381"/>
      <c r="M942" s="381"/>
      <c r="N942" s="381"/>
      <c r="O942" s="381"/>
      <c r="P942" s="381"/>
      <c r="Q942" s="381"/>
      <c r="R942" s="381"/>
      <c r="S942" s="381"/>
    </row>
    <row r="943" spans="1:19" ht="12.75" customHeight="1">
      <c r="A943" s="381"/>
      <c r="B943" s="389">
        <v>43661</v>
      </c>
      <c r="C943" s="390">
        <v>2020.99</v>
      </c>
      <c r="D943" s="393"/>
      <c r="E943" s="392">
        <f t="shared" si="0"/>
        <v>4.9676777722527099E-3</v>
      </c>
      <c r="F943" s="393"/>
      <c r="G943" s="381"/>
      <c r="H943" s="381"/>
      <c r="I943" s="381"/>
      <c r="J943" s="381"/>
      <c r="K943" s="381"/>
      <c r="L943" s="381"/>
      <c r="M943" s="381"/>
      <c r="N943" s="381"/>
      <c r="O943" s="381"/>
      <c r="P943" s="381"/>
      <c r="Q943" s="381"/>
      <c r="R943" s="381"/>
      <c r="S943" s="381"/>
    </row>
    <row r="944" spans="1:19" ht="12.75" customHeight="1">
      <c r="A944" s="381"/>
      <c r="B944" s="389">
        <v>43662</v>
      </c>
      <c r="C944" s="390">
        <v>2009.9</v>
      </c>
      <c r="D944" s="393"/>
      <c r="E944" s="392">
        <f t="shared" si="0"/>
        <v>-5.4874096358714652E-3</v>
      </c>
      <c r="F944" s="393"/>
      <c r="G944" s="381"/>
      <c r="H944" s="381"/>
      <c r="I944" s="381"/>
      <c r="J944" s="381"/>
      <c r="K944" s="381"/>
      <c r="L944" s="381"/>
      <c r="M944" s="381"/>
      <c r="N944" s="381"/>
      <c r="O944" s="381"/>
      <c r="P944" s="381"/>
      <c r="Q944" s="381"/>
      <c r="R944" s="381"/>
      <c r="S944" s="381"/>
    </row>
    <row r="945" spans="1:19" ht="12.75" customHeight="1">
      <c r="A945" s="381"/>
      <c r="B945" s="389">
        <v>43663</v>
      </c>
      <c r="C945" s="390">
        <v>1992.03</v>
      </c>
      <c r="D945" s="393"/>
      <c r="E945" s="392">
        <f t="shared" si="0"/>
        <v>-8.8909896014727208E-3</v>
      </c>
      <c r="F945" s="393"/>
      <c r="G945" s="381"/>
      <c r="H945" s="381"/>
      <c r="I945" s="381"/>
      <c r="J945" s="381"/>
      <c r="K945" s="381"/>
      <c r="L945" s="381"/>
      <c r="M945" s="381"/>
      <c r="N945" s="381"/>
      <c r="O945" s="381"/>
      <c r="P945" s="381"/>
      <c r="Q945" s="381"/>
      <c r="R945" s="381"/>
      <c r="S945" s="381"/>
    </row>
    <row r="946" spans="1:19" ht="12.75" customHeight="1">
      <c r="A946" s="381"/>
      <c r="B946" s="389">
        <v>43664</v>
      </c>
      <c r="C946" s="390">
        <v>1977.9</v>
      </c>
      <c r="D946" s="393"/>
      <c r="E946" s="392">
        <f t="shared" si="0"/>
        <v>-7.093266667670628E-3</v>
      </c>
      <c r="F946" s="393"/>
      <c r="G946" s="381"/>
      <c r="H946" s="381"/>
      <c r="I946" s="381"/>
      <c r="J946" s="381"/>
      <c r="K946" s="381"/>
      <c r="L946" s="381"/>
      <c r="M946" s="381"/>
      <c r="N946" s="381"/>
      <c r="O946" s="381"/>
      <c r="P946" s="381"/>
      <c r="Q946" s="381"/>
      <c r="R946" s="381"/>
      <c r="S946" s="381"/>
    </row>
    <row r="947" spans="1:19" ht="12.75" customHeight="1">
      <c r="A947" s="381"/>
      <c r="B947" s="389">
        <v>43665</v>
      </c>
      <c r="C947" s="390">
        <v>1964.52</v>
      </c>
      <c r="D947" s="393"/>
      <c r="E947" s="392">
        <f t="shared" si="0"/>
        <v>-6.7647504929471136E-3</v>
      </c>
      <c r="F947" s="393"/>
      <c r="G947" s="381"/>
      <c r="H947" s="381"/>
      <c r="I947" s="381"/>
      <c r="J947" s="381"/>
      <c r="K947" s="381"/>
      <c r="L947" s="381"/>
      <c r="M947" s="381"/>
      <c r="N947" s="381"/>
      <c r="O947" s="381"/>
      <c r="P947" s="381"/>
      <c r="Q947" s="381"/>
      <c r="R947" s="381"/>
      <c r="S947" s="381"/>
    </row>
    <row r="948" spans="1:19" ht="12.75" customHeight="1">
      <c r="A948" s="381"/>
      <c r="B948" s="389">
        <v>43668</v>
      </c>
      <c r="C948" s="390">
        <v>1985.63</v>
      </c>
      <c r="D948" s="393"/>
      <c r="E948" s="392">
        <f t="shared" si="0"/>
        <v>1.0745627430619242E-2</v>
      </c>
      <c r="F948" s="393"/>
      <c r="G948" s="381"/>
      <c r="H948" s="381"/>
      <c r="I948" s="381"/>
      <c r="J948" s="381"/>
      <c r="K948" s="381"/>
      <c r="L948" s="381"/>
      <c r="M948" s="381"/>
      <c r="N948" s="381"/>
      <c r="O948" s="381"/>
      <c r="P948" s="381"/>
      <c r="Q948" s="381"/>
      <c r="R948" s="381"/>
      <c r="S948" s="381"/>
    </row>
    <row r="949" spans="1:19" ht="12.75" customHeight="1">
      <c r="A949" s="381"/>
      <c r="B949" s="389">
        <v>43669</v>
      </c>
      <c r="C949" s="390">
        <v>1994.49</v>
      </c>
      <c r="D949" s="393"/>
      <c r="E949" s="392">
        <f t="shared" si="0"/>
        <v>4.4620599003841743E-3</v>
      </c>
      <c r="F949" s="393"/>
      <c r="G949" s="381"/>
      <c r="H949" s="381"/>
      <c r="I949" s="381"/>
      <c r="J949" s="381"/>
      <c r="K949" s="381"/>
      <c r="L949" s="381"/>
      <c r="M949" s="381"/>
      <c r="N949" s="381"/>
      <c r="O949" s="381"/>
      <c r="P949" s="381"/>
      <c r="Q949" s="381"/>
      <c r="R949" s="381"/>
      <c r="S949" s="381"/>
    </row>
    <row r="950" spans="1:19" ht="12.75" customHeight="1">
      <c r="A950" s="381"/>
      <c r="B950" s="389">
        <v>43670</v>
      </c>
      <c r="C950" s="390">
        <v>2000.81</v>
      </c>
      <c r="D950" s="393"/>
      <c r="E950" s="392">
        <f t="shared" si="0"/>
        <v>3.168729850738794E-3</v>
      </c>
      <c r="F950" s="393"/>
      <c r="G950" s="381"/>
      <c r="H950" s="381"/>
      <c r="I950" s="381"/>
      <c r="J950" s="381"/>
      <c r="K950" s="381"/>
      <c r="L950" s="381"/>
      <c r="M950" s="381"/>
      <c r="N950" s="381"/>
      <c r="O950" s="381"/>
      <c r="P950" s="381"/>
      <c r="Q950" s="381"/>
      <c r="R950" s="381"/>
      <c r="S950" s="381"/>
    </row>
    <row r="951" spans="1:19" ht="12.75" customHeight="1">
      <c r="A951" s="381"/>
      <c r="B951" s="389">
        <v>43671</v>
      </c>
      <c r="C951" s="390">
        <v>1973.82</v>
      </c>
      <c r="D951" s="393"/>
      <c r="E951" s="392">
        <f t="shared" si="0"/>
        <v>-1.3489536737621322E-2</v>
      </c>
      <c r="F951" s="393"/>
      <c r="G951" s="381"/>
      <c r="H951" s="381"/>
      <c r="I951" s="381"/>
      <c r="J951" s="381"/>
      <c r="K951" s="381"/>
      <c r="L951" s="381"/>
      <c r="M951" s="381"/>
      <c r="N951" s="381"/>
      <c r="O951" s="381"/>
      <c r="P951" s="381"/>
      <c r="Q951" s="381"/>
      <c r="R951" s="381"/>
      <c r="S951" s="381"/>
    </row>
    <row r="952" spans="1:19" ht="12.75" customHeight="1">
      <c r="A952" s="381"/>
      <c r="B952" s="389">
        <v>43672</v>
      </c>
      <c r="C952" s="390">
        <v>1943.05</v>
      </c>
      <c r="D952" s="393"/>
      <c r="E952" s="392">
        <f t="shared" si="0"/>
        <v>-1.5589060805949906E-2</v>
      </c>
      <c r="F952" s="393"/>
      <c r="G952" s="381"/>
      <c r="H952" s="381"/>
      <c r="I952" s="381"/>
      <c r="J952" s="381"/>
      <c r="K952" s="381"/>
      <c r="L952" s="381"/>
      <c r="M952" s="381"/>
      <c r="N952" s="381"/>
      <c r="O952" s="381"/>
      <c r="P952" s="381"/>
      <c r="Q952" s="381"/>
      <c r="R952" s="381"/>
      <c r="S952" s="381"/>
    </row>
    <row r="953" spans="1:19" ht="12.75" customHeight="1">
      <c r="A953" s="381"/>
      <c r="B953" s="389">
        <v>43675</v>
      </c>
      <c r="C953" s="390">
        <v>1912.45</v>
      </c>
      <c r="D953" s="393"/>
      <c r="E953" s="392">
        <f t="shared" si="0"/>
        <v>-1.574843673605919E-2</v>
      </c>
      <c r="F953" s="393"/>
      <c r="G953" s="381"/>
      <c r="H953" s="381"/>
      <c r="I953" s="381"/>
      <c r="J953" s="381"/>
      <c r="K953" s="381"/>
      <c r="L953" s="381"/>
      <c r="M953" s="381"/>
      <c r="N953" s="381"/>
      <c r="O953" s="381"/>
      <c r="P953" s="381"/>
      <c r="Q953" s="381"/>
      <c r="R953" s="381"/>
      <c r="S953" s="381"/>
    </row>
    <row r="954" spans="1:19" ht="12.75" customHeight="1">
      <c r="A954" s="381"/>
      <c r="B954" s="389">
        <v>43676</v>
      </c>
      <c r="C954" s="390">
        <v>1898.53</v>
      </c>
      <c r="D954" s="393"/>
      <c r="E954" s="392">
        <f t="shared" si="0"/>
        <v>-7.278621663311502E-3</v>
      </c>
      <c r="F954" s="393"/>
      <c r="G954" s="381"/>
      <c r="H954" s="381"/>
      <c r="I954" s="381"/>
      <c r="J954" s="381"/>
      <c r="K954" s="381"/>
      <c r="L954" s="381"/>
      <c r="M954" s="381"/>
      <c r="N954" s="381"/>
      <c r="O954" s="381"/>
      <c r="P954" s="381"/>
      <c r="Q954" s="381"/>
      <c r="R954" s="381"/>
      <c r="S954" s="381"/>
    </row>
    <row r="955" spans="1:19" ht="12.75" customHeight="1">
      <c r="A955" s="381"/>
      <c r="B955" s="389">
        <v>43677</v>
      </c>
      <c r="C955" s="390">
        <v>1866.78</v>
      </c>
      <c r="D955" s="393"/>
      <c r="E955" s="392">
        <f t="shared" si="0"/>
        <v>-1.6723464996602599E-2</v>
      </c>
      <c r="F955" s="393"/>
      <c r="G955" s="381"/>
      <c r="H955" s="381"/>
      <c r="I955" s="381"/>
      <c r="J955" s="381"/>
      <c r="K955" s="381"/>
      <c r="L955" s="381"/>
      <c r="M955" s="381"/>
      <c r="N955" s="381"/>
      <c r="O955" s="381"/>
      <c r="P955" s="381"/>
      <c r="Q955" s="381"/>
      <c r="R955" s="381"/>
      <c r="S955" s="381"/>
    </row>
    <row r="956" spans="1:19" ht="12.75" customHeight="1">
      <c r="A956" s="381"/>
      <c r="B956" s="389">
        <v>43678</v>
      </c>
      <c r="C956" s="390">
        <v>1855.32</v>
      </c>
      <c r="D956" s="393"/>
      <c r="E956" s="392">
        <f t="shared" si="0"/>
        <v>-6.1389129945682575E-3</v>
      </c>
      <c r="F956" s="393"/>
      <c r="G956" s="381"/>
      <c r="H956" s="381"/>
      <c r="I956" s="381"/>
      <c r="J956" s="381"/>
      <c r="K956" s="381"/>
      <c r="L956" s="381"/>
      <c r="M956" s="381"/>
      <c r="N956" s="381"/>
      <c r="O956" s="381"/>
      <c r="P956" s="381"/>
      <c r="Q956" s="381"/>
      <c r="R956" s="381"/>
      <c r="S956" s="381"/>
    </row>
    <row r="957" spans="1:19" ht="12.75" customHeight="1">
      <c r="A957" s="381"/>
      <c r="B957" s="389">
        <v>43679</v>
      </c>
      <c r="C957" s="390">
        <v>1823.24</v>
      </c>
      <c r="D957" s="393"/>
      <c r="E957" s="392">
        <f t="shared" si="0"/>
        <v>-1.7290817756505539E-2</v>
      </c>
      <c r="F957" s="393"/>
      <c r="G957" s="381"/>
      <c r="H957" s="381"/>
      <c r="I957" s="381"/>
      <c r="J957" s="381"/>
      <c r="K957" s="381"/>
      <c r="L957" s="381"/>
      <c r="M957" s="381"/>
      <c r="N957" s="381"/>
      <c r="O957" s="381"/>
      <c r="P957" s="381"/>
      <c r="Q957" s="381"/>
      <c r="R957" s="381"/>
      <c r="S957" s="381"/>
    </row>
    <row r="958" spans="1:19" ht="12.75" customHeight="1">
      <c r="A958" s="381"/>
      <c r="B958" s="389">
        <v>43682</v>
      </c>
      <c r="C958" s="390">
        <v>1765.13</v>
      </c>
      <c r="D958" s="393"/>
      <c r="E958" s="392">
        <f t="shared" si="0"/>
        <v>-3.1871832561813029E-2</v>
      </c>
      <c r="F958" s="393"/>
      <c r="G958" s="381"/>
      <c r="H958" s="381"/>
      <c r="I958" s="381"/>
      <c r="J958" s="381"/>
      <c r="K958" s="381"/>
      <c r="L958" s="381"/>
      <c r="M958" s="381"/>
      <c r="N958" s="381"/>
      <c r="O958" s="381"/>
      <c r="P958" s="381"/>
      <c r="Q958" s="381"/>
      <c r="R958" s="381"/>
      <c r="S958" s="381"/>
    </row>
    <row r="959" spans="1:19" ht="12.75" customHeight="1">
      <c r="A959" s="381"/>
      <c r="B959" s="389">
        <v>43683</v>
      </c>
      <c r="C959" s="390">
        <v>1787.83</v>
      </c>
      <c r="D959" s="393"/>
      <c r="E959" s="392">
        <f t="shared" si="0"/>
        <v>1.2860242588364601E-2</v>
      </c>
      <c r="F959" s="393"/>
      <c r="G959" s="381"/>
      <c r="H959" s="381"/>
      <c r="I959" s="381"/>
      <c r="J959" s="381"/>
      <c r="K959" s="381"/>
      <c r="L959" s="381"/>
      <c r="M959" s="381"/>
      <c r="N959" s="381"/>
      <c r="O959" s="381"/>
      <c r="P959" s="381"/>
      <c r="Q959" s="381"/>
      <c r="R959" s="381"/>
      <c r="S959" s="381"/>
    </row>
    <row r="960" spans="1:19" ht="12.75" customHeight="1">
      <c r="A960" s="381"/>
      <c r="B960" s="389">
        <v>43684</v>
      </c>
      <c r="C960" s="390">
        <v>1793.4</v>
      </c>
      <c r="D960" s="393"/>
      <c r="E960" s="392">
        <f t="shared" si="0"/>
        <v>3.1155087452388042E-3</v>
      </c>
      <c r="F960" s="393"/>
      <c r="G960" s="381"/>
      <c r="H960" s="381"/>
      <c r="I960" s="381"/>
      <c r="J960" s="381"/>
      <c r="K960" s="381"/>
      <c r="L960" s="381"/>
      <c r="M960" s="381"/>
      <c r="N960" s="381"/>
      <c r="O960" s="381"/>
      <c r="P960" s="381"/>
      <c r="Q960" s="381"/>
      <c r="R960" s="381"/>
      <c r="S960" s="381"/>
    </row>
    <row r="961" spans="1:19" ht="12.75" customHeight="1">
      <c r="A961" s="381"/>
      <c r="B961" s="389">
        <v>43685</v>
      </c>
      <c r="C961" s="390">
        <v>1832.89</v>
      </c>
      <c r="D961" s="393"/>
      <c r="E961" s="392">
        <f t="shared" si="0"/>
        <v>2.201962752314035E-2</v>
      </c>
      <c r="F961" s="393"/>
      <c r="G961" s="381"/>
      <c r="H961" s="381"/>
      <c r="I961" s="381"/>
      <c r="J961" s="381"/>
      <c r="K961" s="381"/>
      <c r="L961" s="381"/>
      <c r="M961" s="381"/>
      <c r="N961" s="381"/>
      <c r="O961" s="381"/>
      <c r="P961" s="381"/>
      <c r="Q961" s="381"/>
      <c r="R961" s="381"/>
      <c r="S961" s="381"/>
    </row>
    <row r="962" spans="1:19" ht="12.75" customHeight="1">
      <c r="A962" s="381"/>
      <c r="B962" s="389">
        <v>43686</v>
      </c>
      <c r="C962" s="390">
        <v>1807.58</v>
      </c>
      <c r="D962" s="393"/>
      <c r="E962" s="392">
        <f t="shared" si="0"/>
        <v>-1.3808793762855487E-2</v>
      </c>
      <c r="F962" s="393"/>
      <c r="G962" s="381"/>
      <c r="H962" s="381"/>
      <c r="I962" s="381"/>
      <c r="J962" s="381"/>
      <c r="K962" s="381"/>
      <c r="L962" s="381"/>
      <c r="M962" s="381"/>
      <c r="N962" s="381"/>
      <c r="O962" s="381"/>
      <c r="P962" s="381"/>
      <c r="Q962" s="381"/>
      <c r="R962" s="381"/>
      <c r="S962" s="381"/>
    </row>
    <row r="963" spans="1:19" ht="12.75" customHeight="1">
      <c r="A963" s="381"/>
      <c r="B963" s="389">
        <v>43689</v>
      </c>
      <c r="C963" s="390">
        <v>1784.92</v>
      </c>
      <c r="D963" s="393"/>
      <c r="E963" s="392">
        <f t="shared" si="0"/>
        <v>-1.2536097987364214E-2</v>
      </c>
      <c r="F963" s="393"/>
      <c r="G963" s="381"/>
      <c r="H963" s="381"/>
      <c r="I963" s="381"/>
      <c r="J963" s="381"/>
      <c r="K963" s="381"/>
      <c r="L963" s="381"/>
      <c r="M963" s="381"/>
      <c r="N963" s="381"/>
      <c r="O963" s="381"/>
      <c r="P963" s="381"/>
      <c r="Q963" s="381"/>
      <c r="R963" s="381"/>
      <c r="S963" s="381"/>
    </row>
    <row r="964" spans="1:19" ht="12.75" customHeight="1">
      <c r="A964" s="381"/>
      <c r="B964" s="389">
        <v>43690</v>
      </c>
      <c r="C964" s="390">
        <v>1824.34</v>
      </c>
      <c r="D964" s="393"/>
      <c r="E964" s="392">
        <f t="shared" si="0"/>
        <v>2.208502341841645E-2</v>
      </c>
      <c r="F964" s="393"/>
      <c r="G964" s="381"/>
      <c r="H964" s="381"/>
      <c r="I964" s="381"/>
      <c r="J964" s="381"/>
      <c r="K964" s="381"/>
      <c r="L964" s="381"/>
      <c r="M964" s="381"/>
      <c r="N964" s="381"/>
      <c r="O964" s="381"/>
      <c r="P964" s="381"/>
      <c r="Q964" s="381"/>
      <c r="R964" s="381"/>
      <c r="S964" s="381"/>
    </row>
    <row r="965" spans="1:19" ht="12.75" customHeight="1">
      <c r="A965" s="381"/>
      <c r="B965" s="389">
        <v>43691</v>
      </c>
      <c r="C965" s="390">
        <v>1762.96</v>
      </c>
      <c r="D965" s="393"/>
      <c r="E965" s="392">
        <f t="shared" si="0"/>
        <v>-3.3645044235175448E-2</v>
      </c>
      <c r="F965" s="393"/>
      <c r="G965" s="381"/>
      <c r="H965" s="381"/>
      <c r="I965" s="381"/>
      <c r="J965" s="381"/>
      <c r="K965" s="381"/>
      <c r="L965" s="381"/>
      <c r="M965" s="381"/>
      <c r="N965" s="381"/>
      <c r="O965" s="381"/>
      <c r="P965" s="381"/>
      <c r="Q965" s="381"/>
      <c r="R965" s="381"/>
      <c r="S965" s="381"/>
    </row>
    <row r="966" spans="1:19" ht="12.75" customHeight="1">
      <c r="A966" s="381"/>
      <c r="B966" s="389">
        <v>43692</v>
      </c>
      <c r="C966" s="390">
        <v>1776.12</v>
      </c>
      <c r="D966" s="393"/>
      <c r="E966" s="392">
        <f t="shared" si="0"/>
        <v>7.4647184280980383E-3</v>
      </c>
      <c r="F966" s="393"/>
      <c r="G966" s="381"/>
      <c r="H966" s="381"/>
      <c r="I966" s="381"/>
      <c r="J966" s="381"/>
      <c r="K966" s="381"/>
      <c r="L966" s="381"/>
      <c r="M966" s="381"/>
      <c r="N966" s="381"/>
      <c r="O966" s="381"/>
      <c r="P966" s="381"/>
      <c r="Q966" s="381"/>
      <c r="R966" s="381"/>
      <c r="S966" s="381"/>
    </row>
    <row r="967" spans="1:19" ht="12.75" customHeight="1">
      <c r="A967" s="381"/>
      <c r="B967" s="389">
        <v>43693</v>
      </c>
      <c r="C967" s="390">
        <v>1792.57</v>
      </c>
      <c r="D967" s="393"/>
      <c r="E967" s="392">
        <f t="shared" si="0"/>
        <v>9.2617615926851027E-3</v>
      </c>
      <c r="F967" s="393"/>
      <c r="G967" s="381"/>
      <c r="H967" s="381"/>
      <c r="I967" s="381"/>
      <c r="J967" s="381"/>
      <c r="K967" s="381"/>
      <c r="L967" s="381"/>
      <c r="M967" s="381"/>
      <c r="N967" s="381"/>
      <c r="O967" s="381"/>
      <c r="P967" s="381"/>
      <c r="Q967" s="381"/>
      <c r="R967" s="381"/>
      <c r="S967" s="381"/>
    </row>
    <row r="968" spans="1:19" ht="12.75" customHeight="1">
      <c r="A968" s="381"/>
      <c r="B968" s="389">
        <v>43696</v>
      </c>
      <c r="C968" s="390">
        <v>1816.12</v>
      </c>
      <c r="D968" s="393"/>
      <c r="E968" s="392">
        <f t="shared" si="0"/>
        <v>1.3137562270929326E-2</v>
      </c>
      <c r="F968" s="393"/>
      <c r="G968" s="381"/>
      <c r="H968" s="381"/>
      <c r="I968" s="381"/>
      <c r="J968" s="381"/>
      <c r="K968" s="381"/>
      <c r="L968" s="381"/>
      <c r="M968" s="381"/>
      <c r="N968" s="381"/>
      <c r="O968" s="381"/>
      <c r="P968" s="381"/>
      <c r="Q968" s="381"/>
      <c r="R968" s="381"/>
      <c r="S968" s="381"/>
    </row>
    <row r="969" spans="1:19" ht="12.75" customHeight="1">
      <c r="A969" s="381"/>
      <c r="B969" s="389">
        <v>43697</v>
      </c>
      <c r="C969" s="390">
        <v>1801.38</v>
      </c>
      <c r="D969" s="393"/>
      <c r="E969" s="392">
        <f t="shared" si="0"/>
        <v>-8.1162037750808214E-3</v>
      </c>
      <c r="F969" s="393"/>
      <c r="G969" s="381"/>
      <c r="H969" s="381"/>
      <c r="I969" s="381"/>
      <c r="J969" s="381"/>
      <c r="K969" s="381"/>
      <c r="L969" s="381"/>
      <c r="M969" s="381"/>
      <c r="N969" s="381"/>
      <c r="O969" s="381"/>
      <c r="P969" s="381"/>
      <c r="Q969" s="381"/>
      <c r="R969" s="381"/>
      <c r="S969" s="381"/>
    </row>
    <row r="970" spans="1:19" ht="12.75" customHeight="1">
      <c r="A970" s="381"/>
      <c r="B970" s="389">
        <v>43698</v>
      </c>
      <c r="C970" s="390">
        <v>1823.54</v>
      </c>
      <c r="D970" s="393"/>
      <c r="E970" s="392">
        <f t="shared" si="0"/>
        <v>1.2301679823246481E-2</v>
      </c>
      <c r="F970" s="393"/>
      <c r="G970" s="381"/>
      <c r="H970" s="381"/>
      <c r="I970" s="381"/>
      <c r="J970" s="381"/>
      <c r="K970" s="381"/>
      <c r="L970" s="381"/>
      <c r="M970" s="381"/>
      <c r="N970" s="381"/>
      <c r="O970" s="381"/>
      <c r="P970" s="381"/>
      <c r="Q970" s="381"/>
      <c r="R970" s="381"/>
      <c r="S970" s="381"/>
    </row>
    <row r="971" spans="1:19" ht="12.75" customHeight="1">
      <c r="A971" s="381"/>
      <c r="B971" s="389">
        <v>43699</v>
      </c>
      <c r="C971" s="390">
        <v>1805.6</v>
      </c>
      <c r="D971" s="393"/>
      <c r="E971" s="392">
        <f t="shared" si="0"/>
        <v>-9.8380073922151867E-3</v>
      </c>
      <c r="F971" s="393"/>
      <c r="G971" s="381"/>
      <c r="H971" s="381"/>
      <c r="I971" s="381"/>
      <c r="J971" s="381"/>
      <c r="K971" s="381"/>
      <c r="L971" s="381"/>
      <c r="M971" s="381"/>
      <c r="N971" s="381"/>
      <c r="O971" s="381"/>
      <c r="P971" s="381"/>
      <c r="Q971" s="381"/>
      <c r="R971" s="381"/>
      <c r="S971" s="381"/>
    </row>
    <row r="972" spans="1:19" ht="12.75" customHeight="1">
      <c r="A972" s="381"/>
      <c r="B972" s="389">
        <v>43700</v>
      </c>
      <c r="C972" s="390">
        <v>1749.62</v>
      </c>
      <c r="D972" s="393"/>
      <c r="E972" s="392">
        <f t="shared" si="0"/>
        <v>-3.1003544528134697E-2</v>
      </c>
      <c r="F972" s="393"/>
      <c r="G972" s="381"/>
      <c r="H972" s="381"/>
      <c r="I972" s="381"/>
      <c r="J972" s="381"/>
      <c r="K972" s="381"/>
      <c r="L972" s="381"/>
      <c r="M972" s="381"/>
      <c r="N972" s="381"/>
      <c r="O972" s="381"/>
      <c r="P972" s="381"/>
      <c r="Q972" s="381"/>
      <c r="R972" s="381"/>
      <c r="S972" s="381"/>
    </row>
    <row r="973" spans="1:19" ht="12.75" customHeight="1">
      <c r="A973" s="381"/>
      <c r="B973" s="389">
        <v>43703</v>
      </c>
      <c r="C973" s="390">
        <v>1768.87</v>
      </c>
      <c r="D973" s="393"/>
      <c r="E973" s="392">
        <f t="shared" si="0"/>
        <v>1.1002389090202458E-2</v>
      </c>
      <c r="F973" s="393"/>
      <c r="G973" s="381"/>
      <c r="H973" s="381"/>
      <c r="I973" s="381"/>
      <c r="J973" s="381"/>
      <c r="K973" s="381"/>
      <c r="L973" s="381"/>
      <c r="M973" s="381"/>
      <c r="N973" s="381"/>
      <c r="O973" s="381"/>
      <c r="P973" s="381"/>
      <c r="Q973" s="381"/>
      <c r="R973" s="381"/>
      <c r="S973" s="381"/>
    </row>
    <row r="974" spans="1:19" ht="12.75" customHeight="1">
      <c r="A974" s="381"/>
      <c r="B974" s="389">
        <v>43704</v>
      </c>
      <c r="C974" s="390">
        <v>1761.83</v>
      </c>
      <c r="D974" s="393"/>
      <c r="E974" s="392">
        <f t="shared" si="0"/>
        <v>-3.9799419968680194E-3</v>
      </c>
      <c r="F974" s="393"/>
      <c r="G974" s="381"/>
      <c r="H974" s="381"/>
      <c r="I974" s="381"/>
      <c r="J974" s="381"/>
      <c r="K974" s="381"/>
      <c r="L974" s="381"/>
      <c r="M974" s="381"/>
      <c r="N974" s="381"/>
      <c r="O974" s="381"/>
      <c r="P974" s="381"/>
      <c r="Q974" s="381"/>
      <c r="R974" s="381"/>
      <c r="S974" s="381"/>
    </row>
    <row r="975" spans="1:19" ht="12.75" customHeight="1">
      <c r="A975" s="381"/>
      <c r="B975" s="389">
        <v>43705</v>
      </c>
      <c r="C975" s="390">
        <v>1764.25</v>
      </c>
      <c r="D975" s="393"/>
      <c r="E975" s="392">
        <f t="shared" si="0"/>
        <v>1.3735717975060791E-3</v>
      </c>
      <c r="F975" s="393"/>
      <c r="G975" s="381"/>
      <c r="H975" s="381"/>
      <c r="I975" s="381"/>
      <c r="J975" s="381"/>
      <c r="K975" s="381"/>
      <c r="L975" s="381"/>
      <c r="M975" s="381"/>
      <c r="N975" s="381"/>
      <c r="O975" s="381"/>
      <c r="P975" s="381"/>
      <c r="Q975" s="381"/>
      <c r="R975" s="381"/>
      <c r="S975" s="381"/>
    </row>
    <row r="976" spans="1:19" ht="12.75" customHeight="1">
      <c r="A976" s="381"/>
      <c r="B976" s="389">
        <v>43706</v>
      </c>
      <c r="C976" s="390">
        <v>1786.4</v>
      </c>
      <c r="D976" s="393"/>
      <c r="E976" s="392">
        <f t="shared" si="0"/>
        <v>1.2554910018421461E-2</v>
      </c>
      <c r="F976" s="393"/>
      <c r="G976" s="381"/>
      <c r="H976" s="381"/>
      <c r="I976" s="381"/>
      <c r="J976" s="381"/>
      <c r="K976" s="381"/>
      <c r="L976" s="381"/>
      <c r="M976" s="381"/>
      <c r="N976" s="381"/>
      <c r="O976" s="381"/>
      <c r="P976" s="381"/>
      <c r="Q976" s="381"/>
      <c r="R976" s="381"/>
      <c r="S976" s="381"/>
    </row>
    <row r="977" spans="1:19" ht="12.75" customHeight="1">
      <c r="A977" s="381"/>
      <c r="B977" s="389">
        <v>43707</v>
      </c>
      <c r="C977" s="390">
        <v>1776.29</v>
      </c>
      <c r="D977" s="393"/>
      <c r="E977" s="392">
        <f t="shared" si="0"/>
        <v>-5.6594267801165499E-3</v>
      </c>
      <c r="F977" s="393"/>
      <c r="G977" s="381"/>
      <c r="H977" s="381"/>
      <c r="I977" s="381"/>
      <c r="J977" s="381"/>
      <c r="K977" s="381"/>
      <c r="L977" s="381"/>
      <c r="M977" s="381"/>
      <c r="N977" s="381"/>
      <c r="O977" s="381"/>
      <c r="P977" s="381"/>
      <c r="Q977" s="381"/>
      <c r="R977" s="381"/>
      <c r="S977" s="381"/>
    </row>
    <row r="978" spans="1:19" ht="12.75" customHeight="1">
      <c r="A978" s="381"/>
      <c r="B978" s="389">
        <v>43710</v>
      </c>
      <c r="C978" s="390">
        <v>1776.29</v>
      </c>
      <c r="D978" s="393"/>
      <c r="E978" s="392">
        <f t="shared" si="0"/>
        <v>0</v>
      </c>
      <c r="F978" s="393"/>
      <c r="G978" s="381"/>
      <c r="H978" s="381"/>
      <c r="I978" s="381"/>
      <c r="J978" s="381"/>
      <c r="K978" s="381"/>
      <c r="L978" s="381"/>
      <c r="M978" s="381"/>
      <c r="N978" s="381"/>
      <c r="O978" s="381"/>
      <c r="P978" s="381"/>
      <c r="Q978" s="381"/>
      <c r="R978" s="381"/>
      <c r="S978" s="381"/>
    </row>
    <row r="979" spans="1:19" ht="12.75" customHeight="1">
      <c r="A979" s="381"/>
      <c r="B979" s="389">
        <v>43711</v>
      </c>
      <c r="C979" s="390">
        <v>1789.84</v>
      </c>
      <c r="D979" s="393"/>
      <c r="E979" s="392">
        <f t="shared" si="0"/>
        <v>7.6282588991662958E-3</v>
      </c>
      <c r="F979" s="393"/>
      <c r="G979" s="381"/>
      <c r="H979" s="381"/>
      <c r="I979" s="381"/>
      <c r="J979" s="381"/>
      <c r="K979" s="381"/>
      <c r="L979" s="381"/>
      <c r="M979" s="381"/>
      <c r="N979" s="381"/>
      <c r="O979" s="381"/>
      <c r="P979" s="381"/>
      <c r="Q979" s="381"/>
      <c r="R979" s="381"/>
      <c r="S979" s="381"/>
    </row>
    <row r="980" spans="1:19" ht="12.75" customHeight="1">
      <c r="A980" s="381"/>
      <c r="B980" s="389">
        <v>43712</v>
      </c>
      <c r="C980" s="390">
        <v>1800.62</v>
      </c>
      <c r="D980" s="393"/>
      <c r="E980" s="392">
        <f t="shared" si="0"/>
        <v>6.0228847271264208E-3</v>
      </c>
      <c r="F980" s="393"/>
      <c r="G980" s="381"/>
      <c r="H980" s="381"/>
      <c r="I980" s="381"/>
      <c r="J980" s="381"/>
      <c r="K980" s="381"/>
      <c r="L980" s="381"/>
      <c r="M980" s="381"/>
      <c r="N980" s="381"/>
      <c r="O980" s="381"/>
      <c r="P980" s="381"/>
      <c r="Q980" s="381"/>
      <c r="R980" s="381"/>
      <c r="S980" s="381"/>
    </row>
    <row r="981" spans="1:19" ht="12.75" customHeight="1">
      <c r="A981" s="381"/>
      <c r="B981" s="389">
        <v>43713</v>
      </c>
      <c r="C981" s="390">
        <v>1840.72</v>
      </c>
      <c r="D981" s="393"/>
      <c r="E981" s="392">
        <f t="shared" si="0"/>
        <v>2.2270106963157232E-2</v>
      </c>
      <c r="F981" s="393"/>
      <c r="G981" s="381"/>
      <c r="H981" s="381"/>
      <c r="I981" s="381"/>
      <c r="J981" s="381"/>
      <c r="K981" s="381"/>
      <c r="L981" s="381"/>
      <c r="M981" s="381"/>
      <c r="N981" s="381"/>
      <c r="O981" s="381"/>
      <c r="P981" s="381"/>
      <c r="Q981" s="381"/>
      <c r="R981" s="381"/>
      <c r="S981" s="381"/>
    </row>
    <row r="982" spans="1:19" ht="12.75" customHeight="1">
      <c r="A982" s="381"/>
      <c r="B982" s="389">
        <v>43714</v>
      </c>
      <c r="C982" s="390">
        <v>1833.51</v>
      </c>
      <c r="D982" s="393"/>
      <c r="E982" s="392">
        <f t="shared" si="0"/>
        <v>-3.9169455430484446E-3</v>
      </c>
      <c r="F982" s="393"/>
      <c r="G982" s="381"/>
      <c r="H982" s="381"/>
      <c r="I982" s="381"/>
      <c r="J982" s="381"/>
      <c r="K982" s="381"/>
      <c r="L982" s="381"/>
      <c r="M982" s="381"/>
      <c r="N982" s="381"/>
      <c r="O982" s="381"/>
      <c r="P982" s="381"/>
      <c r="Q982" s="381"/>
      <c r="R982" s="381"/>
      <c r="S982" s="381"/>
    </row>
    <row r="983" spans="1:19" ht="12.75" customHeight="1">
      <c r="A983" s="381"/>
      <c r="B983" s="389">
        <v>43717</v>
      </c>
      <c r="C983" s="390">
        <v>1831.35</v>
      </c>
      <c r="D983" s="393"/>
      <c r="E983" s="392">
        <f t="shared" si="0"/>
        <v>-1.1780682952370336E-3</v>
      </c>
      <c r="F983" s="393"/>
      <c r="G983" s="381"/>
      <c r="H983" s="381"/>
      <c r="I983" s="381"/>
      <c r="J983" s="381"/>
      <c r="K983" s="381"/>
      <c r="L983" s="381"/>
      <c r="M983" s="381"/>
      <c r="N983" s="381"/>
      <c r="O983" s="381"/>
      <c r="P983" s="381"/>
      <c r="Q983" s="381"/>
      <c r="R983" s="381"/>
      <c r="S983" s="381"/>
    </row>
    <row r="984" spans="1:19" ht="12.75" customHeight="1">
      <c r="A984" s="381"/>
      <c r="B984" s="389">
        <v>43718</v>
      </c>
      <c r="C984" s="390">
        <v>1820.55</v>
      </c>
      <c r="D984" s="393"/>
      <c r="E984" s="392">
        <f t="shared" si="0"/>
        <v>-5.8972888852485417E-3</v>
      </c>
      <c r="F984" s="393"/>
      <c r="G984" s="381"/>
      <c r="H984" s="381"/>
      <c r="I984" s="381"/>
      <c r="J984" s="381"/>
      <c r="K984" s="381"/>
      <c r="L984" s="381"/>
      <c r="M984" s="381"/>
      <c r="N984" s="381"/>
      <c r="O984" s="381"/>
      <c r="P984" s="381"/>
      <c r="Q984" s="381"/>
      <c r="R984" s="381"/>
      <c r="S984" s="381"/>
    </row>
    <row r="985" spans="1:19" ht="12.75" customHeight="1">
      <c r="A985" s="381"/>
      <c r="B985" s="389">
        <v>43719</v>
      </c>
      <c r="C985" s="390">
        <v>1822.99</v>
      </c>
      <c r="D985" s="393"/>
      <c r="E985" s="392">
        <f t="shared" si="0"/>
        <v>1.340254318749956E-3</v>
      </c>
      <c r="F985" s="393"/>
      <c r="G985" s="381"/>
      <c r="H985" s="381"/>
      <c r="I985" s="381"/>
      <c r="J985" s="381"/>
      <c r="K985" s="381"/>
      <c r="L985" s="381"/>
      <c r="M985" s="381"/>
      <c r="N985" s="381"/>
      <c r="O985" s="381"/>
      <c r="P985" s="381"/>
      <c r="Q985" s="381"/>
      <c r="R985" s="381"/>
      <c r="S985" s="381"/>
    </row>
    <row r="986" spans="1:19" ht="12.75" customHeight="1">
      <c r="A986" s="381"/>
      <c r="B986" s="389">
        <v>43720</v>
      </c>
      <c r="C986" s="390">
        <v>1843.55</v>
      </c>
      <c r="D986" s="393"/>
      <c r="E986" s="392">
        <f t="shared" si="0"/>
        <v>1.1278174866565349E-2</v>
      </c>
      <c r="F986" s="393"/>
      <c r="G986" s="381"/>
      <c r="H986" s="381"/>
      <c r="I986" s="381"/>
      <c r="J986" s="381"/>
      <c r="K986" s="381"/>
      <c r="L986" s="381"/>
      <c r="M986" s="381"/>
      <c r="N986" s="381"/>
      <c r="O986" s="381"/>
      <c r="P986" s="381"/>
      <c r="Q986" s="381"/>
      <c r="R986" s="381"/>
      <c r="S986" s="381"/>
    </row>
    <row r="987" spans="1:19" ht="12.75" customHeight="1">
      <c r="A987" s="381"/>
      <c r="B987" s="389">
        <v>43721</v>
      </c>
      <c r="C987" s="390">
        <v>1839.34</v>
      </c>
      <c r="D987" s="393"/>
      <c r="E987" s="392">
        <f t="shared" si="0"/>
        <v>-2.2836375471237957E-3</v>
      </c>
      <c r="F987" s="393"/>
      <c r="G987" s="381"/>
      <c r="H987" s="381"/>
      <c r="I987" s="381"/>
      <c r="J987" s="381"/>
      <c r="K987" s="381"/>
      <c r="L987" s="381"/>
      <c r="M987" s="381"/>
      <c r="N987" s="381"/>
      <c r="O987" s="381"/>
      <c r="P987" s="381"/>
      <c r="Q987" s="381"/>
      <c r="R987" s="381"/>
      <c r="S987" s="381"/>
    </row>
    <row r="988" spans="1:19" ht="12.75" customHeight="1">
      <c r="A988" s="381"/>
      <c r="B988" s="389">
        <v>43724</v>
      </c>
      <c r="C988" s="390">
        <v>1807.84</v>
      </c>
      <c r="D988" s="393"/>
      <c r="E988" s="392">
        <f t="shared" si="0"/>
        <v>-1.7125708134439477E-2</v>
      </c>
      <c r="F988" s="393"/>
      <c r="G988" s="381"/>
      <c r="H988" s="381"/>
      <c r="I988" s="381"/>
      <c r="J988" s="381"/>
      <c r="K988" s="381"/>
      <c r="L988" s="381"/>
      <c r="M988" s="381"/>
      <c r="N988" s="381"/>
      <c r="O988" s="381"/>
      <c r="P988" s="381"/>
      <c r="Q988" s="381"/>
      <c r="R988" s="381"/>
      <c r="S988" s="381"/>
    </row>
    <row r="989" spans="1:19" ht="12.75" customHeight="1">
      <c r="A989" s="381"/>
      <c r="B989" s="389">
        <v>43725</v>
      </c>
      <c r="C989" s="390">
        <v>1822.55</v>
      </c>
      <c r="D989" s="393"/>
      <c r="E989" s="392">
        <f t="shared" si="0"/>
        <v>8.1367820161075688E-3</v>
      </c>
      <c r="F989" s="393"/>
      <c r="G989" s="381"/>
      <c r="H989" s="381"/>
      <c r="I989" s="381"/>
      <c r="J989" s="381"/>
      <c r="K989" s="381"/>
      <c r="L989" s="381"/>
      <c r="M989" s="381"/>
      <c r="N989" s="381"/>
      <c r="O989" s="381"/>
      <c r="P989" s="381"/>
      <c r="Q989" s="381"/>
      <c r="R989" s="381"/>
      <c r="S989" s="381"/>
    </row>
    <row r="990" spans="1:19" ht="12.75" customHeight="1">
      <c r="A990" s="381"/>
      <c r="B990" s="389">
        <v>43726</v>
      </c>
      <c r="C990" s="390">
        <v>1817.46</v>
      </c>
      <c r="D990" s="393"/>
      <c r="E990" s="392">
        <f t="shared" si="0"/>
        <v>-2.7927903212531247E-3</v>
      </c>
      <c r="F990" s="393"/>
      <c r="G990" s="381"/>
      <c r="H990" s="381"/>
      <c r="I990" s="381"/>
      <c r="J990" s="381"/>
      <c r="K990" s="381"/>
      <c r="L990" s="381"/>
      <c r="M990" s="381"/>
      <c r="N990" s="381"/>
      <c r="O990" s="381"/>
      <c r="P990" s="381"/>
      <c r="Q990" s="381"/>
      <c r="R990" s="381"/>
      <c r="S990" s="381"/>
    </row>
    <row r="991" spans="1:19" ht="12.75" customHeight="1">
      <c r="A991" s="381"/>
      <c r="B991" s="389">
        <v>43727</v>
      </c>
      <c r="C991" s="390">
        <v>1821.5</v>
      </c>
      <c r="D991" s="393"/>
      <c r="E991" s="392">
        <f t="shared" si="0"/>
        <v>2.2228824843462114E-3</v>
      </c>
      <c r="F991" s="393"/>
      <c r="G991" s="381"/>
      <c r="H991" s="381"/>
      <c r="I991" s="381"/>
      <c r="J991" s="381"/>
      <c r="K991" s="381"/>
      <c r="L991" s="381"/>
      <c r="M991" s="381"/>
      <c r="N991" s="381"/>
      <c r="O991" s="381"/>
      <c r="P991" s="381"/>
      <c r="Q991" s="381"/>
      <c r="R991" s="381"/>
      <c r="S991" s="381"/>
    </row>
    <row r="992" spans="1:19" ht="12.75" customHeight="1">
      <c r="A992" s="381"/>
      <c r="B992" s="389">
        <v>43728</v>
      </c>
      <c r="C992" s="390">
        <v>1794.16</v>
      </c>
      <c r="D992" s="393"/>
      <c r="E992" s="392">
        <f t="shared" si="0"/>
        <v>-1.5009607466373809E-2</v>
      </c>
      <c r="F992" s="393"/>
      <c r="G992" s="381"/>
      <c r="H992" s="381"/>
      <c r="I992" s="381"/>
      <c r="J992" s="381"/>
      <c r="K992" s="381"/>
      <c r="L992" s="381"/>
      <c r="M992" s="381"/>
      <c r="N992" s="381"/>
      <c r="O992" s="381"/>
      <c r="P992" s="381"/>
      <c r="Q992" s="381"/>
      <c r="R992" s="381"/>
      <c r="S992" s="381"/>
    </row>
    <row r="993" spans="1:19" ht="12.75" customHeight="1">
      <c r="A993" s="381"/>
      <c r="B993" s="389">
        <v>43731</v>
      </c>
      <c r="C993" s="390">
        <v>1785.3</v>
      </c>
      <c r="D993" s="393"/>
      <c r="E993" s="392">
        <f t="shared" si="0"/>
        <v>-4.938244080795573E-3</v>
      </c>
      <c r="F993" s="393"/>
      <c r="G993" s="381"/>
      <c r="H993" s="381"/>
      <c r="I993" s="381"/>
      <c r="J993" s="381"/>
      <c r="K993" s="381"/>
      <c r="L993" s="381"/>
      <c r="M993" s="381"/>
      <c r="N993" s="381"/>
      <c r="O993" s="381"/>
      <c r="P993" s="381"/>
      <c r="Q993" s="381"/>
      <c r="R993" s="381"/>
      <c r="S993" s="381"/>
    </row>
    <row r="994" spans="1:19" ht="12.75" customHeight="1">
      <c r="A994" s="381"/>
      <c r="B994" s="389">
        <v>43732</v>
      </c>
      <c r="C994" s="390">
        <v>1741.61</v>
      </c>
      <c r="D994" s="393"/>
      <c r="E994" s="392">
        <f t="shared" si="0"/>
        <v>-2.4472077521985103E-2</v>
      </c>
      <c r="F994" s="393"/>
      <c r="G994" s="381"/>
      <c r="H994" s="381"/>
      <c r="I994" s="381"/>
      <c r="J994" s="381"/>
      <c r="K994" s="381"/>
      <c r="L994" s="381"/>
      <c r="M994" s="381"/>
      <c r="N994" s="381"/>
      <c r="O994" s="381"/>
      <c r="P994" s="381"/>
      <c r="Q994" s="381"/>
      <c r="R994" s="381"/>
      <c r="S994" s="381"/>
    </row>
    <row r="995" spans="1:19" ht="12.75" customHeight="1">
      <c r="A995" s="381"/>
      <c r="B995" s="389">
        <v>43733</v>
      </c>
      <c r="C995" s="390">
        <v>1768.33</v>
      </c>
      <c r="D995" s="393"/>
      <c r="E995" s="392">
        <f t="shared" si="0"/>
        <v>1.534212596390705E-2</v>
      </c>
      <c r="F995" s="393"/>
      <c r="G995" s="381"/>
      <c r="H995" s="381"/>
      <c r="I995" s="381"/>
      <c r="J995" s="381"/>
      <c r="K995" s="381"/>
      <c r="L995" s="381"/>
      <c r="M995" s="381"/>
      <c r="N995" s="381"/>
      <c r="O995" s="381"/>
      <c r="P995" s="381"/>
      <c r="Q995" s="381"/>
      <c r="R995" s="381"/>
      <c r="S995" s="381"/>
    </row>
    <row r="996" spans="1:19" ht="12.75" customHeight="1">
      <c r="A996" s="381"/>
      <c r="B996" s="389">
        <v>43734</v>
      </c>
      <c r="C996" s="390">
        <v>1739.84</v>
      </c>
      <c r="D996" s="393"/>
      <c r="E996" s="392">
        <f t="shared" si="0"/>
        <v>-1.6111246204045582E-2</v>
      </c>
      <c r="F996" s="393"/>
      <c r="G996" s="381"/>
      <c r="H996" s="381"/>
      <c r="I996" s="381"/>
      <c r="J996" s="381"/>
      <c r="K996" s="381"/>
      <c r="L996" s="381"/>
      <c r="M996" s="381"/>
      <c r="N996" s="381"/>
      <c r="O996" s="381"/>
      <c r="P996" s="381"/>
      <c r="Q996" s="381"/>
      <c r="R996" s="381"/>
      <c r="S996" s="381"/>
    </row>
    <row r="997" spans="1:19" ht="12.75" customHeight="1">
      <c r="A997" s="381"/>
      <c r="B997" s="389">
        <v>43735</v>
      </c>
      <c r="C997" s="390">
        <v>1725.45</v>
      </c>
      <c r="D997" s="393"/>
      <c r="E997" s="392">
        <f t="shared" si="0"/>
        <v>-8.2708754828029196E-3</v>
      </c>
      <c r="F997" s="393"/>
      <c r="G997" s="381"/>
      <c r="H997" s="381"/>
      <c r="I997" s="381"/>
      <c r="J997" s="381"/>
      <c r="K997" s="381"/>
      <c r="L997" s="381"/>
      <c r="M997" s="381"/>
      <c r="N997" s="381"/>
      <c r="O997" s="381"/>
      <c r="P997" s="381"/>
      <c r="Q997" s="381"/>
      <c r="R997" s="381"/>
      <c r="S997" s="381"/>
    </row>
    <row r="998" spans="1:19" ht="12.75" customHeight="1">
      <c r="A998" s="381"/>
      <c r="B998" s="389">
        <v>43738</v>
      </c>
      <c r="C998" s="390">
        <v>1735.91</v>
      </c>
      <c r="D998" s="393"/>
      <c r="E998" s="392">
        <f t="shared" si="0"/>
        <v>6.062186675939607E-3</v>
      </c>
      <c r="F998" s="393"/>
      <c r="G998" s="381"/>
      <c r="H998" s="381"/>
      <c r="I998" s="381"/>
      <c r="J998" s="381"/>
      <c r="K998" s="381"/>
      <c r="L998" s="381"/>
      <c r="M998" s="381"/>
      <c r="N998" s="381"/>
      <c r="O998" s="381"/>
      <c r="P998" s="381"/>
      <c r="Q998" s="381"/>
      <c r="R998" s="381"/>
      <c r="S998" s="381"/>
    </row>
    <row r="999" spans="1:19" ht="12.75" customHeight="1">
      <c r="A999" s="381"/>
      <c r="B999" s="389">
        <v>43739</v>
      </c>
      <c r="C999" s="390">
        <v>1735.65</v>
      </c>
      <c r="D999" s="393"/>
      <c r="E999" s="392">
        <f t="shared" si="0"/>
        <v>-1.4977735020826888E-4</v>
      </c>
      <c r="F999" s="393"/>
      <c r="G999" s="381"/>
      <c r="H999" s="381"/>
      <c r="I999" s="381"/>
      <c r="J999" s="381"/>
      <c r="K999" s="381"/>
      <c r="L999" s="381"/>
      <c r="M999" s="381"/>
      <c r="N999" s="381"/>
      <c r="O999" s="381"/>
      <c r="P999" s="381"/>
      <c r="Q999" s="381"/>
      <c r="R999" s="381"/>
      <c r="S999" s="381"/>
    </row>
    <row r="1000" spans="1:19" ht="12.75" customHeight="1">
      <c r="A1000" s="381"/>
      <c r="B1000" s="389">
        <v>43740</v>
      </c>
      <c r="C1000" s="390">
        <v>1713.23</v>
      </c>
      <c r="D1000" s="393"/>
      <c r="E1000" s="392">
        <f t="shared" si="0"/>
        <v>-1.2917350848385412E-2</v>
      </c>
      <c r="F1000" s="393"/>
      <c r="G1000" s="381"/>
      <c r="H1000" s="381"/>
      <c r="I1000" s="381"/>
      <c r="J1000" s="381"/>
      <c r="K1000" s="381"/>
      <c r="L1000" s="381"/>
      <c r="M1000" s="381"/>
      <c r="N1000" s="381"/>
      <c r="O1000" s="381"/>
      <c r="P1000" s="381"/>
      <c r="Q1000" s="381"/>
      <c r="R1000" s="381"/>
      <c r="S1000" s="381"/>
    </row>
    <row r="1001" spans="1:19" ht="12.75" customHeight="1">
      <c r="A1001" s="381"/>
      <c r="B1001" s="389">
        <v>43741</v>
      </c>
      <c r="C1001" s="390">
        <v>1724.42</v>
      </c>
      <c r="D1001" s="393"/>
      <c r="E1001" s="392">
        <f t="shared" si="0"/>
        <v>6.5315223291677604E-3</v>
      </c>
      <c r="F1001" s="393"/>
      <c r="G1001" s="381"/>
      <c r="H1001" s="381"/>
      <c r="I1001" s="381"/>
      <c r="J1001" s="381"/>
      <c r="K1001" s="381"/>
      <c r="L1001" s="381"/>
      <c r="M1001" s="381"/>
      <c r="N1001" s="381"/>
      <c r="O1001" s="381"/>
      <c r="P1001" s="381"/>
      <c r="Q1001" s="381"/>
      <c r="R1001" s="381"/>
      <c r="S1001" s="381"/>
    </row>
    <row r="1002" spans="1:19" ht="12.75" customHeight="1">
      <c r="A1002" s="381"/>
      <c r="B1002" s="389">
        <v>43742</v>
      </c>
      <c r="C1002" s="390">
        <v>1739.65</v>
      </c>
      <c r="D1002" s="393"/>
      <c r="E1002" s="392">
        <f t="shared" si="0"/>
        <v>8.8319550921469592E-3</v>
      </c>
      <c r="F1002" s="393"/>
      <c r="G1002" s="381"/>
      <c r="H1002" s="381"/>
      <c r="I1002" s="381"/>
      <c r="J1002" s="381"/>
      <c r="K1002" s="381"/>
      <c r="L1002" s="381"/>
      <c r="M1002" s="381"/>
      <c r="N1002" s="381"/>
      <c r="O1002" s="381"/>
      <c r="P1002" s="381"/>
      <c r="Q1002" s="381"/>
      <c r="R1002" s="381"/>
      <c r="S1002" s="381"/>
    </row>
    <row r="1003" spans="1:19" ht="12.75" customHeight="1">
      <c r="A1003" s="381"/>
      <c r="B1003" s="389">
        <v>43745</v>
      </c>
      <c r="C1003" s="390">
        <v>1732.66</v>
      </c>
      <c r="D1003" s="393"/>
      <c r="E1003" s="392">
        <f t="shared" si="0"/>
        <v>-4.0180496076797079E-3</v>
      </c>
      <c r="F1003" s="393"/>
      <c r="G1003" s="381"/>
      <c r="H1003" s="381"/>
      <c r="I1003" s="381"/>
      <c r="J1003" s="381"/>
      <c r="K1003" s="381"/>
      <c r="L1003" s="381"/>
      <c r="M1003" s="381"/>
      <c r="N1003" s="381"/>
      <c r="O1003" s="381"/>
      <c r="P1003" s="381"/>
      <c r="Q1003" s="381"/>
      <c r="R1003" s="381"/>
      <c r="S1003" s="381"/>
    </row>
    <row r="1004" spans="1:19" ht="12.75" customHeight="1">
      <c r="A1004" s="381"/>
      <c r="B1004" s="389">
        <v>43746</v>
      </c>
      <c r="C1004" s="390">
        <v>1705.51</v>
      </c>
      <c r="D1004" s="393"/>
      <c r="E1004" s="392">
        <f t="shared" si="0"/>
        <v>-1.566954855540037E-2</v>
      </c>
      <c r="F1004" s="393"/>
      <c r="G1004" s="381"/>
      <c r="H1004" s="381"/>
      <c r="I1004" s="381"/>
      <c r="J1004" s="381"/>
      <c r="K1004" s="381"/>
      <c r="L1004" s="381"/>
      <c r="M1004" s="381"/>
      <c r="N1004" s="381"/>
      <c r="O1004" s="381"/>
      <c r="P1004" s="381"/>
      <c r="Q1004" s="381"/>
      <c r="R1004" s="381"/>
      <c r="S1004" s="381"/>
    </row>
    <row r="1005" spans="1:19" ht="12.75" customHeight="1">
      <c r="A1005" s="381"/>
      <c r="B1005" s="389">
        <v>43747</v>
      </c>
      <c r="C1005" s="390">
        <v>1721.99</v>
      </c>
      <c r="D1005" s="393"/>
      <c r="E1005" s="392">
        <f t="shared" si="0"/>
        <v>9.6627988109128093E-3</v>
      </c>
      <c r="F1005" s="393"/>
      <c r="G1005" s="381"/>
      <c r="H1005" s="381"/>
      <c r="I1005" s="381"/>
      <c r="J1005" s="381"/>
      <c r="K1005" s="381"/>
      <c r="L1005" s="381"/>
      <c r="M1005" s="381"/>
      <c r="N1005" s="381"/>
      <c r="O1005" s="381"/>
      <c r="P1005" s="381"/>
      <c r="Q1005" s="381"/>
      <c r="R1005" s="381"/>
      <c r="S1005" s="381"/>
    </row>
    <row r="1006" spans="1:19" ht="12.75" customHeight="1">
      <c r="A1006" s="381"/>
      <c r="B1006" s="389">
        <v>43748</v>
      </c>
      <c r="C1006" s="390">
        <v>1720.26</v>
      </c>
      <c r="D1006" s="393"/>
      <c r="E1006" s="392">
        <f t="shared" si="0"/>
        <v>-1.0046515949569956E-3</v>
      </c>
      <c r="F1006" s="393"/>
      <c r="G1006" s="381"/>
      <c r="H1006" s="381"/>
      <c r="I1006" s="381"/>
      <c r="J1006" s="381"/>
      <c r="K1006" s="381"/>
      <c r="L1006" s="381"/>
      <c r="M1006" s="381"/>
      <c r="N1006" s="381"/>
      <c r="O1006" s="381"/>
      <c r="P1006" s="381"/>
      <c r="Q1006" s="381"/>
      <c r="R1006" s="381"/>
      <c r="S1006" s="381"/>
    </row>
    <row r="1007" spans="1:19" ht="12.75" customHeight="1">
      <c r="A1007" s="381"/>
      <c r="B1007" s="389">
        <v>43749</v>
      </c>
      <c r="C1007" s="390">
        <v>1731.92</v>
      </c>
      <c r="D1007" s="393"/>
      <c r="E1007" s="392">
        <f t="shared" si="0"/>
        <v>6.778045179217207E-3</v>
      </c>
      <c r="F1007" s="393"/>
      <c r="G1007" s="381"/>
      <c r="H1007" s="381"/>
      <c r="I1007" s="381"/>
      <c r="J1007" s="381"/>
      <c r="K1007" s="381"/>
      <c r="L1007" s="381"/>
      <c r="M1007" s="381"/>
      <c r="N1007" s="381"/>
      <c r="O1007" s="381"/>
      <c r="P1007" s="381"/>
      <c r="Q1007" s="381"/>
      <c r="R1007" s="381"/>
      <c r="S1007" s="381"/>
    </row>
    <row r="1008" spans="1:19" ht="12.75" customHeight="1">
      <c r="A1008" s="381"/>
      <c r="B1008" s="389">
        <v>43752</v>
      </c>
      <c r="C1008" s="390">
        <v>1736.43</v>
      </c>
      <c r="D1008" s="393"/>
      <c r="E1008" s="392">
        <f t="shared" si="0"/>
        <v>2.6040463762759813E-3</v>
      </c>
      <c r="F1008" s="393"/>
      <c r="G1008" s="381"/>
      <c r="H1008" s="381"/>
      <c r="I1008" s="381"/>
      <c r="J1008" s="381"/>
      <c r="K1008" s="381"/>
      <c r="L1008" s="381"/>
      <c r="M1008" s="381"/>
      <c r="N1008" s="381"/>
      <c r="O1008" s="381"/>
      <c r="P1008" s="381"/>
      <c r="Q1008" s="381"/>
      <c r="R1008" s="381"/>
      <c r="S1008" s="381"/>
    </row>
    <row r="1009" spans="1:19" ht="12.75" customHeight="1">
      <c r="A1009" s="381"/>
      <c r="B1009" s="389">
        <v>43753</v>
      </c>
      <c r="C1009" s="390">
        <v>1767.38</v>
      </c>
      <c r="D1009" s="393"/>
      <c r="E1009" s="392">
        <f t="shared" si="0"/>
        <v>1.7823926101253829E-2</v>
      </c>
      <c r="F1009" s="393"/>
      <c r="G1009" s="381"/>
      <c r="H1009" s="381"/>
      <c r="I1009" s="381"/>
      <c r="J1009" s="381"/>
      <c r="K1009" s="381"/>
      <c r="L1009" s="381"/>
      <c r="M1009" s="381"/>
      <c r="N1009" s="381"/>
      <c r="O1009" s="381"/>
      <c r="P1009" s="381"/>
      <c r="Q1009" s="381"/>
      <c r="R1009" s="381"/>
      <c r="S1009" s="381"/>
    </row>
    <row r="1010" spans="1:19" ht="12.75" customHeight="1">
      <c r="A1010" s="381"/>
      <c r="B1010" s="389">
        <v>43754</v>
      </c>
      <c r="C1010" s="390">
        <v>1777.43</v>
      </c>
      <c r="D1010" s="393"/>
      <c r="E1010" s="392">
        <f t="shared" si="0"/>
        <v>5.6863832339395515E-3</v>
      </c>
      <c r="F1010" s="393"/>
      <c r="G1010" s="381"/>
      <c r="H1010" s="381"/>
      <c r="I1010" s="381"/>
      <c r="J1010" s="381"/>
      <c r="K1010" s="381"/>
      <c r="L1010" s="381"/>
      <c r="M1010" s="381"/>
      <c r="N1010" s="381"/>
      <c r="O1010" s="381"/>
      <c r="P1010" s="381"/>
      <c r="Q1010" s="381"/>
      <c r="R1010" s="381"/>
      <c r="S1010" s="381"/>
    </row>
    <row r="1011" spans="1:19" ht="12.75" customHeight="1">
      <c r="A1011" s="381"/>
      <c r="B1011" s="389">
        <v>43755</v>
      </c>
      <c r="C1011" s="390">
        <v>1787.48</v>
      </c>
      <c r="D1011" s="393"/>
      <c r="E1011" s="392">
        <f t="shared" si="0"/>
        <v>5.6542311089606834E-3</v>
      </c>
      <c r="F1011" s="393"/>
      <c r="G1011" s="381"/>
      <c r="H1011" s="381"/>
      <c r="I1011" s="381"/>
      <c r="J1011" s="381"/>
      <c r="K1011" s="381"/>
      <c r="L1011" s="381"/>
      <c r="M1011" s="381"/>
      <c r="N1011" s="381"/>
      <c r="O1011" s="381"/>
      <c r="P1011" s="381"/>
      <c r="Q1011" s="381"/>
      <c r="R1011" s="381"/>
      <c r="S1011" s="381"/>
    </row>
    <row r="1012" spans="1:19" ht="12.75" customHeight="1">
      <c r="A1012" s="381"/>
      <c r="B1012" s="389">
        <v>43756</v>
      </c>
      <c r="C1012" s="390">
        <v>1757.51</v>
      </c>
      <c r="D1012" s="393"/>
      <c r="E1012" s="392">
        <f t="shared" si="0"/>
        <v>-1.6766621164992057E-2</v>
      </c>
      <c r="F1012" s="393"/>
      <c r="G1012" s="381"/>
      <c r="H1012" s="381"/>
      <c r="I1012" s="381"/>
      <c r="J1012" s="381"/>
      <c r="K1012" s="381"/>
      <c r="L1012" s="381"/>
      <c r="M1012" s="381"/>
      <c r="N1012" s="381"/>
      <c r="O1012" s="381"/>
      <c r="P1012" s="381"/>
      <c r="Q1012" s="381"/>
      <c r="R1012" s="381"/>
      <c r="S1012" s="381"/>
    </row>
    <row r="1013" spans="1:19" ht="12.75" customHeight="1">
      <c r="A1013" s="381"/>
      <c r="B1013" s="389">
        <v>43759</v>
      </c>
      <c r="C1013" s="390">
        <v>1785.66</v>
      </c>
      <c r="D1013" s="393"/>
      <c r="E1013" s="392">
        <f t="shared" si="0"/>
        <v>1.6016978566267159E-2</v>
      </c>
      <c r="F1013" s="393"/>
      <c r="G1013" s="381"/>
      <c r="H1013" s="381"/>
      <c r="I1013" s="381"/>
      <c r="J1013" s="381"/>
      <c r="K1013" s="381"/>
      <c r="L1013" s="381"/>
      <c r="M1013" s="381"/>
      <c r="N1013" s="381"/>
      <c r="O1013" s="381"/>
      <c r="P1013" s="381"/>
      <c r="Q1013" s="381"/>
      <c r="R1013" s="381"/>
      <c r="S1013" s="381"/>
    </row>
    <row r="1014" spans="1:19" ht="12.75" customHeight="1">
      <c r="A1014" s="381"/>
      <c r="B1014" s="389">
        <v>43760</v>
      </c>
      <c r="C1014" s="390">
        <v>1765.73</v>
      </c>
      <c r="D1014" s="393"/>
      <c r="E1014" s="392">
        <f t="shared" si="0"/>
        <v>-1.1161139298634715E-2</v>
      </c>
      <c r="F1014" s="393"/>
      <c r="G1014" s="381"/>
      <c r="H1014" s="381"/>
      <c r="I1014" s="381"/>
      <c r="J1014" s="381"/>
      <c r="K1014" s="381"/>
      <c r="L1014" s="381"/>
      <c r="M1014" s="381"/>
      <c r="N1014" s="381"/>
      <c r="O1014" s="381"/>
      <c r="P1014" s="381"/>
      <c r="Q1014" s="381"/>
      <c r="R1014" s="381"/>
      <c r="S1014" s="381"/>
    </row>
    <row r="1015" spans="1:19" ht="12.75" customHeight="1">
      <c r="A1015" s="381"/>
      <c r="B1015" s="389">
        <v>43761</v>
      </c>
      <c r="C1015" s="390">
        <v>1762.17</v>
      </c>
      <c r="D1015" s="393"/>
      <c r="E1015" s="392">
        <f t="shared" si="0"/>
        <v>-2.0161632865726142E-3</v>
      </c>
      <c r="F1015" s="393"/>
      <c r="G1015" s="381"/>
      <c r="H1015" s="381"/>
      <c r="I1015" s="381"/>
      <c r="J1015" s="381"/>
      <c r="K1015" s="381"/>
      <c r="L1015" s="381"/>
      <c r="M1015" s="381"/>
      <c r="N1015" s="381"/>
      <c r="O1015" s="381"/>
      <c r="P1015" s="381"/>
      <c r="Q1015" s="381"/>
      <c r="R1015" s="381"/>
      <c r="S1015" s="381"/>
    </row>
    <row r="1016" spans="1:19" ht="12.75" customHeight="1">
      <c r="A1016" s="381"/>
      <c r="B1016" s="389">
        <v>43762</v>
      </c>
      <c r="C1016" s="390">
        <v>1780.78</v>
      </c>
      <c r="D1016" s="393"/>
      <c r="E1016" s="392">
        <f t="shared" si="0"/>
        <v>1.0560842597479247E-2</v>
      </c>
      <c r="F1016" s="393"/>
      <c r="G1016" s="381"/>
      <c r="H1016" s="381"/>
      <c r="I1016" s="381"/>
      <c r="J1016" s="381"/>
      <c r="K1016" s="381"/>
      <c r="L1016" s="381"/>
      <c r="M1016" s="381"/>
      <c r="N1016" s="381"/>
      <c r="O1016" s="381"/>
      <c r="P1016" s="381"/>
      <c r="Q1016" s="381"/>
      <c r="R1016" s="381"/>
      <c r="S1016" s="381"/>
    </row>
    <row r="1017" spans="1:19" ht="12.75" customHeight="1">
      <c r="A1017" s="381"/>
      <c r="B1017" s="389">
        <v>43763</v>
      </c>
      <c r="C1017" s="390">
        <v>1761.33</v>
      </c>
      <c r="D1017" s="393"/>
      <c r="E1017" s="392">
        <f t="shared" si="0"/>
        <v>-1.0922180168240869E-2</v>
      </c>
      <c r="F1017" s="393"/>
      <c r="G1017" s="381"/>
      <c r="H1017" s="381"/>
      <c r="I1017" s="381"/>
      <c r="J1017" s="381"/>
      <c r="K1017" s="381"/>
      <c r="L1017" s="381"/>
      <c r="M1017" s="381"/>
      <c r="N1017" s="381"/>
      <c r="O1017" s="381"/>
      <c r="P1017" s="381"/>
      <c r="Q1017" s="381"/>
      <c r="R1017" s="381"/>
      <c r="S1017" s="381"/>
    </row>
    <row r="1018" spans="1:19" ht="12.75" customHeight="1">
      <c r="A1018" s="381"/>
      <c r="B1018" s="389">
        <v>43766</v>
      </c>
      <c r="C1018" s="390">
        <v>1777.08</v>
      </c>
      <c r="D1018" s="393"/>
      <c r="E1018" s="392">
        <f t="shared" si="0"/>
        <v>8.9421062492547332E-3</v>
      </c>
      <c r="F1018" s="393"/>
      <c r="G1018" s="381"/>
      <c r="H1018" s="381"/>
      <c r="I1018" s="381"/>
      <c r="J1018" s="381"/>
      <c r="K1018" s="381"/>
      <c r="L1018" s="381"/>
      <c r="M1018" s="381"/>
      <c r="N1018" s="381"/>
      <c r="O1018" s="381"/>
      <c r="P1018" s="381"/>
      <c r="Q1018" s="381"/>
      <c r="R1018" s="381"/>
      <c r="S1018" s="381"/>
    </row>
    <row r="1019" spans="1:19" ht="12.75" customHeight="1">
      <c r="A1019" s="381"/>
      <c r="B1019" s="389">
        <v>43767</v>
      </c>
      <c r="C1019" s="390">
        <v>1762.71</v>
      </c>
      <c r="D1019" s="393"/>
      <c r="E1019" s="392">
        <f t="shared" si="0"/>
        <v>-8.0862988723072737E-3</v>
      </c>
      <c r="F1019" s="393"/>
      <c r="G1019" s="381"/>
      <c r="H1019" s="381"/>
      <c r="I1019" s="381"/>
      <c r="J1019" s="381"/>
      <c r="K1019" s="381"/>
      <c r="L1019" s="381"/>
      <c r="M1019" s="381"/>
      <c r="N1019" s="381"/>
      <c r="O1019" s="381"/>
      <c r="P1019" s="381"/>
      <c r="Q1019" s="381"/>
      <c r="R1019" s="381"/>
      <c r="S1019" s="381"/>
    </row>
    <row r="1020" spans="1:19" ht="12.75" customHeight="1">
      <c r="A1020" s="381"/>
      <c r="B1020" s="389">
        <v>43768</v>
      </c>
      <c r="C1020" s="390">
        <v>1779.99</v>
      </c>
      <c r="D1020" s="393"/>
      <c r="E1020" s="392">
        <f t="shared" si="0"/>
        <v>9.803087291726964E-3</v>
      </c>
      <c r="F1020" s="393"/>
      <c r="G1020" s="381"/>
      <c r="H1020" s="381"/>
      <c r="I1020" s="381"/>
      <c r="J1020" s="381"/>
      <c r="K1020" s="381"/>
      <c r="L1020" s="381"/>
      <c r="M1020" s="381"/>
      <c r="N1020" s="381"/>
      <c r="O1020" s="381"/>
      <c r="P1020" s="381"/>
      <c r="Q1020" s="381"/>
      <c r="R1020" s="381"/>
      <c r="S1020" s="381"/>
    </row>
    <row r="1021" spans="1:19" ht="12.75" customHeight="1">
      <c r="A1021" s="381"/>
      <c r="B1021" s="389">
        <v>43769</v>
      </c>
      <c r="C1021" s="390">
        <v>1776.66</v>
      </c>
      <c r="D1021" s="393"/>
      <c r="E1021" s="392">
        <f t="shared" si="0"/>
        <v>-1.8707970269495888E-3</v>
      </c>
      <c r="F1021" s="393"/>
      <c r="G1021" s="381"/>
      <c r="H1021" s="381"/>
      <c r="I1021" s="381"/>
      <c r="J1021" s="381"/>
      <c r="K1021" s="381"/>
      <c r="L1021" s="381"/>
      <c r="M1021" s="381"/>
      <c r="N1021" s="381"/>
      <c r="O1021" s="381"/>
      <c r="P1021" s="381"/>
      <c r="Q1021" s="381"/>
      <c r="R1021" s="381"/>
      <c r="S1021" s="381"/>
    </row>
    <row r="1022" spans="1:19" ht="12.75" customHeight="1">
      <c r="A1022" s="381"/>
      <c r="B1022" s="389">
        <v>43770</v>
      </c>
      <c r="C1022" s="390">
        <v>1791.44</v>
      </c>
      <c r="D1022" s="393"/>
      <c r="E1022" s="392">
        <f t="shared" si="0"/>
        <v>8.3189805590264676E-3</v>
      </c>
      <c r="F1022" s="393"/>
      <c r="G1022" s="381"/>
      <c r="H1022" s="381"/>
      <c r="I1022" s="381"/>
      <c r="J1022" s="381"/>
      <c r="K1022" s="381"/>
      <c r="L1022" s="381"/>
      <c r="M1022" s="381"/>
      <c r="N1022" s="381"/>
      <c r="O1022" s="381"/>
      <c r="P1022" s="381"/>
      <c r="Q1022" s="381"/>
      <c r="R1022" s="381"/>
      <c r="S1022" s="381"/>
    </row>
    <row r="1023" spans="1:19" ht="12.75" customHeight="1">
      <c r="A1023" s="381"/>
      <c r="B1023" s="389">
        <v>43773</v>
      </c>
      <c r="C1023" s="390">
        <v>1804.66</v>
      </c>
      <c r="D1023" s="393"/>
      <c r="E1023" s="392">
        <f t="shared" si="0"/>
        <v>7.3795382485597472E-3</v>
      </c>
      <c r="F1023" s="393"/>
      <c r="G1023" s="381"/>
      <c r="H1023" s="381"/>
      <c r="I1023" s="381"/>
      <c r="J1023" s="381"/>
      <c r="K1023" s="381"/>
      <c r="L1023" s="381"/>
      <c r="M1023" s="381"/>
      <c r="N1023" s="381"/>
      <c r="O1023" s="381"/>
      <c r="P1023" s="381"/>
      <c r="Q1023" s="381"/>
      <c r="R1023" s="381"/>
      <c r="S1023" s="381"/>
    </row>
    <row r="1024" spans="1:19" ht="12.75" customHeight="1">
      <c r="A1024" s="381"/>
      <c r="B1024" s="389">
        <v>43774</v>
      </c>
      <c r="C1024" s="390">
        <v>1801.71</v>
      </c>
      <c r="D1024" s="393"/>
      <c r="E1024" s="392">
        <f t="shared" si="0"/>
        <v>-1.6346569436902492E-3</v>
      </c>
      <c r="F1024" s="393"/>
      <c r="G1024" s="381"/>
      <c r="H1024" s="381"/>
      <c r="I1024" s="381"/>
      <c r="J1024" s="381"/>
      <c r="K1024" s="381"/>
      <c r="L1024" s="381"/>
      <c r="M1024" s="381"/>
      <c r="N1024" s="381"/>
      <c r="O1024" s="381"/>
      <c r="P1024" s="381"/>
      <c r="Q1024" s="381"/>
      <c r="R1024" s="381"/>
      <c r="S1024" s="381"/>
    </row>
    <row r="1025" spans="1:19" ht="12.75" customHeight="1">
      <c r="A1025" s="381"/>
      <c r="B1025" s="389">
        <v>43775</v>
      </c>
      <c r="C1025" s="390">
        <v>1795.77</v>
      </c>
      <c r="D1025" s="393"/>
      <c r="E1025" s="392">
        <f t="shared" si="0"/>
        <v>-3.2968679754233898E-3</v>
      </c>
      <c r="F1025" s="393"/>
      <c r="G1025" s="381"/>
      <c r="H1025" s="381"/>
      <c r="I1025" s="381"/>
      <c r="J1025" s="381"/>
      <c r="K1025" s="381"/>
      <c r="L1025" s="381"/>
      <c r="M1025" s="381"/>
      <c r="N1025" s="381"/>
      <c r="O1025" s="381"/>
      <c r="P1025" s="381"/>
      <c r="Q1025" s="381"/>
      <c r="R1025" s="381"/>
      <c r="S1025" s="381"/>
    </row>
    <row r="1026" spans="1:19" ht="12.75" customHeight="1">
      <c r="A1026" s="381"/>
      <c r="B1026" s="389">
        <v>43776</v>
      </c>
      <c r="C1026" s="390">
        <v>1788.2</v>
      </c>
      <c r="D1026" s="393"/>
      <c r="E1026" s="392">
        <f t="shared" si="0"/>
        <v>-4.2154618909994168E-3</v>
      </c>
      <c r="F1026" s="393"/>
      <c r="G1026" s="381"/>
      <c r="H1026" s="381"/>
      <c r="I1026" s="381"/>
      <c r="J1026" s="381"/>
      <c r="K1026" s="381"/>
      <c r="L1026" s="381"/>
      <c r="M1026" s="381"/>
      <c r="N1026" s="381"/>
      <c r="O1026" s="381"/>
      <c r="P1026" s="381"/>
      <c r="Q1026" s="381"/>
      <c r="R1026" s="381"/>
      <c r="S1026" s="381"/>
    </row>
    <row r="1027" spans="1:19" ht="12.75" customHeight="1">
      <c r="A1027" s="381"/>
      <c r="B1027" s="389">
        <v>43777</v>
      </c>
      <c r="C1027" s="390">
        <v>1785.88</v>
      </c>
      <c r="D1027" s="393"/>
      <c r="E1027" s="392">
        <f t="shared" si="0"/>
        <v>-1.2973940275137208E-3</v>
      </c>
      <c r="F1027" s="393"/>
      <c r="G1027" s="381"/>
      <c r="H1027" s="381"/>
      <c r="I1027" s="381"/>
      <c r="J1027" s="381"/>
      <c r="K1027" s="381"/>
      <c r="L1027" s="381"/>
      <c r="M1027" s="381"/>
      <c r="N1027" s="381"/>
      <c r="O1027" s="381"/>
      <c r="P1027" s="381"/>
      <c r="Q1027" s="381"/>
      <c r="R1027" s="381"/>
      <c r="S1027" s="381"/>
    </row>
    <row r="1028" spans="1:19" ht="12.75" customHeight="1">
      <c r="A1028" s="381"/>
      <c r="B1028" s="389">
        <v>43780</v>
      </c>
      <c r="C1028" s="390">
        <v>1771.65</v>
      </c>
      <c r="D1028" s="393"/>
      <c r="E1028" s="392">
        <f t="shared" si="0"/>
        <v>-7.9680605639796953E-3</v>
      </c>
      <c r="F1028" s="393"/>
      <c r="G1028" s="381"/>
      <c r="H1028" s="381"/>
      <c r="I1028" s="381"/>
      <c r="J1028" s="381"/>
      <c r="K1028" s="381"/>
      <c r="L1028" s="381"/>
      <c r="M1028" s="381"/>
      <c r="N1028" s="381"/>
      <c r="O1028" s="381"/>
      <c r="P1028" s="381"/>
      <c r="Q1028" s="381"/>
      <c r="R1028" s="381"/>
      <c r="S1028" s="381"/>
    </row>
    <row r="1029" spans="1:19" ht="12.75" customHeight="1">
      <c r="A1029" s="381"/>
      <c r="B1029" s="389">
        <v>43781</v>
      </c>
      <c r="C1029" s="390">
        <v>1778</v>
      </c>
      <c r="D1029" s="393"/>
      <c r="E1029" s="392">
        <f t="shared" si="0"/>
        <v>3.5842293906809264E-3</v>
      </c>
      <c r="F1029" s="393"/>
      <c r="G1029" s="381"/>
      <c r="H1029" s="381"/>
      <c r="I1029" s="381"/>
      <c r="J1029" s="381"/>
      <c r="K1029" s="381"/>
      <c r="L1029" s="381"/>
      <c r="M1029" s="381"/>
      <c r="N1029" s="381"/>
      <c r="O1029" s="381"/>
      <c r="P1029" s="381"/>
      <c r="Q1029" s="381"/>
      <c r="R1029" s="381"/>
      <c r="S1029" s="381"/>
    </row>
    <row r="1030" spans="1:19" ht="12.75" customHeight="1">
      <c r="A1030" s="381"/>
      <c r="B1030" s="389">
        <v>43782</v>
      </c>
      <c r="C1030" s="390">
        <v>1753.11</v>
      </c>
      <c r="D1030" s="393"/>
      <c r="E1030" s="392">
        <f t="shared" si="0"/>
        <v>-1.3998875140607492E-2</v>
      </c>
      <c r="F1030" s="393"/>
      <c r="G1030" s="381"/>
      <c r="H1030" s="381"/>
      <c r="I1030" s="381"/>
      <c r="J1030" s="381"/>
      <c r="K1030" s="381"/>
      <c r="L1030" s="381"/>
      <c r="M1030" s="381"/>
      <c r="N1030" s="381"/>
      <c r="O1030" s="381"/>
      <c r="P1030" s="381"/>
      <c r="Q1030" s="381"/>
      <c r="R1030" s="381"/>
      <c r="S1030" s="381"/>
    </row>
    <row r="1031" spans="1:19" ht="12.75" customHeight="1">
      <c r="A1031" s="381"/>
      <c r="B1031" s="389">
        <v>43783</v>
      </c>
      <c r="C1031" s="390">
        <v>1754.6</v>
      </c>
      <c r="D1031" s="393"/>
      <c r="E1031" s="392">
        <f t="shared" si="0"/>
        <v>8.4991814546730993E-4</v>
      </c>
      <c r="F1031" s="393"/>
      <c r="G1031" s="381"/>
      <c r="H1031" s="381"/>
      <c r="I1031" s="381"/>
      <c r="J1031" s="381"/>
      <c r="K1031" s="381"/>
      <c r="L1031" s="381"/>
      <c r="M1031" s="381"/>
      <c r="N1031" s="381"/>
      <c r="O1031" s="381"/>
      <c r="P1031" s="381"/>
      <c r="Q1031" s="381"/>
      <c r="R1031" s="381"/>
      <c r="S1031" s="381"/>
    </row>
    <row r="1032" spans="1:19" ht="12.75" customHeight="1">
      <c r="A1032" s="381"/>
      <c r="B1032" s="389">
        <v>43784</v>
      </c>
      <c r="C1032" s="390">
        <v>1739.49</v>
      </c>
      <c r="D1032" s="393"/>
      <c r="E1032" s="392">
        <f t="shared" si="0"/>
        <v>-8.6116493787757875E-3</v>
      </c>
      <c r="F1032" s="393"/>
      <c r="G1032" s="381"/>
      <c r="H1032" s="381"/>
      <c r="I1032" s="381"/>
      <c r="J1032" s="381"/>
      <c r="K1032" s="381"/>
      <c r="L1032" s="381"/>
      <c r="M1032" s="381"/>
      <c r="N1032" s="381"/>
      <c r="O1032" s="381"/>
      <c r="P1032" s="381"/>
      <c r="Q1032" s="381"/>
      <c r="R1032" s="381"/>
      <c r="S1032" s="381"/>
    </row>
    <row r="1033" spans="1:19" ht="12.75" customHeight="1">
      <c r="A1033" s="381"/>
      <c r="B1033" s="389">
        <v>43787</v>
      </c>
      <c r="C1033" s="390">
        <v>1752.53</v>
      </c>
      <c r="D1033" s="393"/>
      <c r="E1033" s="392">
        <f t="shared" si="0"/>
        <v>7.496450108939845E-3</v>
      </c>
      <c r="F1033" s="393"/>
      <c r="G1033" s="381"/>
      <c r="H1033" s="381"/>
      <c r="I1033" s="381"/>
      <c r="J1033" s="381"/>
      <c r="K1033" s="381"/>
      <c r="L1033" s="381"/>
      <c r="M1033" s="381"/>
      <c r="N1033" s="381"/>
      <c r="O1033" s="381"/>
      <c r="P1033" s="381"/>
      <c r="Q1033" s="381"/>
      <c r="R1033" s="381"/>
      <c r="S1033" s="381"/>
    </row>
    <row r="1034" spans="1:19" ht="12.75" customHeight="1">
      <c r="A1034" s="381"/>
      <c r="B1034" s="389">
        <v>43788</v>
      </c>
      <c r="C1034" s="390">
        <v>1752.79</v>
      </c>
      <c r="D1034" s="393"/>
      <c r="E1034" s="392">
        <f t="shared" si="0"/>
        <v>1.483569468139212E-4</v>
      </c>
      <c r="F1034" s="393"/>
      <c r="G1034" s="381"/>
      <c r="H1034" s="381"/>
      <c r="I1034" s="381"/>
      <c r="J1034" s="381"/>
      <c r="K1034" s="381"/>
      <c r="L1034" s="381"/>
      <c r="M1034" s="381"/>
      <c r="N1034" s="381"/>
      <c r="O1034" s="381"/>
      <c r="P1034" s="381"/>
      <c r="Q1034" s="381"/>
      <c r="R1034" s="381"/>
      <c r="S1034" s="381"/>
    </row>
    <row r="1035" spans="1:19" ht="12.75" customHeight="1">
      <c r="A1035" s="381"/>
      <c r="B1035" s="389">
        <v>43789</v>
      </c>
      <c r="C1035" s="390">
        <v>1745.53</v>
      </c>
      <c r="D1035" s="393"/>
      <c r="E1035" s="392">
        <f t="shared" si="0"/>
        <v>-4.1419679482425087E-3</v>
      </c>
      <c r="F1035" s="393"/>
      <c r="G1035" s="381"/>
      <c r="H1035" s="381"/>
      <c r="I1035" s="381"/>
      <c r="J1035" s="381"/>
      <c r="K1035" s="381"/>
      <c r="L1035" s="381"/>
      <c r="M1035" s="381"/>
      <c r="N1035" s="381"/>
      <c r="O1035" s="381"/>
      <c r="P1035" s="381"/>
      <c r="Q1035" s="381"/>
      <c r="R1035" s="381"/>
      <c r="S1035" s="381"/>
    </row>
    <row r="1036" spans="1:19" ht="12.75" customHeight="1">
      <c r="A1036" s="381"/>
      <c r="B1036" s="389">
        <v>43790</v>
      </c>
      <c r="C1036" s="390">
        <v>1734.71</v>
      </c>
      <c r="D1036" s="393"/>
      <c r="E1036" s="392">
        <f t="shared" si="0"/>
        <v>-6.1986903691142459E-3</v>
      </c>
      <c r="F1036" s="393"/>
      <c r="G1036" s="381"/>
      <c r="H1036" s="381"/>
      <c r="I1036" s="381"/>
      <c r="J1036" s="381"/>
      <c r="K1036" s="381"/>
      <c r="L1036" s="381"/>
      <c r="M1036" s="381"/>
      <c r="N1036" s="381"/>
      <c r="O1036" s="381"/>
      <c r="P1036" s="381"/>
      <c r="Q1036" s="381"/>
      <c r="R1036" s="381"/>
      <c r="S1036" s="381"/>
    </row>
    <row r="1037" spans="1:19" ht="12.75" customHeight="1">
      <c r="A1037" s="381"/>
      <c r="B1037" s="389">
        <v>43791</v>
      </c>
      <c r="C1037" s="390">
        <v>1745.72</v>
      </c>
      <c r="D1037" s="393"/>
      <c r="E1037" s="392">
        <f t="shared" si="0"/>
        <v>6.3468821878007731E-3</v>
      </c>
      <c r="F1037" s="393"/>
      <c r="G1037" s="381"/>
      <c r="H1037" s="381"/>
      <c r="I1037" s="381"/>
      <c r="J1037" s="381"/>
      <c r="K1037" s="381"/>
      <c r="L1037" s="381"/>
      <c r="M1037" s="381"/>
      <c r="N1037" s="381"/>
      <c r="O1037" s="381"/>
      <c r="P1037" s="381"/>
      <c r="Q1037" s="381"/>
      <c r="R1037" s="381"/>
      <c r="S1037" s="381"/>
    </row>
    <row r="1038" spans="1:19" ht="12.75" customHeight="1">
      <c r="A1038" s="381"/>
      <c r="B1038" s="389">
        <v>43794</v>
      </c>
      <c r="C1038" s="390">
        <v>1773.84</v>
      </c>
      <c r="D1038" s="393"/>
      <c r="E1038" s="392">
        <f t="shared" si="0"/>
        <v>1.6107966913365246E-2</v>
      </c>
      <c r="F1038" s="393"/>
      <c r="G1038" s="381"/>
      <c r="H1038" s="381"/>
      <c r="I1038" s="381"/>
      <c r="J1038" s="381"/>
      <c r="K1038" s="381"/>
      <c r="L1038" s="381"/>
      <c r="M1038" s="381"/>
      <c r="N1038" s="381"/>
      <c r="O1038" s="381"/>
      <c r="P1038" s="381"/>
      <c r="Q1038" s="381"/>
      <c r="R1038" s="381"/>
      <c r="S1038" s="381"/>
    </row>
    <row r="1039" spans="1:19" ht="12.75" customHeight="1">
      <c r="A1039" s="381"/>
      <c r="B1039" s="389">
        <v>43795</v>
      </c>
      <c r="C1039" s="390">
        <v>1796.94</v>
      </c>
      <c r="D1039" s="393"/>
      <c r="E1039" s="392">
        <f t="shared" si="0"/>
        <v>1.3022595048031382E-2</v>
      </c>
      <c r="F1039" s="393"/>
      <c r="G1039" s="381"/>
      <c r="H1039" s="381"/>
      <c r="I1039" s="381"/>
      <c r="J1039" s="381"/>
      <c r="K1039" s="381"/>
      <c r="L1039" s="381"/>
      <c r="M1039" s="381"/>
      <c r="N1039" s="381"/>
      <c r="O1039" s="381"/>
      <c r="P1039" s="381"/>
      <c r="Q1039" s="381"/>
      <c r="R1039" s="381"/>
      <c r="S1039" s="381"/>
    </row>
    <row r="1040" spans="1:19" ht="12.75" customHeight="1">
      <c r="A1040" s="381"/>
      <c r="B1040" s="389">
        <v>43796</v>
      </c>
      <c r="C1040" s="390">
        <v>1818.51</v>
      </c>
      <c r="D1040" s="393"/>
      <c r="E1040" s="392">
        <f t="shared" si="0"/>
        <v>1.2003739690807702E-2</v>
      </c>
      <c r="F1040" s="393"/>
      <c r="G1040" s="381"/>
      <c r="H1040" s="381"/>
      <c r="I1040" s="381"/>
      <c r="J1040" s="381"/>
      <c r="K1040" s="381"/>
      <c r="L1040" s="381"/>
      <c r="M1040" s="381"/>
      <c r="N1040" s="381"/>
      <c r="O1040" s="381"/>
      <c r="P1040" s="381"/>
      <c r="Q1040" s="381"/>
      <c r="R1040" s="381"/>
      <c r="S1040" s="381"/>
    </row>
    <row r="1041" spans="1:19" ht="12.75" customHeight="1">
      <c r="A1041" s="381"/>
      <c r="B1041" s="389">
        <v>43797</v>
      </c>
      <c r="C1041" s="390">
        <v>1818.51</v>
      </c>
      <c r="D1041" s="393"/>
      <c r="E1041" s="392">
        <f t="shared" si="0"/>
        <v>0</v>
      </c>
      <c r="F1041" s="393"/>
      <c r="G1041" s="381"/>
      <c r="H1041" s="381"/>
      <c r="I1041" s="381"/>
      <c r="J1041" s="381"/>
      <c r="K1041" s="381"/>
      <c r="L1041" s="381"/>
      <c r="M1041" s="381"/>
      <c r="N1041" s="381"/>
      <c r="O1041" s="381"/>
      <c r="P1041" s="381"/>
      <c r="Q1041" s="381"/>
      <c r="R1041" s="381"/>
      <c r="S1041" s="381"/>
    </row>
    <row r="1042" spans="1:19" ht="12.75" customHeight="1">
      <c r="A1042" s="381"/>
      <c r="B1042" s="389">
        <v>43798</v>
      </c>
      <c r="C1042" s="390">
        <v>1800.8</v>
      </c>
      <c r="D1042" s="393"/>
      <c r="E1042" s="392">
        <f t="shared" si="0"/>
        <v>-9.7387421570406252E-3</v>
      </c>
      <c r="F1042" s="393"/>
      <c r="G1042" s="381"/>
      <c r="H1042" s="381"/>
      <c r="I1042" s="381"/>
      <c r="J1042" s="381"/>
      <c r="K1042" s="381"/>
      <c r="L1042" s="381"/>
      <c r="M1042" s="381"/>
      <c r="N1042" s="381"/>
      <c r="O1042" s="381"/>
      <c r="P1042" s="381"/>
      <c r="Q1042" s="381"/>
      <c r="R1042" s="381"/>
      <c r="S1042" s="381"/>
    </row>
    <row r="1043" spans="1:19" ht="12.75" customHeight="1">
      <c r="A1043" s="381"/>
      <c r="B1043" s="389">
        <v>43801</v>
      </c>
      <c r="C1043" s="390">
        <v>1781.6</v>
      </c>
      <c r="D1043" s="393"/>
      <c r="E1043" s="392">
        <f t="shared" si="0"/>
        <v>-1.0661928031985846E-2</v>
      </c>
      <c r="F1043" s="393"/>
      <c r="G1043" s="381"/>
      <c r="H1043" s="381"/>
      <c r="I1043" s="381"/>
      <c r="J1043" s="381"/>
      <c r="K1043" s="381"/>
      <c r="L1043" s="381"/>
      <c r="M1043" s="381"/>
      <c r="N1043" s="381"/>
      <c r="O1043" s="381"/>
      <c r="P1043" s="381"/>
      <c r="Q1043" s="381"/>
      <c r="R1043" s="381"/>
      <c r="S1043" s="381"/>
    </row>
    <row r="1044" spans="1:19" ht="12.75" customHeight="1">
      <c r="A1044" s="381"/>
      <c r="B1044" s="389">
        <v>43802</v>
      </c>
      <c r="C1044" s="390">
        <v>1769.96</v>
      </c>
      <c r="D1044" s="393"/>
      <c r="E1044" s="392">
        <f t="shared" si="0"/>
        <v>-6.5334530758868192E-3</v>
      </c>
      <c r="F1044" s="393"/>
      <c r="G1044" s="381"/>
      <c r="H1044" s="381"/>
      <c r="I1044" s="381"/>
      <c r="J1044" s="381"/>
      <c r="K1044" s="381"/>
      <c r="L1044" s="381"/>
      <c r="M1044" s="381"/>
      <c r="N1044" s="381"/>
      <c r="O1044" s="381"/>
      <c r="P1044" s="381"/>
      <c r="Q1044" s="381"/>
      <c r="R1044" s="381"/>
      <c r="S1044" s="381"/>
    </row>
    <row r="1045" spans="1:19" ht="12.75" customHeight="1">
      <c r="A1045" s="381"/>
      <c r="B1045" s="389">
        <v>43803</v>
      </c>
      <c r="C1045" s="390">
        <v>1760.69</v>
      </c>
      <c r="D1045" s="393"/>
      <c r="E1045" s="392">
        <f t="shared" si="0"/>
        <v>-5.2374064950619914E-3</v>
      </c>
      <c r="F1045" s="393"/>
      <c r="G1045" s="381"/>
      <c r="H1045" s="381"/>
      <c r="I1045" s="381"/>
      <c r="J1045" s="381"/>
      <c r="K1045" s="381"/>
      <c r="L1045" s="381"/>
      <c r="M1045" s="381"/>
      <c r="N1045" s="381"/>
      <c r="O1045" s="381"/>
      <c r="P1045" s="381"/>
      <c r="Q1045" s="381"/>
      <c r="R1045" s="381"/>
      <c r="S1045" s="381"/>
    </row>
    <row r="1046" spans="1:19" ht="12.75" customHeight="1">
      <c r="A1046" s="381"/>
      <c r="B1046" s="389">
        <v>43804</v>
      </c>
      <c r="C1046" s="390">
        <v>1740.48</v>
      </c>
      <c r="D1046" s="393"/>
      <c r="E1046" s="392">
        <f t="shared" si="0"/>
        <v>-1.1478454469554533E-2</v>
      </c>
      <c r="F1046" s="393"/>
      <c r="G1046" s="381"/>
      <c r="H1046" s="381"/>
      <c r="I1046" s="381"/>
      <c r="J1046" s="381"/>
      <c r="K1046" s="381"/>
      <c r="L1046" s="381"/>
      <c r="M1046" s="381"/>
      <c r="N1046" s="381"/>
      <c r="O1046" s="381"/>
      <c r="P1046" s="381"/>
      <c r="Q1046" s="381"/>
      <c r="R1046" s="381"/>
      <c r="S1046" s="381"/>
    </row>
    <row r="1047" spans="1:19" ht="12.75" customHeight="1">
      <c r="A1047" s="381"/>
      <c r="B1047" s="389">
        <v>43805</v>
      </c>
      <c r="C1047" s="390">
        <v>1751.6</v>
      </c>
      <c r="D1047" s="393"/>
      <c r="E1047" s="392">
        <f t="shared" si="0"/>
        <v>6.3890421033276912E-3</v>
      </c>
      <c r="F1047" s="393"/>
      <c r="G1047" s="381"/>
      <c r="H1047" s="381"/>
      <c r="I1047" s="381"/>
      <c r="J1047" s="381"/>
      <c r="K1047" s="381"/>
      <c r="L1047" s="381"/>
      <c r="M1047" s="381"/>
      <c r="N1047" s="381"/>
      <c r="O1047" s="381"/>
      <c r="P1047" s="381"/>
      <c r="Q1047" s="381"/>
      <c r="R1047" s="381"/>
      <c r="S1047" s="381"/>
    </row>
    <row r="1048" spans="1:19" ht="12.75" customHeight="1">
      <c r="A1048" s="381"/>
      <c r="B1048" s="389">
        <v>43808</v>
      </c>
      <c r="C1048" s="390">
        <v>1749.51</v>
      </c>
      <c r="D1048" s="393"/>
      <c r="E1048" s="392">
        <f t="shared" si="0"/>
        <v>-1.1931947933317977E-3</v>
      </c>
      <c r="F1048" s="393"/>
      <c r="G1048" s="381"/>
      <c r="H1048" s="381"/>
      <c r="I1048" s="381"/>
      <c r="J1048" s="381"/>
      <c r="K1048" s="381"/>
      <c r="L1048" s="381"/>
      <c r="M1048" s="381"/>
      <c r="N1048" s="381"/>
      <c r="O1048" s="381"/>
      <c r="P1048" s="381"/>
      <c r="Q1048" s="381"/>
      <c r="R1048" s="381"/>
      <c r="S1048" s="381"/>
    </row>
    <row r="1049" spans="1:19" ht="12.75" customHeight="1">
      <c r="A1049" s="381"/>
      <c r="B1049" s="389">
        <v>43809</v>
      </c>
      <c r="C1049" s="390">
        <v>1739.21</v>
      </c>
      <c r="D1049" s="393"/>
      <c r="E1049" s="392">
        <f t="shared" si="0"/>
        <v>-5.8873627472835199E-3</v>
      </c>
      <c r="F1049" s="393"/>
      <c r="G1049" s="381"/>
      <c r="H1049" s="381"/>
      <c r="I1049" s="381"/>
      <c r="J1049" s="381"/>
      <c r="K1049" s="381"/>
      <c r="L1049" s="381"/>
      <c r="M1049" s="381"/>
      <c r="N1049" s="381"/>
      <c r="O1049" s="381"/>
      <c r="P1049" s="381"/>
      <c r="Q1049" s="381"/>
      <c r="R1049" s="381"/>
      <c r="S1049" s="381"/>
    </row>
    <row r="1050" spans="1:19" ht="12.75" customHeight="1">
      <c r="A1050" s="381"/>
      <c r="B1050" s="389">
        <v>43810</v>
      </c>
      <c r="C1050" s="390">
        <v>1748.72</v>
      </c>
      <c r="D1050" s="393"/>
      <c r="E1050" s="392">
        <f t="shared" si="0"/>
        <v>5.4679998390072537E-3</v>
      </c>
      <c r="F1050" s="393"/>
      <c r="G1050" s="381"/>
      <c r="H1050" s="381"/>
      <c r="I1050" s="381"/>
      <c r="J1050" s="381"/>
      <c r="K1050" s="381"/>
      <c r="L1050" s="381"/>
      <c r="M1050" s="381"/>
      <c r="N1050" s="381"/>
      <c r="O1050" s="381"/>
      <c r="P1050" s="381"/>
      <c r="Q1050" s="381"/>
      <c r="R1050" s="381"/>
      <c r="S1050" s="381"/>
    </row>
    <row r="1051" spans="1:19" ht="12.75" customHeight="1">
      <c r="A1051" s="381"/>
      <c r="B1051" s="389">
        <v>43811</v>
      </c>
      <c r="C1051" s="390">
        <v>1760.33</v>
      </c>
      <c r="D1051" s="393"/>
      <c r="E1051" s="392">
        <f t="shared" si="0"/>
        <v>6.6391417722677648E-3</v>
      </c>
      <c r="F1051" s="393"/>
      <c r="G1051" s="381"/>
      <c r="H1051" s="381"/>
      <c r="I1051" s="381"/>
      <c r="J1051" s="381"/>
      <c r="K1051" s="381"/>
      <c r="L1051" s="381"/>
      <c r="M1051" s="381"/>
      <c r="N1051" s="381"/>
      <c r="O1051" s="381"/>
      <c r="P1051" s="381"/>
      <c r="Q1051" s="381"/>
      <c r="R1051" s="381"/>
      <c r="S1051" s="381"/>
    </row>
    <row r="1052" spans="1:19" ht="12.75" customHeight="1">
      <c r="A1052" s="381"/>
      <c r="B1052" s="389">
        <v>43812</v>
      </c>
      <c r="C1052" s="390">
        <v>1760.94</v>
      </c>
      <c r="D1052" s="393"/>
      <c r="E1052" s="392">
        <f t="shared" si="0"/>
        <v>3.465259354780148E-4</v>
      </c>
      <c r="F1052" s="393"/>
      <c r="G1052" s="381"/>
      <c r="H1052" s="381"/>
      <c r="I1052" s="381"/>
      <c r="J1052" s="381"/>
      <c r="K1052" s="381"/>
      <c r="L1052" s="381"/>
      <c r="M1052" s="381"/>
      <c r="N1052" s="381"/>
      <c r="O1052" s="381"/>
      <c r="P1052" s="381"/>
      <c r="Q1052" s="381"/>
      <c r="R1052" s="381"/>
      <c r="S1052" s="381"/>
    </row>
    <row r="1053" spans="1:19" ht="12.75" customHeight="1">
      <c r="A1053" s="381"/>
      <c r="B1053" s="389">
        <v>43815</v>
      </c>
      <c r="C1053" s="390">
        <v>1769.21</v>
      </c>
      <c r="D1053" s="393"/>
      <c r="E1053" s="392">
        <f t="shared" si="0"/>
        <v>4.6963553556622628E-3</v>
      </c>
      <c r="F1053" s="393"/>
      <c r="G1053" s="381"/>
      <c r="H1053" s="381"/>
      <c r="I1053" s="381"/>
      <c r="J1053" s="381"/>
      <c r="K1053" s="381"/>
      <c r="L1053" s="381"/>
      <c r="M1053" s="381"/>
      <c r="N1053" s="381"/>
      <c r="O1053" s="381"/>
      <c r="P1053" s="381"/>
      <c r="Q1053" s="381"/>
      <c r="R1053" s="381"/>
      <c r="S1053" s="381"/>
    </row>
    <row r="1054" spans="1:19" ht="12.75" customHeight="1">
      <c r="A1054" s="381"/>
      <c r="B1054" s="389">
        <v>43816</v>
      </c>
      <c r="C1054" s="390">
        <v>1790.66</v>
      </c>
      <c r="D1054" s="393"/>
      <c r="E1054" s="392">
        <f t="shared" si="0"/>
        <v>1.2124055369345577E-2</v>
      </c>
      <c r="F1054" s="393"/>
      <c r="G1054" s="381"/>
      <c r="H1054" s="381"/>
      <c r="I1054" s="381"/>
      <c r="J1054" s="381"/>
      <c r="K1054" s="381"/>
      <c r="L1054" s="381"/>
      <c r="M1054" s="381"/>
      <c r="N1054" s="381"/>
      <c r="O1054" s="381"/>
      <c r="P1054" s="381"/>
      <c r="Q1054" s="381"/>
      <c r="R1054" s="381"/>
      <c r="S1054" s="381"/>
    </row>
    <row r="1055" spans="1:19" ht="12.75" customHeight="1">
      <c r="A1055" s="381"/>
      <c r="B1055" s="389">
        <v>43817</v>
      </c>
      <c r="C1055" s="390">
        <v>1784.03</v>
      </c>
      <c r="D1055" s="393"/>
      <c r="E1055" s="392">
        <f t="shared" si="0"/>
        <v>-3.7025454301766736E-3</v>
      </c>
      <c r="F1055" s="393"/>
      <c r="G1055" s="381"/>
      <c r="H1055" s="381"/>
      <c r="I1055" s="381"/>
      <c r="J1055" s="381"/>
      <c r="K1055" s="381"/>
      <c r="L1055" s="381"/>
      <c r="M1055" s="381"/>
      <c r="N1055" s="381"/>
      <c r="O1055" s="381"/>
      <c r="P1055" s="381"/>
      <c r="Q1055" s="381"/>
      <c r="R1055" s="381"/>
      <c r="S1055" s="381"/>
    </row>
    <row r="1056" spans="1:19" ht="12.75" customHeight="1">
      <c r="A1056" s="381"/>
      <c r="B1056" s="389">
        <v>43818</v>
      </c>
      <c r="C1056" s="390">
        <v>1792.28</v>
      </c>
      <c r="D1056" s="393"/>
      <c r="E1056" s="392">
        <f t="shared" si="0"/>
        <v>4.6243616979535496E-3</v>
      </c>
      <c r="F1056" s="393"/>
      <c r="G1056" s="381"/>
      <c r="H1056" s="381"/>
      <c r="I1056" s="381"/>
      <c r="J1056" s="381"/>
      <c r="K1056" s="381"/>
      <c r="L1056" s="381"/>
      <c r="M1056" s="381"/>
      <c r="N1056" s="381"/>
      <c r="O1056" s="381"/>
      <c r="P1056" s="381"/>
      <c r="Q1056" s="381"/>
      <c r="R1056" s="381"/>
      <c r="S1056" s="381"/>
    </row>
    <row r="1057" spans="1:19" ht="12.75" customHeight="1">
      <c r="A1057" s="381"/>
      <c r="B1057" s="389">
        <v>43819</v>
      </c>
      <c r="C1057" s="390">
        <v>1786.5</v>
      </c>
      <c r="D1057" s="393"/>
      <c r="E1057" s="392">
        <f t="shared" si="0"/>
        <v>-3.2249425313009006E-3</v>
      </c>
      <c r="F1057" s="393"/>
      <c r="G1057" s="381"/>
      <c r="H1057" s="381"/>
      <c r="I1057" s="381"/>
      <c r="J1057" s="381"/>
      <c r="K1057" s="381"/>
      <c r="L1057" s="381"/>
      <c r="M1057" s="381"/>
      <c r="N1057" s="381"/>
      <c r="O1057" s="381"/>
      <c r="P1057" s="381"/>
      <c r="Q1057" s="381"/>
      <c r="R1057" s="381"/>
      <c r="S1057" s="381"/>
    </row>
    <row r="1058" spans="1:19" ht="12.75" customHeight="1">
      <c r="A1058" s="381"/>
      <c r="B1058" s="389">
        <v>43822</v>
      </c>
      <c r="C1058" s="390">
        <v>1793</v>
      </c>
      <c r="D1058" s="393"/>
      <c r="E1058" s="392">
        <f t="shared" si="0"/>
        <v>3.6383991043940078E-3</v>
      </c>
      <c r="F1058" s="393"/>
      <c r="G1058" s="381"/>
      <c r="H1058" s="381"/>
      <c r="I1058" s="381"/>
      <c r="J1058" s="381"/>
      <c r="K1058" s="381"/>
      <c r="L1058" s="381"/>
      <c r="M1058" s="381"/>
      <c r="N1058" s="381"/>
      <c r="O1058" s="381"/>
      <c r="P1058" s="381"/>
      <c r="Q1058" s="381"/>
      <c r="R1058" s="381"/>
      <c r="S1058" s="381"/>
    </row>
    <row r="1059" spans="1:19" ht="12.75" customHeight="1">
      <c r="A1059" s="381"/>
      <c r="B1059" s="389">
        <v>43823</v>
      </c>
      <c r="C1059" s="390">
        <v>1789.21</v>
      </c>
      <c r="D1059" s="393"/>
      <c r="E1059" s="392">
        <f t="shared" si="0"/>
        <v>-2.1137757947573554E-3</v>
      </c>
      <c r="F1059" s="393"/>
      <c r="G1059" s="381"/>
      <c r="H1059" s="381"/>
      <c r="I1059" s="381"/>
      <c r="J1059" s="381"/>
      <c r="K1059" s="381"/>
      <c r="L1059" s="381"/>
      <c r="M1059" s="381"/>
      <c r="N1059" s="381"/>
      <c r="O1059" s="381"/>
      <c r="P1059" s="381"/>
      <c r="Q1059" s="381"/>
      <c r="R1059" s="381"/>
      <c r="S1059" s="381"/>
    </row>
    <row r="1060" spans="1:19" ht="12.75" customHeight="1">
      <c r="A1060" s="381"/>
      <c r="B1060" s="389">
        <v>43824</v>
      </c>
      <c r="C1060" s="390">
        <v>1789.21</v>
      </c>
      <c r="D1060" s="393"/>
      <c r="E1060" s="392">
        <f t="shared" si="0"/>
        <v>0</v>
      </c>
      <c r="F1060" s="393"/>
      <c r="G1060" s="381"/>
      <c r="H1060" s="381"/>
      <c r="I1060" s="381"/>
      <c r="J1060" s="381"/>
      <c r="K1060" s="381"/>
      <c r="L1060" s="381"/>
      <c r="M1060" s="381"/>
      <c r="N1060" s="381"/>
      <c r="O1060" s="381"/>
      <c r="P1060" s="381"/>
      <c r="Q1060" s="381"/>
      <c r="R1060" s="381"/>
      <c r="S1060" s="381"/>
    </row>
    <row r="1061" spans="1:19" ht="12.75" customHeight="1">
      <c r="A1061" s="381"/>
      <c r="B1061" s="389">
        <v>43825</v>
      </c>
      <c r="C1061" s="390">
        <v>1868.77</v>
      </c>
      <c r="D1061" s="393"/>
      <c r="E1061" s="392">
        <f t="shared" si="0"/>
        <v>4.4466552277262039E-2</v>
      </c>
      <c r="F1061" s="393"/>
      <c r="G1061" s="381"/>
      <c r="H1061" s="381"/>
      <c r="I1061" s="381"/>
      <c r="J1061" s="381"/>
      <c r="K1061" s="381"/>
      <c r="L1061" s="381"/>
      <c r="M1061" s="381"/>
      <c r="N1061" s="381"/>
      <c r="O1061" s="381"/>
      <c r="P1061" s="381"/>
      <c r="Q1061" s="381"/>
      <c r="R1061" s="381"/>
      <c r="S1061" s="381"/>
    </row>
    <row r="1062" spans="1:19" ht="12.75" customHeight="1">
      <c r="A1062" s="381"/>
      <c r="B1062" s="389">
        <v>43826</v>
      </c>
      <c r="C1062" s="390">
        <v>1869.8</v>
      </c>
      <c r="D1062" s="393"/>
      <c r="E1062" s="392">
        <f t="shared" si="0"/>
        <v>5.5116466980953405E-4</v>
      </c>
      <c r="F1062" s="393"/>
      <c r="G1062" s="381"/>
      <c r="H1062" s="381"/>
      <c r="I1062" s="381"/>
      <c r="J1062" s="381"/>
      <c r="K1062" s="381"/>
      <c r="L1062" s="381"/>
      <c r="M1062" s="381"/>
      <c r="N1062" s="381"/>
      <c r="O1062" s="381"/>
      <c r="P1062" s="381"/>
      <c r="Q1062" s="381"/>
      <c r="R1062" s="381"/>
      <c r="S1062" s="381"/>
    </row>
    <row r="1063" spans="1:19" ht="12.75" customHeight="1">
      <c r="A1063" s="381"/>
      <c r="B1063" s="389">
        <v>43829</v>
      </c>
      <c r="C1063" s="390">
        <v>1846.89</v>
      </c>
      <c r="D1063" s="393"/>
      <c r="E1063" s="392">
        <f t="shared" si="0"/>
        <v>-1.2252647341961631E-2</v>
      </c>
      <c r="F1063" s="393"/>
      <c r="G1063" s="381"/>
      <c r="H1063" s="381"/>
      <c r="I1063" s="381"/>
      <c r="J1063" s="381"/>
      <c r="K1063" s="381"/>
      <c r="L1063" s="381"/>
      <c r="M1063" s="381"/>
      <c r="N1063" s="381"/>
      <c r="O1063" s="381"/>
      <c r="P1063" s="381"/>
      <c r="Q1063" s="381"/>
      <c r="R1063" s="381"/>
      <c r="S1063" s="381"/>
    </row>
    <row r="1064" spans="1:19" ht="12.75" customHeight="1">
      <c r="A1064" s="381"/>
      <c r="B1064" s="389">
        <v>43830</v>
      </c>
      <c r="C1064" s="390">
        <v>1847.84</v>
      </c>
      <c r="D1064" s="393"/>
      <c r="E1064" s="392">
        <f t="shared" si="0"/>
        <v>5.1437822501609887E-4</v>
      </c>
      <c r="F1064" s="393"/>
      <c r="G1064" s="381"/>
      <c r="H1064" s="381"/>
      <c r="I1064" s="381"/>
      <c r="J1064" s="381"/>
      <c r="K1064" s="381"/>
      <c r="L1064" s="381"/>
      <c r="M1064" s="381"/>
      <c r="N1064" s="381"/>
      <c r="O1064" s="381"/>
      <c r="P1064" s="381"/>
      <c r="Q1064" s="381"/>
      <c r="R1064" s="381"/>
      <c r="S1064" s="381"/>
    </row>
    <row r="1065" spans="1:19" ht="12.75" customHeight="1">
      <c r="A1065" s="381"/>
      <c r="B1065" s="389">
        <v>43832</v>
      </c>
      <c r="C1065" s="390">
        <v>1898.01</v>
      </c>
      <c r="D1065" s="393"/>
      <c r="E1065" s="392">
        <f t="shared" si="0"/>
        <v>2.7150619101220963E-2</v>
      </c>
      <c r="F1065" s="393"/>
      <c r="G1065" s="381"/>
      <c r="H1065" s="381"/>
      <c r="I1065" s="381"/>
      <c r="J1065" s="381"/>
      <c r="K1065" s="381"/>
      <c r="L1065" s="381"/>
      <c r="M1065" s="381"/>
      <c r="N1065" s="381"/>
      <c r="O1065" s="381"/>
      <c r="P1065" s="381"/>
      <c r="Q1065" s="381"/>
      <c r="R1065" s="381"/>
      <c r="S1065" s="381"/>
    </row>
    <row r="1066" spans="1:19" ht="12.75" customHeight="1">
      <c r="A1066" s="381"/>
      <c r="B1066" s="389">
        <v>43833</v>
      </c>
      <c r="C1066" s="390">
        <v>1874.97</v>
      </c>
      <c r="D1066" s="393"/>
      <c r="E1066" s="392">
        <f t="shared" si="0"/>
        <v>-1.2139029825975589E-2</v>
      </c>
      <c r="F1066" s="393"/>
      <c r="G1066" s="381"/>
      <c r="H1066" s="381"/>
      <c r="I1066" s="381"/>
      <c r="J1066" s="381"/>
      <c r="K1066" s="381"/>
      <c r="L1066" s="381"/>
      <c r="M1066" s="381"/>
      <c r="N1066" s="381"/>
      <c r="O1066" s="381"/>
      <c r="P1066" s="381"/>
      <c r="Q1066" s="381"/>
      <c r="R1066" s="381"/>
      <c r="S1066" s="381"/>
    </row>
    <row r="1067" spans="1:19" ht="12.75" customHeight="1">
      <c r="A1067" s="381"/>
      <c r="B1067" s="389">
        <v>43836</v>
      </c>
      <c r="C1067" s="390">
        <v>1902.88</v>
      </c>
      <c r="D1067" s="393"/>
      <c r="E1067" s="392">
        <f t="shared" si="0"/>
        <v>1.4885571502477379E-2</v>
      </c>
      <c r="F1067" s="393"/>
      <c r="G1067" s="381"/>
      <c r="H1067" s="381"/>
      <c r="I1067" s="381"/>
      <c r="J1067" s="381"/>
      <c r="K1067" s="381"/>
      <c r="L1067" s="381"/>
      <c r="M1067" s="381"/>
      <c r="N1067" s="381"/>
      <c r="O1067" s="381"/>
      <c r="P1067" s="381"/>
      <c r="Q1067" s="381"/>
      <c r="R1067" s="381"/>
      <c r="S1067" s="381"/>
    </row>
    <row r="1068" spans="1:19" ht="12.75" customHeight="1">
      <c r="A1068" s="381"/>
      <c r="B1068" s="389">
        <v>43837</v>
      </c>
      <c r="C1068" s="390">
        <v>1906.86</v>
      </c>
      <c r="D1068" s="393"/>
      <c r="E1068" s="392">
        <f t="shared" si="0"/>
        <v>2.0915664676699475E-3</v>
      </c>
      <c r="F1068" s="393"/>
      <c r="G1068" s="381"/>
      <c r="H1068" s="381"/>
      <c r="I1068" s="381"/>
      <c r="J1068" s="381"/>
      <c r="K1068" s="381"/>
      <c r="L1068" s="381"/>
      <c r="M1068" s="381"/>
      <c r="N1068" s="381"/>
      <c r="O1068" s="381"/>
      <c r="P1068" s="381"/>
      <c r="Q1068" s="381"/>
      <c r="R1068" s="381"/>
      <c r="S1068" s="381"/>
    </row>
    <row r="1069" spans="1:19" ht="12.75" customHeight="1">
      <c r="A1069" s="381"/>
      <c r="B1069" s="389">
        <v>43838</v>
      </c>
      <c r="C1069" s="390">
        <v>1891.97</v>
      </c>
      <c r="D1069" s="393"/>
      <c r="E1069" s="392">
        <f t="shared" si="0"/>
        <v>-7.808648773376059E-3</v>
      </c>
      <c r="F1069" s="393"/>
      <c r="G1069" s="381"/>
      <c r="H1069" s="381"/>
      <c r="I1069" s="381"/>
      <c r="J1069" s="381"/>
      <c r="K1069" s="381"/>
      <c r="L1069" s="381"/>
      <c r="M1069" s="381"/>
      <c r="N1069" s="381"/>
      <c r="O1069" s="381"/>
      <c r="P1069" s="381"/>
      <c r="Q1069" s="381"/>
      <c r="R1069" s="381"/>
      <c r="S1069" s="381"/>
    </row>
    <row r="1070" spans="1:19" ht="12.75" customHeight="1">
      <c r="A1070" s="381"/>
      <c r="B1070" s="389">
        <v>43839</v>
      </c>
      <c r="C1070" s="390">
        <v>1901.05</v>
      </c>
      <c r="D1070" s="393"/>
      <c r="E1070" s="392">
        <f t="shared" si="0"/>
        <v>4.7992304317721057E-3</v>
      </c>
      <c r="F1070" s="393"/>
      <c r="G1070" s="381"/>
      <c r="H1070" s="381"/>
      <c r="I1070" s="381"/>
      <c r="J1070" s="381"/>
      <c r="K1070" s="381"/>
      <c r="L1070" s="381"/>
      <c r="M1070" s="381"/>
      <c r="N1070" s="381"/>
      <c r="O1070" s="381"/>
      <c r="P1070" s="381"/>
      <c r="Q1070" s="381"/>
      <c r="R1070" s="381"/>
      <c r="S1070" s="381"/>
    </row>
    <row r="1071" spans="1:19" ht="12.75" customHeight="1">
      <c r="A1071" s="381"/>
      <c r="B1071" s="389">
        <v>43840</v>
      </c>
      <c r="C1071" s="390">
        <v>1883.16</v>
      </c>
      <c r="D1071" s="393"/>
      <c r="E1071" s="392">
        <f t="shared" si="0"/>
        <v>-9.4105888850897212E-3</v>
      </c>
      <c r="F1071" s="393"/>
      <c r="G1071" s="381"/>
      <c r="H1071" s="381"/>
      <c r="I1071" s="381"/>
      <c r="J1071" s="381"/>
      <c r="K1071" s="381"/>
      <c r="L1071" s="381"/>
      <c r="M1071" s="381"/>
      <c r="N1071" s="381"/>
      <c r="O1071" s="381"/>
      <c r="P1071" s="381"/>
      <c r="Q1071" s="381"/>
      <c r="R1071" s="381"/>
      <c r="S1071" s="381"/>
    </row>
    <row r="1072" spans="1:19" ht="12.75" customHeight="1">
      <c r="A1072" s="381"/>
      <c r="B1072" s="389">
        <v>43843</v>
      </c>
      <c r="C1072" s="390">
        <v>1891.3</v>
      </c>
      <c r="D1072" s="393"/>
      <c r="E1072" s="392">
        <f t="shared" si="0"/>
        <v>4.3225217188129772E-3</v>
      </c>
      <c r="F1072" s="393"/>
      <c r="G1072" s="381"/>
      <c r="H1072" s="381"/>
      <c r="I1072" s="381"/>
      <c r="J1072" s="381"/>
      <c r="K1072" s="381"/>
      <c r="L1072" s="381"/>
      <c r="M1072" s="381"/>
      <c r="N1072" s="381"/>
      <c r="O1072" s="381"/>
      <c r="P1072" s="381"/>
      <c r="Q1072" s="381"/>
      <c r="R1072" s="381"/>
      <c r="S1072" s="381"/>
    </row>
    <row r="1073" spans="1:19" ht="12.75" customHeight="1">
      <c r="A1073" s="381"/>
      <c r="B1073" s="389">
        <v>43844</v>
      </c>
      <c r="C1073" s="390">
        <v>1869.44</v>
      </c>
      <c r="D1073" s="393"/>
      <c r="E1073" s="392">
        <f t="shared" si="0"/>
        <v>-1.155818749008608E-2</v>
      </c>
      <c r="F1073" s="393"/>
      <c r="G1073" s="381"/>
      <c r="H1073" s="381"/>
      <c r="I1073" s="381"/>
      <c r="J1073" s="381"/>
      <c r="K1073" s="381"/>
      <c r="L1073" s="381"/>
      <c r="M1073" s="381"/>
      <c r="N1073" s="381"/>
      <c r="O1073" s="381"/>
      <c r="P1073" s="381"/>
      <c r="Q1073" s="381"/>
      <c r="R1073" s="381"/>
      <c r="S1073" s="381"/>
    </row>
    <row r="1074" spans="1:19" ht="12.75" customHeight="1">
      <c r="A1074" s="381"/>
      <c r="B1074" s="389">
        <v>43845</v>
      </c>
      <c r="C1074" s="390">
        <v>1862.02</v>
      </c>
      <c r="D1074" s="393"/>
      <c r="E1074" s="392">
        <f t="shared" si="0"/>
        <v>-3.9691030469017896E-3</v>
      </c>
      <c r="F1074" s="393"/>
      <c r="G1074" s="381"/>
      <c r="H1074" s="381"/>
      <c r="I1074" s="381"/>
      <c r="J1074" s="381"/>
      <c r="K1074" s="381"/>
      <c r="L1074" s="381"/>
      <c r="M1074" s="381"/>
      <c r="N1074" s="381"/>
      <c r="O1074" s="381"/>
      <c r="P1074" s="381"/>
      <c r="Q1074" s="381"/>
      <c r="R1074" s="381"/>
      <c r="S1074" s="381"/>
    </row>
    <row r="1075" spans="1:19" ht="12.75" customHeight="1">
      <c r="A1075" s="381"/>
      <c r="B1075" s="389">
        <v>43846</v>
      </c>
      <c r="C1075" s="390">
        <v>1877.94</v>
      </c>
      <c r="D1075" s="393"/>
      <c r="E1075" s="392">
        <f t="shared" si="0"/>
        <v>8.5498544591358083E-3</v>
      </c>
      <c r="F1075" s="393"/>
      <c r="G1075" s="381"/>
      <c r="H1075" s="381"/>
      <c r="I1075" s="381"/>
      <c r="J1075" s="381"/>
      <c r="K1075" s="381"/>
      <c r="L1075" s="381"/>
      <c r="M1075" s="381"/>
      <c r="N1075" s="381"/>
      <c r="O1075" s="381"/>
      <c r="P1075" s="381"/>
      <c r="Q1075" s="381"/>
      <c r="R1075" s="381"/>
      <c r="S1075" s="381"/>
    </row>
    <row r="1076" spans="1:19" ht="12.75" customHeight="1">
      <c r="A1076" s="381"/>
      <c r="B1076" s="389">
        <v>43847</v>
      </c>
      <c r="C1076" s="390">
        <v>1864.72</v>
      </c>
      <c r="D1076" s="393"/>
      <c r="E1076" s="392">
        <f t="shared" si="0"/>
        <v>-7.0396285291329797E-3</v>
      </c>
      <c r="F1076" s="393"/>
      <c r="G1076" s="381"/>
      <c r="H1076" s="381"/>
      <c r="I1076" s="381"/>
      <c r="J1076" s="381"/>
      <c r="K1076" s="381"/>
      <c r="L1076" s="381"/>
      <c r="M1076" s="381"/>
      <c r="N1076" s="381"/>
      <c r="O1076" s="381"/>
      <c r="P1076" s="381"/>
      <c r="Q1076" s="381"/>
      <c r="R1076" s="381"/>
      <c r="S1076" s="381"/>
    </row>
    <row r="1077" spans="1:19" ht="12.75" customHeight="1">
      <c r="A1077" s="381"/>
      <c r="B1077" s="389">
        <v>43851</v>
      </c>
      <c r="C1077" s="390">
        <v>1892</v>
      </c>
      <c r="D1077" s="393"/>
      <c r="E1077" s="392">
        <f t="shared" si="0"/>
        <v>1.4629542236904269E-2</v>
      </c>
      <c r="F1077" s="393"/>
      <c r="G1077" s="381"/>
      <c r="H1077" s="381"/>
      <c r="I1077" s="381"/>
      <c r="J1077" s="381"/>
      <c r="K1077" s="381"/>
      <c r="L1077" s="381"/>
      <c r="M1077" s="381"/>
      <c r="N1077" s="381"/>
      <c r="O1077" s="381"/>
      <c r="P1077" s="381"/>
      <c r="Q1077" s="381"/>
      <c r="R1077" s="381"/>
      <c r="S1077" s="381"/>
    </row>
    <row r="1078" spans="1:19" ht="12.75" customHeight="1">
      <c r="A1078" s="381"/>
      <c r="B1078" s="389">
        <v>43852</v>
      </c>
      <c r="C1078" s="390">
        <v>1887.46</v>
      </c>
      <c r="D1078" s="393"/>
      <c r="E1078" s="392">
        <f t="shared" si="0"/>
        <v>-2.3995771670189958E-3</v>
      </c>
      <c r="F1078" s="393"/>
      <c r="G1078" s="381"/>
      <c r="H1078" s="381"/>
      <c r="I1078" s="381"/>
      <c r="J1078" s="381"/>
      <c r="K1078" s="381"/>
      <c r="L1078" s="381"/>
      <c r="M1078" s="381"/>
      <c r="N1078" s="381"/>
      <c r="O1078" s="381"/>
      <c r="P1078" s="381"/>
      <c r="Q1078" s="381"/>
      <c r="R1078" s="381"/>
      <c r="S1078" s="381"/>
    </row>
    <row r="1079" spans="1:19" ht="12.75" customHeight="1">
      <c r="A1079" s="381"/>
      <c r="B1079" s="389">
        <v>43853</v>
      </c>
      <c r="C1079" s="390">
        <v>1884.58</v>
      </c>
      <c r="D1079" s="393"/>
      <c r="E1079" s="392">
        <f t="shared" si="0"/>
        <v>-1.5258601506787928E-3</v>
      </c>
      <c r="F1079" s="393"/>
      <c r="G1079" s="381"/>
      <c r="H1079" s="381"/>
      <c r="I1079" s="381"/>
      <c r="J1079" s="381"/>
      <c r="K1079" s="381"/>
      <c r="L1079" s="381"/>
      <c r="M1079" s="381"/>
      <c r="N1079" s="381"/>
      <c r="O1079" s="381"/>
      <c r="P1079" s="381"/>
      <c r="Q1079" s="381"/>
      <c r="R1079" s="381"/>
      <c r="S1079" s="381"/>
    </row>
    <row r="1080" spans="1:19" ht="12.75" customHeight="1">
      <c r="A1080" s="381"/>
      <c r="B1080" s="389">
        <v>43854</v>
      </c>
      <c r="C1080" s="390">
        <v>1861.64</v>
      </c>
      <c r="D1080" s="393"/>
      <c r="E1080" s="392">
        <f t="shared" si="0"/>
        <v>-1.2172473442358389E-2</v>
      </c>
      <c r="F1080" s="393"/>
      <c r="G1080" s="381"/>
      <c r="H1080" s="381"/>
      <c r="I1080" s="381"/>
      <c r="J1080" s="381"/>
      <c r="K1080" s="381"/>
      <c r="L1080" s="381"/>
      <c r="M1080" s="381"/>
      <c r="N1080" s="381"/>
      <c r="O1080" s="381"/>
      <c r="P1080" s="381"/>
      <c r="Q1080" s="381"/>
      <c r="R1080" s="381"/>
      <c r="S1080" s="381"/>
    </row>
    <row r="1081" spans="1:19" ht="12.75" customHeight="1">
      <c r="A1081" s="381"/>
      <c r="B1081" s="389">
        <v>43857</v>
      </c>
      <c r="C1081" s="390">
        <v>1828.34</v>
      </c>
      <c r="D1081" s="393"/>
      <c r="E1081" s="392">
        <f t="shared" si="0"/>
        <v>-1.7887454072753162E-2</v>
      </c>
      <c r="F1081" s="393"/>
      <c r="G1081" s="381"/>
      <c r="H1081" s="381"/>
      <c r="I1081" s="381"/>
      <c r="J1081" s="381"/>
      <c r="K1081" s="381"/>
      <c r="L1081" s="381"/>
      <c r="M1081" s="381"/>
      <c r="N1081" s="381"/>
      <c r="O1081" s="381"/>
      <c r="P1081" s="381"/>
      <c r="Q1081" s="381"/>
      <c r="R1081" s="381"/>
      <c r="S1081" s="381"/>
    </row>
    <row r="1082" spans="1:19" ht="12.75" customHeight="1">
      <c r="A1082" s="381"/>
      <c r="B1082" s="389">
        <v>43858</v>
      </c>
      <c r="C1082" s="390">
        <v>1853.25</v>
      </c>
      <c r="D1082" s="393"/>
      <c r="E1082" s="392">
        <f t="shared" si="0"/>
        <v>1.362438058566795E-2</v>
      </c>
      <c r="F1082" s="393"/>
      <c r="G1082" s="381"/>
      <c r="H1082" s="381"/>
      <c r="I1082" s="381"/>
      <c r="J1082" s="381"/>
      <c r="K1082" s="381"/>
      <c r="L1082" s="381"/>
      <c r="M1082" s="381"/>
      <c r="N1082" s="381"/>
      <c r="O1082" s="381"/>
      <c r="P1082" s="381"/>
      <c r="Q1082" s="381"/>
      <c r="R1082" s="381"/>
      <c r="S1082" s="381"/>
    </row>
    <row r="1083" spans="1:19" ht="12.75" customHeight="1">
      <c r="A1083" s="381"/>
      <c r="B1083" s="389">
        <v>43859</v>
      </c>
      <c r="C1083" s="390">
        <v>1858</v>
      </c>
      <c r="D1083" s="393"/>
      <c r="E1083" s="392">
        <f t="shared" si="0"/>
        <v>2.5630648860111016E-3</v>
      </c>
      <c r="F1083" s="393"/>
      <c r="G1083" s="381"/>
      <c r="H1083" s="381"/>
      <c r="I1083" s="381"/>
      <c r="J1083" s="381"/>
      <c r="K1083" s="381"/>
      <c r="L1083" s="381"/>
      <c r="M1083" s="381"/>
      <c r="N1083" s="381"/>
      <c r="O1083" s="381"/>
      <c r="P1083" s="381"/>
      <c r="Q1083" s="381"/>
      <c r="R1083" s="381"/>
      <c r="S1083" s="381"/>
    </row>
    <row r="1084" spans="1:19" ht="12.75" customHeight="1">
      <c r="A1084" s="381"/>
      <c r="B1084" s="389">
        <v>43860</v>
      </c>
      <c r="C1084" s="390">
        <v>1870.68</v>
      </c>
      <c r="D1084" s="393"/>
      <c r="E1084" s="392">
        <f t="shared" si="0"/>
        <v>6.824542518837573E-3</v>
      </c>
      <c r="F1084" s="393"/>
      <c r="G1084" s="381"/>
      <c r="H1084" s="381"/>
      <c r="I1084" s="381"/>
      <c r="J1084" s="381"/>
      <c r="K1084" s="381"/>
      <c r="L1084" s="381"/>
      <c r="M1084" s="381"/>
      <c r="N1084" s="381"/>
      <c r="O1084" s="381"/>
      <c r="P1084" s="381"/>
      <c r="Q1084" s="381"/>
      <c r="R1084" s="381"/>
      <c r="S1084" s="381"/>
    </row>
    <row r="1085" spans="1:19" ht="12.75" customHeight="1">
      <c r="A1085" s="381"/>
      <c r="B1085" s="389">
        <v>43861</v>
      </c>
      <c r="C1085" s="390">
        <v>2008.72</v>
      </c>
      <c r="D1085" s="393"/>
      <c r="E1085" s="392">
        <f t="shared" si="0"/>
        <v>7.3791348600508844E-2</v>
      </c>
      <c r="F1085" s="393"/>
      <c r="G1085" s="381"/>
      <c r="H1085" s="381"/>
      <c r="I1085" s="381"/>
      <c r="J1085" s="381"/>
      <c r="K1085" s="381"/>
      <c r="L1085" s="381"/>
      <c r="M1085" s="381"/>
      <c r="N1085" s="381"/>
      <c r="O1085" s="381"/>
      <c r="P1085" s="381"/>
      <c r="Q1085" s="381"/>
      <c r="R1085" s="381"/>
      <c r="S1085" s="381"/>
    </row>
    <row r="1086" spans="1:19" ht="12.75" customHeight="1">
      <c r="A1086" s="381"/>
      <c r="B1086" s="389">
        <v>43864</v>
      </c>
      <c r="C1086" s="390">
        <v>2004.2</v>
      </c>
      <c r="D1086" s="393"/>
      <c r="E1086" s="392">
        <f t="shared" si="0"/>
        <v>-2.2501891751961489E-3</v>
      </c>
      <c r="F1086" s="393"/>
      <c r="G1086" s="381"/>
      <c r="H1086" s="381"/>
      <c r="I1086" s="381"/>
      <c r="J1086" s="381"/>
      <c r="K1086" s="381"/>
      <c r="L1086" s="381"/>
      <c r="M1086" s="381"/>
      <c r="N1086" s="381"/>
      <c r="O1086" s="381"/>
      <c r="P1086" s="381"/>
      <c r="Q1086" s="381"/>
      <c r="R1086" s="381"/>
      <c r="S1086" s="381"/>
    </row>
    <row r="1087" spans="1:19" ht="12.75" customHeight="1">
      <c r="A1087" s="381"/>
      <c r="B1087" s="389">
        <v>43865</v>
      </c>
      <c r="C1087" s="390">
        <v>2049.67</v>
      </c>
      <c r="D1087" s="393"/>
      <c r="E1087" s="392">
        <f t="shared" si="0"/>
        <v>2.2687356551242432E-2</v>
      </c>
      <c r="F1087" s="393"/>
      <c r="G1087" s="381"/>
      <c r="H1087" s="381"/>
      <c r="I1087" s="381"/>
      <c r="J1087" s="381"/>
      <c r="K1087" s="381"/>
      <c r="L1087" s="381"/>
      <c r="M1087" s="381"/>
      <c r="N1087" s="381"/>
      <c r="O1087" s="381"/>
      <c r="P1087" s="381"/>
      <c r="Q1087" s="381"/>
      <c r="R1087" s="381"/>
      <c r="S1087" s="381"/>
    </row>
    <row r="1088" spans="1:19" ht="12.75" customHeight="1">
      <c r="A1088" s="381"/>
      <c r="B1088" s="389">
        <v>43866</v>
      </c>
      <c r="C1088" s="390">
        <v>2039.87</v>
      </c>
      <c r="D1088" s="393"/>
      <c r="E1088" s="392">
        <f t="shared" si="0"/>
        <v>-4.7812574707148947E-3</v>
      </c>
      <c r="F1088" s="393"/>
      <c r="G1088" s="381"/>
      <c r="H1088" s="381"/>
      <c r="I1088" s="381"/>
      <c r="J1088" s="381"/>
      <c r="K1088" s="381"/>
      <c r="L1088" s="381"/>
      <c r="M1088" s="381"/>
      <c r="N1088" s="381"/>
      <c r="O1088" s="381"/>
      <c r="P1088" s="381"/>
      <c r="Q1088" s="381"/>
      <c r="R1088" s="381"/>
      <c r="S1088" s="381"/>
    </row>
    <row r="1089" spans="1:19" ht="12.75" customHeight="1">
      <c r="A1089" s="381"/>
      <c r="B1089" s="389">
        <v>43867</v>
      </c>
      <c r="C1089" s="390">
        <v>2050.23</v>
      </c>
      <c r="D1089" s="393"/>
      <c r="E1089" s="392">
        <f t="shared" si="0"/>
        <v>5.0787550187021413E-3</v>
      </c>
      <c r="F1089" s="393"/>
      <c r="G1089" s="381"/>
      <c r="H1089" s="381"/>
      <c r="I1089" s="381"/>
      <c r="J1089" s="381"/>
      <c r="K1089" s="381"/>
      <c r="L1089" s="381"/>
      <c r="M1089" s="381"/>
      <c r="N1089" s="381"/>
      <c r="O1089" s="381"/>
      <c r="P1089" s="381"/>
      <c r="Q1089" s="381"/>
      <c r="R1089" s="381"/>
      <c r="S1089" s="381"/>
    </row>
    <row r="1090" spans="1:19" ht="12.75" customHeight="1">
      <c r="A1090" s="381"/>
      <c r="B1090" s="389">
        <v>43868</v>
      </c>
      <c r="C1090" s="390">
        <v>2079.2800000000002</v>
      </c>
      <c r="D1090" s="393"/>
      <c r="E1090" s="392">
        <f t="shared" si="0"/>
        <v>1.4169141998702672E-2</v>
      </c>
      <c r="F1090" s="393"/>
      <c r="G1090" s="381"/>
      <c r="H1090" s="381"/>
      <c r="I1090" s="381"/>
      <c r="J1090" s="381"/>
      <c r="K1090" s="381"/>
      <c r="L1090" s="381"/>
      <c r="M1090" s="381"/>
      <c r="N1090" s="381"/>
      <c r="O1090" s="381"/>
      <c r="P1090" s="381"/>
      <c r="Q1090" s="381"/>
      <c r="R1090" s="381"/>
      <c r="S1090" s="381"/>
    </row>
    <row r="1091" spans="1:19" ht="12.75" customHeight="1">
      <c r="A1091" s="381"/>
      <c r="B1091" s="389">
        <v>43871</v>
      </c>
      <c r="C1091" s="390">
        <v>2133.91</v>
      </c>
      <c r="D1091" s="393"/>
      <c r="E1091" s="392">
        <f t="shared" si="0"/>
        <v>2.627351775614617E-2</v>
      </c>
      <c r="F1091" s="393"/>
      <c r="G1091" s="381"/>
      <c r="H1091" s="381"/>
      <c r="I1091" s="381"/>
      <c r="J1091" s="381"/>
      <c r="K1091" s="381"/>
      <c r="L1091" s="381"/>
      <c r="M1091" s="381"/>
      <c r="N1091" s="381"/>
      <c r="O1091" s="381"/>
      <c r="P1091" s="381"/>
      <c r="Q1091" s="381"/>
      <c r="R1091" s="381"/>
      <c r="S1091" s="381"/>
    </row>
    <row r="1092" spans="1:19" ht="12.75" customHeight="1">
      <c r="A1092" s="381"/>
      <c r="B1092" s="389">
        <v>43872</v>
      </c>
      <c r="C1092" s="390">
        <v>2150.8000000000002</v>
      </c>
      <c r="D1092" s="393"/>
      <c r="E1092" s="392">
        <f t="shared" si="0"/>
        <v>7.9150479635974325E-3</v>
      </c>
      <c r="F1092" s="393"/>
      <c r="G1092" s="381"/>
      <c r="H1092" s="381"/>
      <c r="I1092" s="381"/>
      <c r="J1092" s="381"/>
      <c r="K1092" s="381"/>
      <c r="L1092" s="381"/>
      <c r="M1092" s="381"/>
      <c r="N1092" s="381"/>
      <c r="O1092" s="381"/>
      <c r="P1092" s="381"/>
      <c r="Q1092" s="381"/>
      <c r="R1092" s="381"/>
      <c r="S1092" s="381"/>
    </row>
    <row r="1093" spans="1:19" ht="12.75" customHeight="1">
      <c r="A1093" s="381"/>
      <c r="B1093" s="389">
        <v>43873</v>
      </c>
      <c r="C1093" s="390">
        <v>2160</v>
      </c>
      <c r="D1093" s="393"/>
      <c r="E1093" s="392">
        <f t="shared" si="0"/>
        <v>4.2774781476659918E-3</v>
      </c>
      <c r="F1093" s="393"/>
      <c r="G1093" s="381"/>
      <c r="H1093" s="381"/>
      <c r="I1093" s="381"/>
      <c r="J1093" s="381"/>
      <c r="K1093" s="381"/>
      <c r="L1093" s="381"/>
      <c r="M1093" s="381"/>
      <c r="N1093" s="381"/>
      <c r="O1093" s="381"/>
      <c r="P1093" s="381"/>
      <c r="Q1093" s="381"/>
      <c r="R1093" s="381"/>
      <c r="S1093" s="381"/>
    </row>
    <row r="1094" spans="1:19" ht="12.75" customHeight="1">
      <c r="A1094" s="381"/>
      <c r="B1094" s="389">
        <v>43874</v>
      </c>
      <c r="C1094" s="390">
        <v>2149.87</v>
      </c>
      <c r="D1094" s="393"/>
      <c r="E1094" s="392">
        <f t="shared" si="0"/>
        <v>-4.6898148148148966E-3</v>
      </c>
      <c r="F1094" s="393"/>
      <c r="G1094" s="381"/>
      <c r="H1094" s="381"/>
      <c r="I1094" s="381"/>
      <c r="J1094" s="381"/>
      <c r="K1094" s="381"/>
      <c r="L1094" s="381"/>
      <c r="M1094" s="381"/>
      <c r="N1094" s="381"/>
      <c r="O1094" s="381"/>
      <c r="P1094" s="381"/>
      <c r="Q1094" s="381"/>
      <c r="R1094" s="381"/>
      <c r="S1094" s="381"/>
    </row>
    <row r="1095" spans="1:19" ht="12.75" customHeight="1">
      <c r="A1095" s="381"/>
      <c r="B1095" s="389">
        <v>43875</v>
      </c>
      <c r="C1095" s="390">
        <v>2134.87</v>
      </c>
      <c r="D1095" s="393"/>
      <c r="E1095" s="392">
        <f t="shared" si="0"/>
        <v>-6.9771660612036879E-3</v>
      </c>
      <c r="F1095" s="393"/>
      <c r="G1095" s="381"/>
      <c r="H1095" s="381"/>
      <c r="I1095" s="381"/>
      <c r="J1095" s="381"/>
      <c r="K1095" s="381"/>
      <c r="L1095" s="381"/>
      <c r="M1095" s="381"/>
      <c r="N1095" s="381"/>
      <c r="O1095" s="381"/>
      <c r="P1095" s="381"/>
      <c r="Q1095" s="381"/>
      <c r="R1095" s="381"/>
      <c r="S1095" s="381"/>
    </row>
    <row r="1096" spans="1:19" ht="12.75" customHeight="1">
      <c r="A1096" s="381"/>
      <c r="B1096" s="389">
        <v>43879</v>
      </c>
      <c r="C1096" s="390">
        <v>2155.67</v>
      </c>
      <c r="D1096" s="393"/>
      <c r="E1096" s="392">
        <f t="shared" si="0"/>
        <v>9.7429820082721719E-3</v>
      </c>
      <c r="F1096" s="393"/>
      <c r="G1096" s="381"/>
      <c r="H1096" s="381"/>
      <c r="I1096" s="381"/>
      <c r="J1096" s="381"/>
      <c r="K1096" s="381"/>
      <c r="L1096" s="381"/>
      <c r="M1096" s="381"/>
      <c r="N1096" s="381"/>
      <c r="O1096" s="381"/>
      <c r="P1096" s="381"/>
      <c r="Q1096" s="381"/>
      <c r="R1096" s="381"/>
      <c r="S1096" s="381"/>
    </row>
    <row r="1097" spans="1:19" ht="12.75" customHeight="1">
      <c r="A1097" s="381"/>
      <c r="B1097" s="389">
        <v>43880</v>
      </c>
      <c r="C1097" s="390">
        <v>2170.2199999999998</v>
      </c>
      <c r="D1097" s="393"/>
      <c r="E1097" s="392">
        <f t="shared" si="0"/>
        <v>6.7496416427375028E-3</v>
      </c>
      <c r="F1097" s="393"/>
      <c r="G1097" s="381"/>
      <c r="H1097" s="381"/>
      <c r="I1097" s="381"/>
      <c r="J1097" s="381"/>
      <c r="K1097" s="381"/>
      <c r="L1097" s="381"/>
      <c r="M1097" s="381"/>
      <c r="N1097" s="381"/>
      <c r="O1097" s="381"/>
      <c r="P1097" s="381"/>
      <c r="Q1097" s="381"/>
      <c r="R1097" s="381"/>
      <c r="S1097" s="381"/>
    </row>
    <row r="1098" spans="1:19" ht="12.75" customHeight="1">
      <c r="A1098" s="381"/>
      <c r="B1098" s="389">
        <v>43881</v>
      </c>
      <c r="C1098" s="390">
        <v>2153.1</v>
      </c>
      <c r="D1098" s="393"/>
      <c r="E1098" s="392">
        <f t="shared" si="0"/>
        <v>-7.8886011556431601E-3</v>
      </c>
      <c r="F1098" s="393"/>
      <c r="G1098" s="381"/>
      <c r="H1098" s="381"/>
      <c r="I1098" s="381"/>
      <c r="J1098" s="381"/>
      <c r="K1098" s="381"/>
      <c r="L1098" s="381"/>
      <c r="M1098" s="381"/>
      <c r="N1098" s="381"/>
      <c r="O1098" s="381"/>
      <c r="P1098" s="381"/>
      <c r="Q1098" s="381"/>
      <c r="R1098" s="381"/>
      <c r="S1098" s="381"/>
    </row>
    <row r="1099" spans="1:19" ht="12.75" customHeight="1">
      <c r="A1099" s="381"/>
      <c r="B1099" s="389">
        <v>43882</v>
      </c>
      <c r="C1099" s="390">
        <v>2095.9699999999998</v>
      </c>
      <c r="D1099" s="393"/>
      <c r="E1099" s="392">
        <f t="shared" si="0"/>
        <v>-2.6533834935674183E-2</v>
      </c>
      <c r="F1099" s="393"/>
      <c r="G1099" s="381"/>
      <c r="H1099" s="381"/>
      <c r="I1099" s="381"/>
      <c r="J1099" s="381"/>
      <c r="K1099" s="381"/>
      <c r="L1099" s="381"/>
      <c r="M1099" s="381"/>
      <c r="N1099" s="381"/>
      <c r="O1099" s="381"/>
      <c r="P1099" s="381"/>
      <c r="Q1099" s="381"/>
      <c r="R1099" s="381"/>
      <c r="S1099" s="381"/>
    </row>
    <row r="1100" spans="1:19" ht="12.75" customHeight="1">
      <c r="A1100" s="381"/>
      <c r="B1100" s="389">
        <v>43885</v>
      </c>
      <c r="C1100" s="390">
        <v>2009.29</v>
      </c>
      <c r="D1100" s="393"/>
      <c r="E1100" s="392">
        <f t="shared" si="0"/>
        <v>-4.1355553753154806E-2</v>
      </c>
      <c r="F1100" s="393"/>
      <c r="G1100" s="381"/>
      <c r="H1100" s="381"/>
      <c r="I1100" s="381"/>
      <c r="J1100" s="381"/>
      <c r="K1100" s="381"/>
      <c r="L1100" s="381"/>
      <c r="M1100" s="381"/>
      <c r="N1100" s="381"/>
      <c r="O1100" s="381"/>
      <c r="P1100" s="381"/>
      <c r="Q1100" s="381"/>
      <c r="R1100" s="381"/>
      <c r="S1100" s="381"/>
    </row>
    <row r="1101" spans="1:19" ht="12.75" customHeight="1">
      <c r="A1101" s="381"/>
      <c r="B1101" s="389">
        <v>43886</v>
      </c>
      <c r="C1101" s="390">
        <v>1972.74</v>
      </c>
      <c r="D1101" s="393"/>
      <c r="E1101" s="392">
        <f t="shared" si="0"/>
        <v>-1.8190505103792831E-2</v>
      </c>
      <c r="F1101" s="393"/>
      <c r="G1101" s="381"/>
      <c r="H1101" s="381"/>
      <c r="I1101" s="381"/>
      <c r="J1101" s="381"/>
      <c r="K1101" s="381"/>
      <c r="L1101" s="381"/>
      <c r="M1101" s="381"/>
      <c r="N1101" s="381"/>
      <c r="O1101" s="381"/>
      <c r="P1101" s="381"/>
      <c r="Q1101" s="381"/>
      <c r="R1101" s="381"/>
      <c r="S1101" s="381"/>
    </row>
    <row r="1102" spans="1:19" ht="12.75" customHeight="1">
      <c r="A1102" s="381"/>
      <c r="B1102" s="389">
        <v>43887</v>
      </c>
      <c r="C1102" s="390">
        <v>1979.59</v>
      </c>
      <c r="D1102" s="393"/>
      <c r="E1102" s="392">
        <f t="shared" si="0"/>
        <v>3.4723278282997594E-3</v>
      </c>
      <c r="F1102" s="393"/>
      <c r="G1102" s="381"/>
      <c r="H1102" s="381"/>
      <c r="I1102" s="381"/>
      <c r="J1102" s="381"/>
      <c r="K1102" s="381"/>
      <c r="L1102" s="381"/>
      <c r="M1102" s="381"/>
      <c r="N1102" s="381"/>
      <c r="O1102" s="381"/>
      <c r="P1102" s="381"/>
      <c r="Q1102" s="381"/>
      <c r="R1102" s="381"/>
      <c r="S1102" s="381"/>
    </row>
    <row r="1103" spans="1:19" ht="12.75" customHeight="1">
      <c r="A1103" s="381"/>
      <c r="B1103" s="389">
        <v>43888</v>
      </c>
      <c r="C1103" s="390">
        <v>1884.3</v>
      </c>
      <c r="D1103" s="393"/>
      <c r="E1103" s="392">
        <f t="shared" si="0"/>
        <v>-4.8136230229491983E-2</v>
      </c>
      <c r="F1103" s="393"/>
      <c r="G1103" s="381"/>
      <c r="H1103" s="381"/>
      <c r="I1103" s="381"/>
      <c r="J1103" s="381"/>
      <c r="K1103" s="381"/>
      <c r="L1103" s="381"/>
      <c r="M1103" s="381"/>
      <c r="N1103" s="381"/>
      <c r="O1103" s="381"/>
      <c r="P1103" s="381"/>
      <c r="Q1103" s="381"/>
      <c r="R1103" s="381"/>
      <c r="S1103" s="381"/>
    </row>
    <row r="1104" spans="1:19" ht="12.75" customHeight="1">
      <c r="A1104" s="381"/>
      <c r="B1104" s="389">
        <v>43889</v>
      </c>
      <c r="C1104" s="390">
        <v>1883.75</v>
      </c>
      <c r="D1104" s="393"/>
      <c r="E1104" s="392">
        <f t="shared" si="0"/>
        <v>-2.9188558085224692E-4</v>
      </c>
      <c r="F1104" s="393"/>
      <c r="G1104" s="381"/>
      <c r="H1104" s="381"/>
      <c r="I1104" s="381"/>
      <c r="J1104" s="381"/>
      <c r="K1104" s="381"/>
      <c r="L1104" s="381"/>
      <c r="M1104" s="381"/>
      <c r="N1104" s="381"/>
      <c r="O1104" s="381"/>
      <c r="P1104" s="381"/>
      <c r="Q1104" s="381"/>
      <c r="R1104" s="381"/>
      <c r="S1104" s="381"/>
    </row>
    <row r="1105" spans="1:19" ht="12.75" customHeight="1">
      <c r="A1105" s="381"/>
      <c r="B1105" s="389">
        <v>43892</v>
      </c>
      <c r="C1105" s="390">
        <v>1953.95</v>
      </c>
      <c r="D1105" s="393"/>
      <c r="E1105" s="392">
        <f t="shared" si="0"/>
        <v>3.7266091572661031E-2</v>
      </c>
      <c r="F1105" s="393"/>
      <c r="G1105" s="381"/>
      <c r="H1105" s="381"/>
      <c r="I1105" s="381"/>
      <c r="J1105" s="381"/>
      <c r="K1105" s="381"/>
      <c r="L1105" s="381"/>
      <c r="M1105" s="381"/>
      <c r="N1105" s="381"/>
      <c r="O1105" s="381"/>
      <c r="P1105" s="381"/>
      <c r="Q1105" s="381"/>
      <c r="R1105" s="381"/>
      <c r="S1105" s="381"/>
    </row>
    <row r="1106" spans="1:19" ht="12.75" customHeight="1">
      <c r="A1106" s="381"/>
      <c r="B1106" s="389">
        <v>43893</v>
      </c>
      <c r="C1106" s="390">
        <v>1908.99</v>
      </c>
      <c r="D1106" s="393"/>
      <c r="E1106" s="392">
        <f t="shared" si="0"/>
        <v>-2.3009800660201196E-2</v>
      </c>
      <c r="F1106" s="393"/>
      <c r="G1106" s="381"/>
      <c r="H1106" s="381"/>
      <c r="I1106" s="381"/>
      <c r="J1106" s="381"/>
      <c r="K1106" s="381"/>
      <c r="L1106" s="381"/>
      <c r="M1106" s="381"/>
      <c r="N1106" s="381"/>
      <c r="O1106" s="381"/>
      <c r="P1106" s="381"/>
      <c r="Q1106" s="381"/>
      <c r="R1106" s="381"/>
      <c r="S1106" s="381"/>
    </row>
    <row r="1107" spans="1:19" ht="12.75" customHeight="1">
      <c r="A1107" s="381"/>
      <c r="B1107" s="389">
        <v>43894</v>
      </c>
      <c r="C1107" s="390">
        <v>1975.83</v>
      </c>
      <c r="D1107" s="393"/>
      <c r="E1107" s="392">
        <f t="shared" si="0"/>
        <v>3.5013279273333087E-2</v>
      </c>
      <c r="F1107" s="393"/>
      <c r="G1107" s="381"/>
      <c r="H1107" s="381"/>
      <c r="I1107" s="381"/>
      <c r="J1107" s="381"/>
      <c r="K1107" s="381"/>
      <c r="L1107" s="381"/>
      <c r="M1107" s="381"/>
      <c r="N1107" s="381"/>
      <c r="O1107" s="381"/>
      <c r="P1107" s="381"/>
      <c r="Q1107" s="381"/>
      <c r="R1107" s="381"/>
      <c r="S1107" s="381"/>
    </row>
    <row r="1108" spans="1:19" ht="12.75" customHeight="1">
      <c r="A1108" s="381"/>
      <c r="B1108" s="389">
        <v>43895</v>
      </c>
      <c r="C1108" s="390">
        <v>1924.03</v>
      </c>
      <c r="D1108" s="393"/>
      <c r="E1108" s="392">
        <f t="shared" si="0"/>
        <v>-2.6216830395327517E-2</v>
      </c>
      <c r="F1108" s="393"/>
      <c r="G1108" s="381"/>
      <c r="H1108" s="381"/>
      <c r="I1108" s="381"/>
      <c r="J1108" s="381"/>
      <c r="K1108" s="381"/>
      <c r="L1108" s="381"/>
      <c r="M1108" s="381"/>
      <c r="N1108" s="381"/>
      <c r="O1108" s="381"/>
      <c r="P1108" s="381"/>
      <c r="Q1108" s="381"/>
      <c r="R1108" s="381"/>
      <c r="S1108" s="381"/>
    </row>
    <row r="1109" spans="1:19" ht="12.75" customHeight="1">
      <c r="A1109" s="381"/>
      <c r="B1109" s="389">
        <v>43896</v>
      </c>
      <c r="C1109" s="390">
        <v>1901.09</v>
      </c>
      <c r="D1109" s="393"/>
      <c r="E1109" s="392">
        <f t="shared" si="0"/>
        <v>-1.1922891015212933E-2</v>
      </c>
      <c r="F1109" s="393"/>
      <c r="G1109" s="381"/>
      <c r="H1109" s="381"/>
      <c r="I1109" s="381"/>
      <c r="J1109" s="381"/>
      <c r="K1109" s="381"/>
      <c r="L1109" s="381"/>
      <c r="M1109" s="381"/>
      <c r="N1109" s="381"/>
      <c r="O1109" s="381"/>
      <c r="P1109" s="381"/>
      <c r="Q1109" s="381"/>
      <c r="R1109" s="381"/>
      <c r="S1109" s="381"/>
    </row>
    <row r="1110" spans="1:19" ht="12.75" customHeight="1">
      <c r="A1110" s="381"/>
      <c r="B1110" s="389">
        <v>43899</v>
      </c>
      <c r="C1110" s="390">
        <v>1800.61</v>
      </c>
      <c r="D1110" s="393"/>
      <c r="E1110" s="392">
        <f t="shared" si="0"/>
        <v>-5.2853889084683026E-2</v>
      </c>
      <c r="F1110" s="393"/>
      <c r="G1110" s="381"/>
      <c r="H1110" s="381"/>
      <c r="I1110" s="381"/>
      <c r="J1110" s="381"/>
      <c r="K1110" s="381"/>
      <c r="L1110" s="381"/>
      <c r="M1110" s="381"/>
      <c r="N1110" s="381"/>
      <c r="O1110" s="381"/>
      <c r="P1110" s="381"/>
      <c r="Q1110" s="381"/>
      <c r="R1110" s="381"/>
      <c r="S1110" s="381"/>
    </row>
    <row r="1111" spans="1:19" ht="12.75" customHeight="1">
      <c r="A1111" s="381"/>
      <c r="B1111" s="389">
        <v>43900</v>
      </c>
      <c r="C1111" s="390">
        <v>1891.82</v>
      </c>
      <c r="D1111" s="393"/>
      <c r="E1111" s="392">
        <f t="shared" si="0"/>
        <v>5.0655055786650083E-2</v>
      </c>
      <c r="F1111" s="393"/>
      <c r="G1111" s="381"/>
      <c r="H1111" s="381"/>
      <c r="I1111" s="381"/>
      <c r="J1111" s="381"/>
      <c r="K1111" s="381"/>
      <c r="L1111" s="381"/>
      <c r="M1111" s="381"/>
      <c r="N1111" s="381"/>
      <c r="O1111" s="381"/>
      <c r="P1111" s="381"/>
      <c r="Q1111" s="381"/>
      <c r="R1111" s="381"/>
      <c r="S1111" s="381"/>
    </row>
    <row r="1112" spans="1:19" ht="12.75" customHeight="1">
      <c r="A1112" s="381"/>
      <c r="B1112" s="389">
        <v>43901</v>
      </c>
      <c r="C1112" s="390">
        <v>1820.86</v>
      </c>
      <c r="D1112" s="393"/>
      <c r="E1112" s="392">
        <f t="shared" si="0"/>
        <v>-3.750885390787706E-2</v>
      </c>
      <c r="F1112" s="393"/>
      <c r="G1112" s="381"/>
      <c r="H1112" s="381"/>
      <c r="I1112" s="381"/>
      <c r="J1112" s="381"/>
      <c r="K1112" s="381"/>
      <c r="L1112" s="381"/>
      <c r="M1112" s="381"/>
      <c r="N1112" s="381"/>
      <c r="O1112" s="381"/>
      <c r="P1112" s="381"/>
      <c r="Q1112" s="381"/>
      <c r="R1112" s="381"/>
      <c r="S1112" s="381"/>
    </row>
    <row r="1113" spans="1:19" ht="12.75" customHeight="1">
      <c r="A1113" s="381"/>
      <c r="B1113" s="389">
        <v>43902</v>
      </c>
      <c r="C1113" s="390">
        <v>1676.61</v>
      </c>
      <c r="D1113" s="393"/>
      <c r="E1113" s="392">
        <f t="shared" si="0"/>
        <v>-7.922080775018403E-2</v>
      </c>
      <c r="F1113" s="393"/>
      <c r="G1113" s="381"/>
      <c r="H1113" s="381"/>
      <c r="I1113" s="381"/>
      <c r="J1113" s="381"/>
      <c r="K1113" s="381"/>
      <c r="L1113" s="381"/>
      <c r="M1113" s="381"/>
      <c r="N1113" s="381"/>
      <c r="O1113" s="381"/>
      <c r="P1113" s="381"/>
      <c r="Q1113" s="381"/>
      <c r="R1113" s="381"/>
      <c r="S1113" s="381"/>
    </row>
    <row r="1114" spans="1:19" ht="12.75" customHeight="1">
      <c r="A1114" s="381"/>
      <c r="B1114" s="389">
        <v>43903</v>
      </c>
      <c r="C1114" s="390">
        <v>1785</v>
      </c>
      <c r="D1114" s="393"/>
      <c r="E1114" s="392">
        <f t="shared" si="0"/>
        <v>6.4648308193318682E-2</v>
      </c>
      <c r="F1114" s="393"/>
      <c r="G1114" s="381"/>
      <c r="H1114" s="381"/>
      <c r="I1114" s="381"/>
      <c r="J1114" s="381"/>
      <c r="K1114" s="381"/>
      <c r="L1114" s="381"/>
      <c r="M1114" s="381"/>
      <c r="N1114" s="381"/>
      <c r="O1114" s="381"/>
      <c r="P1114" s="381"/>
      <c r="Q1114" s="381"/>
      <c r="R1114" s="381"/>
      <c r="S1114" s="381"/>
    </row>
    <row r="1115" spans="1:19" ht="12.75" customHeight="1">
      <c r="A1115" s="381"/>
      <c r="B1115" s="389">
        <v>43906</v>
      </c>
      <c r="C1115" s="390">
        <v>1689.15</v>
      </c>
      <c r="D1115" s="393"/>
      <c r="E1115" s="392">
        <f t="shared" si="0"/>
        <v>-5.3697478991596603E-2</v>
      </c>
      <c r="F1115" s="393"/>
      <c r="G1115" s="381"/>
      <c r="H1115" s="381"/>
      <c r="I1115" s="381"/>
      <c r="J1115" s="381"/>
      <c r="K1115" s="381"/>
      <c r="L1115" s="381"/>
      <c r="M1115" s="381"/>
      <c r="N1115" s="381"/>
      <c r="O1115" s="381"/>
      <c r="P1115" s="381"/>
      <c r="Q1115" s="381"/>
      <c r="R1115" s="381"/>
      <c r="S1115" s="381"/>
    </row>
    <row r="1116" spans="1:19" ht="12.75" customHeight="1">
      <c r="A1116" s="381"/>
      <c r="B1116" s="389">
        <v>43907</v>
      </c>
      <c r="C1116" s="390">
        <v>1807.84</v>
      </c>
      <c r="D1116" s="393"/>
      <c r="E1116" s="392">
        <f t="shared" si="0"/>
        <v>7.0266110173755836E-2</v>
      </c>
      <c r="F1116" s="393"/>
      <c r="G1116" s="381"/>
      <c r="H1116" s="381"/>
      <c r="I1116" s="381"/>
      <c r="J1116" s="381"/>
      <c r="K1116" s="381"/>
      <c r="L1116" s="381"/>
      <c r="M1116" s="381"/>
      <c r="N1116" s="381"/>
      <c r="O1116" s="381"/>
      <c r="P1116" s="381"/>
      <c r="Q1116" s="381"/>
      <c r="R1116" s="381"/>
      <c r="S1116" s="381"/>
    </row>
    <row r="1117" spans="1:19" ht="12.75" customHeight="1">
      <c r="A1117" s="381"/>
      <c r="B1117" s="389">
        <v>43908</v>
      </c>
      <c r="C1117" s="390">
        <v>1830</v>
      </c>
      <c r="D1117" s="393"/>
      <c r="E1117" s="392">
        <f t="shared" si="0"/>
        <v>1.2257721922294129E-2</v>
      </c>
      <c r="F1117" s="393"/>
      <c r="G1117" s="381"/>
      <c r="H1117" s="381"/>
      <c r="I1117" s="381"/>
      <c r="J1117" s="381"/>
      <c r="K1117" s="381"/>
      <c r="L1117" s="381"/>
      <c r="M1117" s="381"/>
      <c r="N1117" s="381"/>
      <c r="O1117" s="381"/>
      <c r="P1117" s="381"/>
      <c r="Q1117" s="381"/>
      <c r="R1117" s="381"/>
      <c r="S1117" s="381"/>
    </row>
    <row r="1118" spans="1:19" ht="12.75" customHeight="1">
      <c r="A1118" s="381"/>
      <c r="B1118" s="389">
        <v>43909</v>
      </c>
      <c r="C1118" s="390">
        <v>1880.93</v>
      </c>
      <c r="D1118" s="393"/>
      <c r="E1118" s="392">
        <f t="shared" si="0"/>
        <v>2.7830601092896146E-2</v>
      </c>
      <c r="F1118" s="393"/>
      <c r="G1118" s="381"/>
      <c r="H1118" s="381"/>
      <c r="I1118" s="381"/>
      <c r="J1118" s="381"/>
      <c r="K1118" s="381"/>
      <c r="L1118" s="381"/>
      <c r="M1118" s="381"/>
      <c r="N1118" s="381"/>
      <c r="O1118" s="381"/>
      <c r="P1118" s="381"/>
      <c r="Q1118" s="381"/>
      <c r="R1118" s="381"/>
      <c r="S1118" s="381"/>
    </row>
    <row r="1119" spans="1:19" ht="12.75" customHeight="1">
      <c r="A1119" s="381"/>
      <c r="B1119" s="389">
        <v>43910</v>
      </c>
      <c r="C1119" s="390">
        <v>1846.09</v>
      </c>
      <c r="D1119" s="393"/>
      <c r="E1119" s="392">
        <f t="shared" si="0"/>
        <v>-1.8522752042872459E-2</v>
      </c>
      <c r="F1119" s="393"/>
      <c r="G1119" s="381"/>
      <c r="H1119" s="381"/>
      <c r="I1119" s="381"/>
      <c r="J1119" s="381"/>
      <c r="K1119" s="381"/>
      <c r="L1119" s="381"/>
      <c r="M1119" s="381"/>
      <c r="N1119" s="381"/>
      <c r="O1119" s="381"/>
      <c r="P1119" s="381"/>
      <c r="Q1119" s="381"/>
      <c r="R1119" s="381"/>
      <c r="S1119" s="381"/>
    </row>
    <row r="1120" spans="1:19" ht="12.75" customHeight="1">
      <c r="A1120" s="381"/>
      <c r="B1120" s="389">
        <v>43913</v>
      </c>
      <c r="C1120" s="390">
        <v>1902.83</v>
      </c>
      <c r="D1120" s="393"/>
      <c r="E1120" s="392">
        <f t="shared" si="0"/>
        <v>3.0735229593356728E-2</v>
      </c>
      <c r="F1120" s="393"/>
      <c r="G1120" s="381"/>
      <c r="H1120" s="381"/>
      <c r="I1120" s="381"/>
      <c r="J1120" s="381"/>
      <c r="K1120" s="381"/>
      <c r="L1120" s="381"/>
      <c r="M1120" s="381"/>
      <c r="N1120" s="381"/>
      <c r="O1120" s="381"/>
      <c r="P1120" s="381"/>
      <c r="Q1120" s="381"/>
      <c r="R1120" s="381"/>
      <c r="S1120" s="381"/>
    </row>
    <row r="1121" spans="1:19" ht="12.75" customHeight="1">
      <c r="A1121" s="381"/>
      <c r="B1121" s="389">
        <v>43914</v>
      </c>
      <c r="C1121" s="390">
        <v>1940.1</v>
      </c>
      <c r="D1121" s="393"/>
      <c r="E1121" s="392">
        <f t="shared" si="0"/>
        <v>1.958661572499909E-2</v>
      </c>
      <c r="F1121" s="393"/>
      <c r="G1121" s="381"/>
      <c r="H1121" s="381"/>
      <c r="I1121" s="381"/>
      <c r="J1121" s="381"/>
      <c r="K1121" s="381"/>
      <c r="L1121" s="381"/>
      <c r="M1121" s="381"/>
      <c r="N1121" s="381"/>
      <c r="O1121" s="381"/>
      <c r="P1121" s="381"/>
      <c r="Q1121" s="381"/>
      <c r="R1121" s="381"/>
      <c r="S1121" s="381"/>
    </row>
    <row r="1122" spans="1:19" ht="12.75" customHeight="1">
      <c r="A1122" s="381"/>
      <c r="B1122" s="389">
        <v>43915</v>
      </c>
      <c r="C1122" s="390">
        <v>1885.84</v>
      </c>
      <c r="D1122" s="393"/>
      <c r="E1122" s="392">
        <f t="shared" si="0"/>
        <v>-2.796763053450857E-2</v>
      </c>
      <c r="F1122" s="393"/>
      <c r="G1122" s="381"/>
      <c r="H1122" s="381"/>
      <c r="I1122" s="381"/>
      <c r="J1122" s="381"/>
      <c r="K1122" s="381"/>
      <c r="L1122" s="381"/>
      <c r="M1122" s="381"/>
      <c r="N1122" s="381"/>
      <c r="O1122" s="381"/>
      <c r="P1122" s="381"/>
      <c r="Q1122" s="381"/>
      <c r="R1122" s="381"/>
      <c r="S1122" s="381"/>
    </row>
    <row r="1123" spans="1:19" ht="12.75" customHeight="1">
      <c r="A1123" s="381"/>
      <c r="B1123" s="389">
        <v>43916</v>
      </c>
      <c r="C1123" s="390">
        <v>1955.49</v>
      </c>
      <c r="D1123" s="393"/>
      <c r="E1123" s="392">
        <f t="shared" si="0"/>
        <v>3.6933143851016093E-2</v>
      </c>
      <c r="F1123" s="393"/>
      <c r="G1123" s="381"/>
      <c r="H1123" s="381"/>
      <c r="I1123" s="381"/>
      <c r="J1123" s="381"/>
      <c r="K1123" s="381"/>
      <c r="L1123" s="381"/>
      <c r="M1123" s="381"/>
      <c r="N1123" s="381"/>
      <c r="O1123" s="381"/>
      <c r="P1123" s="381"/>
      <c r="Q1123" s="381"/>
      <c r="R1123" s="381"/>
      <c r="S1123" s="381"/>
    </row>
    <row r="1124" spans="1:19" ht="12.75" customHeight="1">
      <c r="A1124" s="381"/>
      <c r="B1124" s="389">
        <v>43917</v>
      </c>
      <c r="C1124" s="390">
        <v>1900.1</v>
      </c>
      <c r="D1124" s="393"/>
      <c r="E1124" s="392">
        <f t="shared" si="0"/>
        <v>-2.8325381362216184E-2</v>
      </c>
      <c r="F1124" s="393"/>
      <c r="G1124" s="381"/>
      <c r="H1124" s="381"/>
      <c r="I1124" s="381"/>
      <c r="J1124" s="381"/>
      <c r="K1124" s="381"/>
      <c r="L1124" s="381"/>
      <c r="M1124" s="381"/>
      <c r="N1124" s="381"/>
      <c r="O1124" s="381"/>
      <c r="P1124" s="381"/>
      <c r="Q1124" s="381"/>
      <c r="R1124" s="381"/>
      <c r="S1124" s="381"/>
    </row>
    <row r="1125" spans="1:19" ht="12.75" customHeight="1">
      <c r="A1125" s="381"/>
      <c r="B1125" s="389">
        <v>43920</v>
      </c>
      <c r="C1125" s="390">
        <v>1963.95</v>
      </c>
      <c r="D1125" s="393"/>
      <c r="E1125" s="392">
        <f t="shared" si="0"/>
        <v>3.3603494552918445E-2</v>
      </c>
      <c r="F1125" s="393"/>
      <c r="G1125" s="381"/>
      <c r="H1125" s="381"/>
      <c r="I1125" s="381"/>
      <c r="J1125" s="381"/>
      <c r="K1125" s="381"/>
      <c r="L1125" s="381"/>
      <c r="M1125" s="381"/>
      <c r="N1125" s="381"/>
      <c r="O1125" s="381"/>
      <c r="P1125" s="381"/>
      <c r="Q1125" s="381"/>
      <c r="R1125" s="381"/>
      <c r="S1125" s="381"/>
    </row>
    <row r="1126" spans="1:19" ht="12.75" customHeight="1">
      <c r="A1126" s="381"/>
      <c r="B1126" s="389">
        <v>43921</v>
      </c>
      <c r="C1126" s="390">
        <v>1949.72</v>
      </c>
      <c r="D1126" s="393"/>
      <c r="E1126" s="392">
        <f t="shared" si="0"/>
        <v>-7.2456019756104162E-3</v>
      </c>
      <c r="F1126" s="393"/>
      <c r="G1126" s="381"/>
      <c r="H1126" s="381"/>
      <c r="I1126" s="381"/>
      <c r="J1126" s="381"/>
      <c r="K1126" s="381"/>
      <c r="L1126" s="381"/>
      <c r="M1126" s="381"/>
      <c r="N1126" s="381"/>
      <c r="O1126" s="381"/>
      <c r="P1126" s="381"/>
      <c r="Q1126" s="381"/>
      <c r="R1126" s="381"/>
      <c r="S1126" s="381"/>
    </row>
    <row r="1127" spans="1:19" ht="12.75" customHeight="1">
      <c r="A1127" s="381"/>
      <c r="B1127" s="389">
        <v>43922</v>
      </c>
      <c r="C1127" s="390">
        <v>1907.7</v>
      </c>
      <c r="D1127" s="393"/>
      <c r="E1127" s="392">
        <f t="shared" si="0"/>
        <v>-2.1551812567958462E-2</v>
      </c>
      <c r="F1127" s="393"/>
      <c r="G1127" s="381"/>
      <c r="H1127" s="381"/>
      <c r="I1127" s="381"/>
      <c r="J1127" s="381"/>
      <c r="K1127" s="381"/>
      <c r="L1127" s="381"/>
      <c r="M1127" s="381"/>
      <c r="N1127" s="381"/>
      <c r="O1127" s="381"/>
      <c r="P1127" s="381"/>
      <c r="Q1127" s="381"/>
      <c r="R1127" s="381"/>
      <c r="S1127" s="381"/>
    </row>
    <row r="1128" spans="1:19" ht="12.75" customHeight="1">
      <c r="A1128" s="381"/>
      <c r="B1128" s="389">
        <v>43923</v>
      </c>
      <c r="C1128" s="390">
        <v>1918.83</v>
      </c>
      <c r="D1128" s="393"/>
      <c r="E1128" s="392">
        <f t="shared" si="0"/>
        <v>5.8342506683439765E-3</v>
      </c>
      <c r="F1128" s="393"/>
      <c r="G1128" s="381"/>
      <c r="H1128" s="381"/>
      <c r="I1128" s="381"/>
      <c r="J1128" s="381"/>
      <c r="K1128" s="381"/>
      <c r="L1128" s="381"/>
      <c r="M1128" s="381"/>
      <c r="N1128" s="381"/>
      <c r="O1128" s="381"/>
      <c r="P1128" s="381"/>
      <c r="Q1128" s="381"/>
      <c r="R1128" s="381"/>
      <c r="S1128" s="381"/>
    </row>
    <row r="1129" spans="1:19" ht="12.75" customHeight="1">
      <c r="A1129" s="381"/>
      <c r="B1129" s="389">
        <v>43924</v>
      </c>
      <c r="C1129" s="390">
        <v>1906.59</v>
      </c>
      <c r="D1129" s="393"/>
      <c r="E1129" s="392">
        <f t="shared" si="0"/>
        <v>-6.3788871343475329E-3</v>
      </c>
      <c r="F1129" s="393"/>
      <c r="G1129" s="381"/>
      <c r="H1129" s="381"/>
      <c r="I1129" s="381"/>
      <c r="J1129" s="381"/>
      <c r="K1129" s="381"/>
      <c r="L1129" s="381"/>
      <c r="M1129" s="381"/>
      <c r="N1129" s="381"/>
      <c r="O1129" s="381"/>
      <c r="P1129" s="381"/>
      <c r="Q1129" s="381"/>
      <c r="R1129" s="381"/>
      <c r="S1129" s="381"/>
    </row>
    <row r="1130" spans="1:19" ht="12.75" customHeight="1">
      <c r="A1130" s="381"/>
      <c r="B1130" s="389">
        <v>43927</v>
      </c>
      <c r="C1130" s="390">
        <v>1997.59</v>
      </c>
      <c r="D1130" s="393"/>
      <c r="E1130" s="392">
        <f t="shared" si="0"/>
        <v>4.7729191908066237E-2</v>
      </c>
      <c r="F1130" s="393"/>
      <c r="G1130" s="381"/>
      <c r="H1130" s="381"/>
      <c r="I1130" s="381"/>
      <c r="J1130" s="381"/>
      <c r="K1130" s="381"/>
      <c r="L1130" s="381"/>
      <c r="M1130" s="381"/>
      <c r="N1130" s="381"/>
      <c r="O1130" s="381"/>
      <c r="P1130" s="381"/>
      <c r="Q1130" s="381"/>
      <c r="R1130" s="381"/>
      <c r="S1130" s="381"/>
    </row>
    <row r="1131" spans="1:19" ht="12.75" customHeight="1">
      <c r="A1131" s="381"/>
      <c r="B1131" s="389">
        <v>43928</v>
      </c>
      <c r="C1131" s="390">
        <v>2011.6</v>
      </c>
      <c r="D1131" s="393"/>
      <c r="E1131" s="392">
        <f t="shared" si="0"/>
        <v>7.0134512087065559E-3</v>
      </c>
      <c r="F1131" s="393"/>
      <c r="G1131" s="381"/>
      <c r="H1131" s="381"/>
      <c r="I1131" s="381"/>
      <c r="J1131" s="381"/>
      <c r="K1131" s="381"/>
      <c r="L1131" s="381"/>
      <c r="M1131" s="381"/>
      <c r="N1131" s="381"/>
      <c r="O1131" s="381"/>
      <c r="P1131" s="381"/>
      <c r="Q1131" s="381"/>
      <c r="R1131" s="381"/>
      <c r="S1131" s="381"/>
    </row>
    <row r="1132" spans="1:19" ht="12.75" customHeight="1">
      <c r="A1132" s="381"/>
      <c r="B1132" s="389">
        <v>43929</v>
      </c>
      <c r="C1132" s="390">
        <v>2043</v>
      </c>
      <c r="D1132" s="393"/>
      <c r="E1132" s="392">
        <f t="shared" si="0"/>
        <v>1.5609465102406128E-2</v>
      </c>
      <c r="F1132" s="393"/>
      <c r="G1132" s="381"/>
      <c r="H1132" s="381"/>
      <c r="I1132" s="381"/>
      <c r="J1132" s="381"/>
      <c r="K1132" s="381"/>
      <c r="L1132" s="381"/>
      <c r="M1132" s="381"/>
      <c r="N1132" s="381"/>
      <c r="O1132" s="381"/>
      <c r="P1132" s="381"/>
      <c r="Q1132" s="381"/>
      <c r="R1132" s="381"/>
      <c r="S1132" s="381"/>
    </row>
    <row r="1133" spans="1:19" ht="12.75" customHeight="1">
      <c r="A1133" s="381"/>
      <c r="B1133" s="389">
        <v>43930</v>
      </c>
      <c r="C1133" s="390">
        <v>2042.76</v>
      </c>
      <c r="D1133" s="393"/>
      <c r="E1133" s="392">
        <f t="shared" si="0"/>
        <v>-1.1747430249631208E-4</v>
      </c>
      <c r="F1133" s="393"/>
      <c r="G1133" s="381"/>
      <c r="H1133" s="381"/>
      <c r="I1133" s="381"/>
      <c r="J1133" s="381"/>
      <c r="K1133" s="381"/>
      <c r="L1133" s="381"/>
      <c r="M1133" s="381"/>
      <c r="N1133" s="381"/>
      <c r="O1133" s="381"/>
      <c r="P1133" s="381"/>
      <c r="Q1133" s="381"/>
      <c r="R1133" s="381"/>
      <c r="S1133" s="381"/>
    </row>
    <row r="1134" spans="1:19" ht="12.75" customHeight="1">
      <c r="A1134" s="381"/>
      <c r="B1134" s="389">
        <v>43934</v>
      </c>
      <c r="C1134" s="390">
        <v>2168.87</v>
      </c>
      <c r="D1134" s="393"/>
      <c r="E1134" s="392">
        <f t="shared" si="0"/>
        <v>6.1735103487438492E-2</v>
      </c>
      <c r="F1134" s="393"/>
      <c r="G1134" s="381"/>
      <c r="H1134" s="381"/>
      <c r="I1134" s="381"/>
      <c r="J1134" s="381"/>
      <c r="K1134" s="381"/>
      <c r="L1134" s="381"/>
      <c r="M1134" s="381"/>
      <c r="N1134" s="381"/>
      <c r="O1134" s="381"/>
      <c r="P1134" s="381"/>
      <c r="Q1134" s="381"/>
      <c r="R1134" s="381"/>
      <c r="S1134" s="381"/>
    </row>
    <row r="1135" spans="1:19" ht="12.75" customHeight="1">
      <c r="A1135" s="381"/>
      <c r="B1135" s="389">
        <v>43935</v>
      </c>
      <c r="C1135" s="390">
        <v>2283.3200000000002</v>
      </c>
      <c r="D1135" s="393"/>
      <c r="E1135" s="392">
        <f t="shared" si="0"/>
        <v>5.2769414487728872E-2</v>
      </c>
      <c r="F1135" s="393"/>
      <c r="G1135" s="381"/>
      <c r="H1135" s="381"/>
      <c r="I1135" s="381"/>
      <c r="J1135" s="381"/>
      <c r="K1135" s="381"/>
      <c r="L1135" s="381"/>
      <c r="M1135" s="381"/>
      <c r="N1135" s="381"/>
      <c r="O1135" s="381"/>
      <c r="P1135" s="381"/>
      <c r="Q1135" s="381"/>
      <c r="R1135" s="381"/>
      <c r="S1135" s="381"/>
    </row>
    <row r="1136" spans="1:19" ht="12.75" customHeight="1">
      <c r="A1136" s="381"/>
      <c r="B1136" s="389">
        <v>43936</v>
      </c>
      <c r="C1136" s="390">
        <v>2307.6799999999998</v>
      </c>
      <c r="D1136" s="393"/>
      <c r="E1136" s="392">
        <f t="shared" si="0"/>
        <v>1.0668675437520703E-2</v>
      </c>
      <c r="F1136" s="393"/>
      <c r="G1136" s="381"/>
      <c r="H1136" s="381"/>
      <c r="I1136" s="381"/>
      <c r="J1136" s="381"/>
      <c r="K1136" s="381"/>
      <c r="L1136" s="381"/>
      <c r="M1136" s="381"/>
      <c r="N1136" s="381"/>
      <c r="O1136" s="381"/>
      <c r="P1136" s="381"/>
      <c r="Q1136" s="381"/>
      <c r="R1136" s="381"/>
      <c r="S1136" s="381"/>
    </row>
    <row r="1137" spans="1:19" ht="12.75" customHeight="1">
      <c r="A1137" s="381"/>
      <c r="B1137" s="389">
        <v>43937</v>
      </c>
      <c r="C1137" s="390">
        <v>2408.19</v>
      </c>
      <c r="D1137" s="393"/>
      <c r="E1137" s="392">
        <f t="shared" si="0"/>
        <v>4.3554565624350117E-2</v>
      </c>
      <c r="F1137" s="393"/>
      <c r="G1137" s="381"/>
      <c r="H1137" s="381"/>
      <c r="I1137" s="381"/>
      <c r="J1137" s="381"/>
      <c r="K1137" s="381"/>
      <c r="L1137" s="381"/>
      <c r="M1137" s="381"/>
      <c r="N1137" s="381"/>
      <c r="O1137" s="381"/>
      <c r="P1137" s="381"/>
      <c r="Q1137" s="381"/>
      <c r="R1137" s="381"/>
      <c r="S1137" s="381"/>
    </row>
    <row r="1138" spans="1:19" ht="12.75" customHeight="1">
      <c r="A1138" s="381"/>
      <c r="B1138" s="389">
        <v>43938</v>
      </c>
      <c r="C1138" s="390">
        <v>2375</v>
      </c>
      <c r="D1138" s="393"/>
      <c r="E1138" s="392">
        <f t="shared" si="0"/>
        <v>-1.3782135130533724E-2</v>
      </c>
      <c r="F1138" s="393"/>
      <c r="G1138" s="381"/>
      <c r="H1138" s="381"/>
      <c r="I1138" s="381"/>
      <c r="J1138" s="381"/>
      <c r="K1138" s="381"/>
      <c r="L1138" s="381"/>
      <c r="M1138" s="381"/>
      <c r="N1138" s="381"/>
      <c r="O1138" s="381"/>
      <c r="P1138" s="381"/>
      <c r="Q1138" s="381"/>
      <c r="R1138" s="381"/>
      <c r="S1138" s="381"/>
    </row>
    <row r="1139" spans="1:19" ht="12.75" customHeight="1">
      <c r="A1139" s="381"/>
      <c r="B1139" s="389">
        <v>43941</v>
      </c>
      <c r="C1139" s="390">
        <v>2393.61</v>
      </c>
      <c r="D1139" s="393"/>
      <c r="E1139" s="392">
        <f t="shared" si="0"/>
        <v>7.8357894736842404E-3</v>
      </c>
      <c r="F1139" s="393"/>
      <c r="G1139" s="381"/>
      <c r="H1139" s="381"/>
      <c r="I1139" s="381"/>
      <c r="J1139" s="381"/>
      <c r="K1139" s="381"/>
      <c r="L1139" s="381"/>
      <c r="M1139" s="381"/>
      <c r="N1139" s="381"/>
      <c r="O1139" s="381"/>
      <c r="P1139" s="381"/>
      <c r="Q1139" s="381"/>
      <c r="R1139" s="381"/>
      <c r="S1139" s="381"/>
    </row>
    <row r="1140" spans="1:19" ht="12.75" customHeight="1">
      <c r="A1140" s="381"/>
      <c r="B1140" s="389">
        <v>43942</v>
      </c>
      <c r="C1140" s="390">
        <v>2328.12</v>
      </c>
      <c r="D1140" s="393"/>
      <c r="E1140" s="392">
        <f t="shared" si="0"/>
        <v>-2.7360346923684387E-2</v>
      </c>
      <c r="F1140" s="393"/>
      <c r="G1140" s="381"/>
      <c r="H1140" s="381"/>
      <c r="I1140" s="381"/>
      <c r="J1140" s="381"/>
      <c r="K1140" s="381"/>
      <c r="L1140" s="381"/>
      <c r="M1140" s="381"/>
      <c r="N1140" s="381"/>
      <c r="O1140" s="381"/>
      <c r="P1140" s="381"/>
      <c r="Q1140" s="381"/>
      <c r="R1140" s="381"/>
      <c r="S1140" s="381"/>
    </row>
    <row r="1141" spans="1:19" ht="12.75" customHeight="1">
      <c r="A1141" s="381"/>
      <c r="B1141" s="389">
        <v>43943</v>
      </c>
      <c r="C1141" s="390">
        <v>2363.4899999999998</v>
      </c>
      <c r="D1141" s="393"/>
      <c r="E1141" s="392">
        <f t="shared" si="0"/>
        <v>1.5192515849698385E-2</v>
      </c>
      <c r="F1141" s="393"/>
      <c r="G1141" s="381"/>
      <c r="H1141" s="381"/>
      <c r="I1141" s="381"/>
      <c r="J1141" s="381"/>
      <c r="K1141" s="381"/>
      <c r="L1141" s="381"/>
      <c r="M1141" s="381"/>
      <c r="N1141" s="381"/>
      <c r="O1141" s="381"/>
      <c r="P1141" s="381"/>
      <c r="Q1141" s="381"/>
      <c r="R1141" s="381"/>
      <c r="S1141" s="381"/>
    </row>
    <row r="1142" spans="1:19" ht="12.75" customHeight="1">
      <c r="A1142" s="381"/>
      <c r="B1142" s="389">
        <v>43944</v>
      </c>
      <c r="C1142" s="390">
        <v>2399.4499999999998</v>
      </c>
      <c r="D1142" s="393"/>
      <c r="E1142" s="392">
        <f t="shared" si="0"/>
        <v>1.5214788300352389E-2</v>
      </c>
      <c r="F1142" s="393"/>
      <c r="G1142" s="381"/>
      <c r="H1142" s="381"/>
      <c r="I1142" s="381"/>
      <c r="J1142" s="381"/>
      <c r="K1142" s="381"/>
      <c r="L1142" s="381"/>
      <c r="M1142" s="381"/>
      <c r="N1142" s="381"/>
      <c r="O1142" s="381"/>
      <c r="P1142" s="381"/>
      <c r="Q1142" s="381"/>
      <c r="R1142" s="381"/>
      <c r="S1142" s="381"/>
    </row>
    <row r="1143" spans="1:19" ht="12.75" customHeight="1">
      <c r="A1143" s="381"/>
      <c r="B1143" s="389">
        <v>43945</v>
      </c>
      <c r="C1143" s="390">
        <v>2410.2199999999998</v>
      </c>
      <c r="D1143" s="393"/>
      <c r="E1143" s="392">
        <f t="shared" si="0"/>
        <v>4.4885286211422404E-3</v>
      </c>
      <c r="F1143" s="393"/>
      <c r="G1143" s="381"/>
      <c r="H1143" s="381"/>
      <c r="I1143" s="381"/>
      <c r="J1143" s="381"/>
      <c r="K1143" s="381"/>
      <c r="L1143" s="381"/>
      <c r="M1143" s="381"/>
      <c r="N1143" s="381"/>
      <c r="O1143" s="381"/>
      <c r="P1143" s="381"/>
      <c r="Q1143" s="381"/>
      <c r="R1143" s="381"/>
      <c r="S1143" s="381"/>
    </row>
    <row r="1144" spans="1:19" ht="12.75" customHeight="1">
      <c r="A1144" s="381"/>
      <c r="B1144" s="389">
        <v>43948</v>
      </c>
      <c r="C1144" s="390">
        <v>2376</v>
      </c>
      <c r="D1144" s="393"/>
      <c r="E1144" s="392">
        <f t="shared" si="0"/>
        <v>-1.4197874052990889E-2</v>
      </c>
      <c r="F1144" s="393"/>
      <c r="G1144" s="381"/>
      <c r="H1144" s="381"/>
      <c r="I1144" s="381"/>
      <c r="J1144" s="381"/>
      <c r="K1144" s="381"/>
      <c r="L1144" s="381"/>
      <c r="M1144" s="381"/>
      <c r="N1144" s="381"/>
      <c r="O1144" s="381"/>
      <c r="P1144" s="381"/>
      <c r="Q1144" s="381"/>
      <c r="R1144" s="381"/>
      <c r="S1144" s="381"/>
    </row>
    <row r="1145" spans="1:19" ht="12.75" customHeight="1">
      <c r="A1145" s="381"/>
      <c r="B1145" s="389">
        <v>43949</v>
      </c>
      <c r="C1145" s="390">
        <v>2314.08</v>
      </c>
      <c r="D1145" s="393"/>
      <c r="E1145" s="392">
        <f t="shared" si="0"/>
        <v>-2.6060606060606117E-2</v>
      </c>
      <c r="F1145" s="393"/>
      <c r="G1145" s="381"/>
      <c r="H1145" s="381"/>
      <c r="I1145" s="381"/>
      <c r="J1145" s="381"/>
      <c r="K1145" s="381"/>
      <c r="L1145" s="381"/>
      <c r="M1145" s="381"/>
      <c r="N1145" s="381"/>
      <c r="O1145" s="381"/>
      <c r="P1145" s="381"/>
      <c r="Q1145" s="381"/>
      <c r="R1145" s="381"/>
      <c r="S1145" s="381"/>
    </row>
    <row r="1146" spans="1:19" ht="12.75" customHeight="1">
      <c r="A1146" s="381"/>
      <c r="B1146" s="389">
        <v>43950</v>
      </c>
      <c r="C1146" s="390">
        <v>2372.71</v>
      </c>
      <c r="D1146" s="393"/>
      <c r="E1146" s="392">
        <f t="shared" si="0"/>
        <v>2.5336202724192791E-2</v>
      </c>
      <c r="F1146" s="393"/>
      <c r="G1146" s="381"/>
      <c r="H1146" s="381"/>
      <c r="I1146" s="381"/>
      <c r="J1146" s="381"/>
      <c r="K1146" s="381"/>
      <c r="L1146" s="381"/>
      <c r="M1146" s="381"/>
      <c r="N1146" s="381"/>
      <c r="O1146" s="381"/>
      <c r="P1146" s="381"/>
      <c r="Q1146" s="381"/>
      <c r="R1146" s="381"/>
      <c r="S1146" s="381"/>
    </row>
    <row r="1147" spans="1:19" ht="12.75" customHeight="1">
      <c r="A1147" s="381"/>
      <c r="B1147" s="389">
        <v>43951</v>
      </c>
      <c r="C1147" s="390">
        <v>2474</v>
      </c>
      <c r="D1147" s="393"/>
      <c r="E1147" s="392">
        <f t="shared" si="0"/>
        <v>4.2689582797729164E-2</v>
      </c>
      <c r="F1147" s="393"/>
      <c r="G1147" s="381"/>
      <c r="H1147" s="381"/>
      <c r="I1147" s="381"/>
      <c r="J1147" s="381"/>
      <c r="K1147" s="381"/>
      <c r="L1147" s="381"/>
      <c r="M1147" s="381"/>
      <c r="N1147" s="381"/>
      <c r="O1147" s="381"/>
      <c r="P1147" s="381"/>
      <c r="Q1147" s="381"/>
      <c r="R1147" s="381"/>
      <c r="S1147" s="381"/>
    </row>
    <row r="1148" spans="1:19" ht="12.75" customHeight="1">
      <c r="A1148" s="381"/>
      <c r="B1148" s="389">
        <v>43952</v>
      </c>
      <c r="C1148" s="390">
        <v>2286.04</v>
      </c>
      <c r="D1148" s="393"/>
      <c r="E1148" s="392">
        <f t="shared" si="0"/>
        <v>-7.5974130962004893E-2</v>
      </c>
      <c r="F1148" s="393"/>
      <c r="G1148" s="381"/>
      <c r="H1148" s="381"/>
      <c r="I1148" s="381"/>
      <c r="J1148" s="381"/>
      <c r="K1148" s="381"/>
      <c r="L1148" s="381"/>
      <c r="M1148" s="381"/>
      <c r="N1148" s="381"/>
      <c r="O1148" s="381"/>
      <c r="P1148" s="381"/>
      <c r="Q1148" s="381"/>
      <c r="R1148" s="381"/>
      <c r="S1148" s="381"/>
    </row>
    <row r="1149" spans="1:19" ht="12.75" customHeight="1">
      <c r="A1149" s="381"/>
      <c r="B1149" s="389">
        <v>43955</v>
      </c>
      <c r="C1149" s="390">
        <v>2315.9899999999998</v>
      </c>
      <c r="D1149" s="393"/>
      <c r="E1149" s="392">
        <f t="shared" si="0"/>
        <v>1.3101258070724819E-2</v>
      </c>
      <c r="F1149" s="393"/>
      <c r="G1149" s="381"/>
      <c r="H1149" s="381"/>
      <c r="I1149" s="381"/>
      <c r="J1149" s="381"/>
      <c r="K1149" s="381"/>
      <c r="L1149" s="381"/>
      <c r="M1149" s="381"/>
      <c r="N1149" s="381"/>
      <c r="O1149" s="381"/>
      <c r="P1149" s="381"/>
      <c r="Q1149" s="381"/>
      <c r="R1149" s="381"/>
      <c r="S1149" s="381"/>
    </row>
    <row r="1150" spans="1:19" ht="12.75" customHeight="1">
      <c r="A1150" s="381"/>
      <c r="B1150" s="389">
        <v>43956</v>
      </c>
      <c r="C1150" s="390">
        <v>2317.8000000000002</v>
      </c>
      <c r="D1150" s="393"/>
      <c r="E1150" s="392">
        <f t="shared" si="0"/>
        <v>7.8152323628355447E-4</v>
      </c>
      <c r="F1150" s="393"/>
      <c r="G1150" s="381"/>
      <c r="H1150" s="381"/>
      <c r="I1150" s="381"/>
      <c r="J1150" s="381"/>
      <c r="K1150" s="381"/>
      <c r="L1150" s="381"/>
      <c r="M1150" s="381"/>
      <c r="N1150" s="381"/>
      <c r="O1150" s="381"/>
      <c r="P1150" s="381"/>
      <c r="Q1150" s="381"/>
      <c r="R1150" s="381"/>
      <c r="S1150" s="381"/>
    </row>
    <row r="1151" spans="1:19" ht="12.75" customHeight="1">
      <c r="A1151" s="381"/>
      <c r="B1151" s="389">
        <v>43957</v>
      </c>
      <c r="C1151" s="390">
        <v>2351.2600000000002</v>
      </c>
      <c r="D1151" s="393"/>
      <c r="E1151" s="392">
        <f t="shared" si="0"/>
        <v>1.4436103201311612E-2</v>
      </c>
      <c r="F1151" s="393"/>
      <c r="G1151" s="381"/>
      <c r="H1151" s="381"/>
      <c r="I1151" s="381"/>
      <c r="J1151" s="381"/>
      <c r="K1151" s="381"/>
      <c r="L1151" s="381"/>
      <c r="M1151" s="381"/>
      <c r="N1151" s="381"/>
      <c r="O1151" s="381"/>
      <c r="P1151" s="381"/>
      <c r="Q1151" s="381"/>
      <c r="R1151" s="381"/>
      <c r="S1151" s="381"/>
    </row>
    <row r="1152" spans="1:19" ht="12.75" customHeight="1">
      <c r="A1152" s="381"/>
      <c r="B1152" s="389">
        <v>43958</v>
      </c>
      <c r="C1152" s="390">
        <v>2367.61</v>
      </c>
      <c r="D1152" s="393"/>
      <c r="E1152" s="392">
        <f t="shared" si="0"/>
        <v>6.9537184318195777E-3</v>
      </c>
      <c r="F1152" s="393"/>
      <c r="G1152" s="381"/>
      <c r="H1152" s="381"/>
      <c r="I1152" s="381"/>
      <c r="J1152" s="381"/>
      <c r="K1152" s="381"/>
      <c r="L1152" s="381"/>
      <c r="M1152" s="381"/>
      <c r="N1152" s="381"/>
      <c r="O1152" s="381"/>
      <c r="P1152" s="381"/>
      <c r="Q1152" s="381"/>
      <c r="R1152" s="381"/>
      <c r="S1152" s="381"/>
    </row>
    <row r="1153" spans="1:19" ht="12.75" customHeight="1">
      <c r="A1153" s="381"/>
      <c r="B1153" s="389">
        <v>43959</v>
      </c>
      <c r="C1153" s="390">
        <v>2379.61</v>
      </c>
      <c r="D1153" s="393"/>
      <c r="E1153" s="392">
        <f t="shared" si="0"/>
        <v>5.0684023128808597E-3</v>
      </c>
      <c r="F1153" s="393"/>
      <c r="G1153" s="381"/>
      <c r="H1153" s="381"/>
      <c r="I1153" s="381"/>
      <c r="J1153" s="381"/>
      <c r="K1153" s="381"/>
      <c r="L1153" s="381"/>
      <c r="M1153" s="381"/>
      <c r="N1153" s="381"/>
      <c r="O1153" s="381"/>
      <c r="P1153" s="381"/>
      <c r="Q1153" s="381"/>
      <c r="R1153" s="381"/>
      <c r="S1153" s="381"/>
    </row>
    <row r="1154" spans="1:19" ht="12.75" customHeight="1">
      <c r="A1154" s="381"/>
      <c r="B1154" s="389">
        <v>43962</v>
      </c>
      <c r="C1154" s="390">
        <v>2409</v>
      </c>
      <c r="D1154" s="393"/>
      <c r="E1154" s="392">
        <f t="shared" si="0"/>
        <v>1.2350763360382544E-2</v>
      </c>
      <c r="F1154" s="393"/>
      <c r="G1154" s="381"/>
      <c r="H1154" s="381"/>
      <c r="I1154" s="381"/>
      <c r="J1154" s="381"/>
      <c r="K1154" s="381"/>
      <c r="L1154" s="381"/>
      <c r="M1154" s="381"/>
      <c r="N1154" s="381"/>
      <c r="O1154" s="381"/>
      <c r="P1154" s="381"/>
      <c r="Q1154" s="381"/>
      <c r="R1154" s="381"/>
      <c r="S1154" s="381"/>
    </row>
    <row r="1155" spans="1:19" ht="12.75" customHeight="1">
      <c r="A1155" s="381"/>
      <c r="B1155" s="389">
        <v>43963</v>
      </c>
      <c r="C1155" s="390">
        <v>2356.9499999999998</v>
      </c>
      <c r="D1155" s="393"/>
      <c r="E1155" s="392">
        <f t="shared" si="0"/>
        <v>-2.1606475716064888E-2</v>
      </c>
      <c r="F1155" s="393"/>
      <c r="G1155" s="381"/>
      <c r="H1155" s="381"/>
      <c r="I1155" s="381"/>
      <c r="J1155" s="381"/>
      <c r="K1155" s="381"/>
      <c r="L1155" s="381"/>
      <c r="M1155" s="381"/>
      <c r="N1155" s="381"/>
      <c r="O1155" s="381"/>
      <c r="P1155" s="381"/>
      <c r="Q1155" s="381"/>
      <c r="R1155" s="381"/>
      <c r="S1155" s="381"/>
    </row>
    <row r="1156" spans="1:19" ht="12.75" customHeight="1">
      <c r="A1156" s="381"/>
      <c r="B1156" s="389">
        <v>43964</v>
      </c>
      <c r="C1156" s="390">
        <v>2367.92</v>
      </c>
      <c r="D1156" s="393"/>
      <c r="E1156" s="392">
        <f t="shared" si="0"/>
        <v>4.654320201955997E-3</v>
      </c>
      <c r="F1156" s="393"/>
      <c r="G1156" s="381"/>
      <c r="H1156" s="381"/>
      <c r="I1156" s="381"/>
      <c r="J1156" s="381"/>
      <c r="K1156" s="381"/>
      <c r="L1156" s="381"/>
      <c r="M1156" s="381"/>
      <c r="N1156" s="381"/>
      <c r="O1156" s="381"/>
      <c r="P1156" s="381"/>
      <c r="Q1156" s="381"/>
      <c r="R1156" s="381"/>
      <c r="S1156" s="381"/>
    </row>
    <row r="1157" spans="1:19" ht="12.75" customHeight="1">
      <c r="A1157" s="381"/>
      <c r="B1157" s="389">
        <v>43965</v>
      </c>
      <c r="C1157" s="390">
        <v>2388.85</v>
      </c>
      <c r="D1157" s="393"/>
      <c r="E1157" s="392">
        <f t="shared" si="0"/>
        <v>8.8389810466569241E-3</v>
      </c>
      <c r="F1157" s="393"/>
      <c r="G1157" s="381"/>
      <c r="H1157" s="381"/>
      <c r="I1157" s="381"/>
      <c r="J1157" s="381"/>
      <c r="K1157" s="381"/>
      <c r="L1157" s="381"/>
      <c r="M1157" s="381"/>
      <c r="N1157" s="381"/>
      <c r="O1157" s="381"/>
      <c r="P1157" s="381"/>
      <c r="Q1157" s="381"/>
      <c r="R1157" s="381"/>
      <c r="S1157" s="381"/>
    </row>
    <row r="1158" spans="1:19" ht="12.75" customHeight="1">
      <c r="A1158" s="381"/>
      <c r="B1158" s="389">
        <v>43966</v>
      </c>
      <c r="C1158" s="390">
        <v>2409.7800000000002</v>
      </c>
      <c r="D1158" s="393"/>
      <c r="E1158" s="392">
        <f t="shared" si="0"/>
        <v>8.7615379785253023E-3</v>
      </c>
      <c r="F1158" s="393"/>
      <c r="G1158" s="381"/>
      <c r="H1158" s="381"/>
      <c r="I1158" s="381"/>
      <c r="J1158" s="381"/>
      <c r="K1158" s="381"/>
      <c r="L1158" s="381"/>
      <c r="M1158" s="381"/>
      <c r="N1158" s="381"/>
      <c r="O1158" s="381"/>
      <c r="P1158" s="381"/>
      <c r="Q1158" s="381"/>
      <c r="R1158" s="381"/>
      <c r="S1158" s="381"/>
    </row>
    <row r="1159" spans="1:19" ht="12.75" customHeight="1">
      <c r="A1159" s="381"/>
      <c r="B1159" s="389">
        <v>43969</v>
      </c>
      <c r="C1159" s="390">
        <v>2426.2600000000002</v>
      </c>
      <c r="D1159" s="393"/>
      <c r="E1159" s="392">
        <f t="shared" si="0"/>
        <v>6.8387985625244507E-3</v>
      </c>
      <c r="F1159" s="393"/>
      <c r="G1159" s="381"/>
      <c r="H1159" s="381"/>
      <c r="I1159" s="381"/>
      <c r="J1159" s="381"/>
      <c r="K1159" s="381"/>
      <c r="L1159" s="381"/>
      <c r="M1159" s="381"/>
      <c r="N1159" s="381"/>
      <c r="O1159" s="381"/>
      <c r="P1159" s="381"/>
      <c r="Q1159" s="381"/>
      <c r="R1159" s="381"/>
      <c r="S1159" s="381"/>
    </row>
    <row r="1160" spans="1:19" ht="12.75" customHeight="1">
      <c r="A1160" s="381"/>
      <c r="B1160" s="389">
        <v>43970</v>
      </c>
      <c r="C1160" s="390">
        <v>2449.33</v>
      </c>
      <c r="D1160" s="393"/>
      <c r="E1160" s="392">
        <f t="shared" si="0"/>
        <v>9.5084615828475716E-3</v>
      </c>
      <c r="F1160" s="393"/>
      <c r="G1160" s="381"/>
      <c r="H1160" s="381"/>
      <c r="I1160" s="381"/>
      <c r="J1160" s="381"/>
      <c r="K1160" s="381"/>
      <c r="L1160" s="381"/>
      <c r="M1160" s="381"/>
      <c r="N1160" s="381"/>
      <c r="O1160" s="381"/>
      <c r="P1160" s="381"/>
      <c r="Q1160" s="381"/>
      <c r="R1160" s="381"/>
      <c r="S1160" s="381"/>
    </row>
    <row r="1161" spans="1:19" ht="12.75" customHeight="1">
      <c r="A1161" s="381"/>
      <c r="B1161" s="389">
        <v>43971</v>
      </c>
      <c r="C1161" s="390">
        <v>2497.94</v>
      </c>
      <c r="D1161" s="393"/>
      <c r="E1161" s="392">
        <f t="shared" si="0"/>
        <v>1.9846243666635344E-2</v>
      </c>
      <c r="F1161" s="393"/>
      <c r="G1161" s="381"/>
      <c r="H1161" s="381"/>
      <c r="I1161" s="381"/>
      <c r="J1161" s="381"/>
      <c r="K1161" s="381"/>
      <c r="L1161" s="381"/>
      <c r="M1161" s="381"/>
      <c r="N1161" s="381"/>
      <c r="O1161" s="381"/>
      <c r="P1161" s="381"/>
      <c r="Q1161" s="381"/>
      <c r="R1161" s="381"/>
      <c r="S1161" s="381"/>
    </row>
    <row r="1162" spans="1:19" ht="12.75" customHeight="1">
      <c r="A1162" s="381"/>
      <c r="B1162" s="389">
        <v>43972</v>
      </c>
      <c r="C1162" s="390">
        <v>2446.7399999999998</v>
      </c>
      <c r="D1162" s="393"/>
      <c r="E1162" s="392">
        <f t="shared" si="0"/>
        <v>-2.0496889436896093E-2</v>
      </c>
      <c r="F1162" s="393"/>
      <c r="G1162" s="381"/>
      <c r="H1162" s="381"/>
      <c r="I1162" s="381"/>
      <c r="J1162" s="381"/>
      <c r="K1162" s="381"/>
      <c r="L1162" s="381"/>
      <c r="M1162" s="381"/>
      <c r="N1162" s="381"/>
      <c r="O1162" s="381"/>
      <c r="P1162" s="381"/>
      <c r="Q1162" s="381"/>
      <c r="R1162" s="381"/>
      <c r="S1162" s="381"/>
    </row>
    <row r="1163" spans="1:19" ht="12.75" customHeight="1">
      <c r="A1163" s="381"/>
      <c r="B1163" s="389">
        <v>43973</v>
      </c>
      <c r="C1163" s="390">
        <v>2436.88</v>
      </c>
      <c r="D1163" s="393"/>
      <c r="E1163" s="392">
        <f t="shared" si="0"/>
        <v>-4.0298519662896881E-3</v>
      </c>
      <c r="F1163" s="393"/>
      <c r="G1163" s="381"/>
      <c r="H1163" s="381"/>
      <c r="I1163" s="381"/>
      <c r="J1163" s="381"/>
      <c r="K1163" s="381"/>
      <c r="L1163" s="381"/>
      <c r="M1163" s="381"/>
      <c r="N1163" s="381"/>
      <c r="O1163" s="381"/>
      <c r="P1163" s="381"/>
      <c r="Q1163" s="381"/>
      <c r="R1163" s="381"/>
      <c r="S1163" s="381"/>
    </row>
    <row r="1164" spans="1:19" ht="12.75" customHeight="1">
      <c r="A1164" s="381"/>
      <c r="B1164" s="389">
        <v>43977</v>
      </c>
      <c r="C1164" s="390">
        <v>2421.86</v>
      </c>
      <c r="D1164" s="393"/>
      <c r="E1164" s="392">
        <f t="shared" si="0"/>
        <v>-6.1636190538721936E-3</v>
      </c>
      <c r="F1164" s="393"/>
      <c r="G1164" s="381"/>
      <c r="H1164" s="381"/>
      <c r="I1164" s="381"/>
      <c r="J1164" s="381"/>
      <c r="K1164" s="381"/>
      <c r="L1164" s="381"/>
      <c r="M1164" s="381"/>
      <c r="N1164" s="381"/>
      <c r="O1164" s="381"/>
      <c r="P1164" s="381"/>
      <c r="Q1164" s="381"/>
      <c r="R1164" s="381"/>
      <c r="S1164" s="381"/>
    </row>
    <row r="1165" spans="1:19" ht="12.75" customHeight="1">
      <c r="A1165" s="381"/>
      <c r="B1165" s="389">
        <v>43978</v>
      </c>
      <c r="C1165" s="390">
        <v>2410.39</v>
      </c>
      <c r="D1165" s="393"/>
      <c r="E1165" s="392">
        <f t="shared" si="0"/>
        <v>-4.7360293328269076E-3</v>
      </c>
      <c r="F1165" s="393"/>
      <c r="G1165" s="381"/>
      <c r="H1165" s="381"/>
      <c r="I1165" s="381"/>
      <c r="J1165" s="381"/>
      <c r="K1165" s="381"/>
      <c r="L1165" s="381"/>
      <c r="M1165" s="381"/>
      <c r="N1165" s="381"/>
      <c r="O1165" s="381"/>
      <c r="P1165" s="381"/>
      <c r="Q1165" s="381"/>
      <c r="R1165" s="381"/>
      <c r="S1165" s="381"/>
    </row>
    <row r="1166" spans="1:19" ht="12.75" customHeight="1">
      <c r="A1166" s="381"/>
      <c r="B1166" s="389">
        <v>43979</v>
      </c>
      <c r="C1166" s="390">
        <v>2401.1</v>
      </c>
      <c r="D1166" s="393"/>
      <c r="E1166" s="392">
        <f t="shared" si="0"/>
        <v>-3.8541480839200393E-3</v>
      </c>
      <c r="F1166" s="393"/>
      <c r="G1166" s="381"/>
      <c r="H1166" s="381"/>
      <c r="I1166" s="381"/>
      <c r="J1166" s="381"/>
      <c r="K1166" s="381"/>
      <c r="L1166" s="381"/>
      <c r="M1166" s="381"/>
      <c r="N1166" s="381"/>
      <c r="O1166" s="381"/>
      <c r="P1166" s="381"/>
      <c r="Q1166" s="381"/>
      <c r="R1166" s="381"/>
      <c r="S1166" s="381"/>
    </row>
    <row r="1167" spans="1:19" ht="12.75" customHeight="1">
      <c r="A1167" s="381"/>
      <c r="B1167" s="389">
        <v>43980</v>
      </c>
      <c r="C1167" s="390">
        <v>2442.37</v>
      </c>
      <c r="D1167" s="393"/>
      <c r="E1167" s="392">
        <f t="shared" si="0"/>
        <v>1.7187955520386433E-2</v>
      </c>
      <c r="F1167" s="393"/>
      <c r="G1167" s="381"/>
      <c r="H1167" s="381"/>
      <c r="I1167" s="381"/>
      <c r="J1167" s="381"/>
      <c r="K1167" s="381"/>
      <c r="L1167" s="381"/>
      <c r="M1167" s="381"/>
      <c r="N1167" s="381"/>
      <c r="O1167" s="381"/>
      <c r="P1167" s="381"/>
      <c r="Q1167" s="381"/>
      <c r="R1167" s="381"/>
      <c r="S1167" s="381"/>
    </row>
    <row r="1168" spans="1:19" ht="12.75" customHeight="1">
      <c r="A1168" s="381"/>
      <c r="B1168" s="389">
        <v>43983</v>
      </c>
      <c r="C1168" s="390">
        <v>2471.04</v>
      </c>
      <c r="D1168" s="393"/>
      <c r="E1168" s="392">
        <f t="shared" si="0"/>
        <v>1.1738598164897196E-2</v>
      </c>
      <c r="F1168" s="393"/>
      <c r="G1168" s="381"/>
      <c r="H1168" s="381"/>
      <c r="I1168" s="381"/>
      <c r="J1168" s="381"/>
      <c r="K1168" s="381"/>
      <c r="L1168" s="381"/>
      <c r="M1168" s="381"/>
      <c r="N1168" s="381"/>
      <c r="O1168" s="381"/>
      <c r="P1168" s="381"/>
      <c r="Q1168" s="381"/>
      <c r="R1168" s="381"/>
      <c r="S1168" s="381"/>
    </row>
    <row r="1169" spans="1:19" ht="12.75" customHeight="1">
      <c r="A1169" s="381"/>
      <c r="B1169" s="389">
        <v>43984</v>
      </c>
      <c r="C1169" s="390">
        <v>2472.41</v>
      </c>
      <c r="D1169" s="393"/>
      <c r="E1169" s="392">
        <f t="shared" si="0"/>
        <v>5.5442242942227438E-4</v>
      </c>
      <c r="F1169" s="393"/>
      <c r="G1169" s="381"/>
      <c r="H1169" s="381"/>
      <c r="I1169" s="381"/>
      <c r="J1169" s="381"/>
      <c r="K1169" s="381"/>
      <c r="L1169" s="381"/>
      <c r="M1169" s="381"/>
      <c r="N1169" s="381"/>
      <c r="O1169" s="381"/>
      <c r="P1169" s="381"/>
      <c r="Q1169" s="381"/>
      <c r="R1169" s="381"/>
      <c r="S1169" s="381"/>
    </row>
    <row r="1170" spans="1:19" ht="12.75" customHeight="1">
      <c r="A1170" s="381"/>
      <c r="B1170" s="389">
        <v>43985</v>
      </c>
      <c r="C1170" s="390">
        <v>2478.4</v>
      </c>
      <c r="D1170" s="393"/>
      <c r="E1170" s="392">
        <f t="shared" si="0"/>
        <v>2.4227373291647591E-3</v>
      </c>
      <c r="F1170" s="393"/>
      <c r="G1170" s="381"/>
      <c r="H1170" s="381"/>
      <c r="I1170" s="381"/>
      <c r="J1170" s="381"/>
      <c r="K1170" s="381"/>
      <c r="L1170" s="381"/>
      <c r="M1170" s="381"/>
      <c r="N1170" s="381"/>
      <c r="O1170" s="381"/>
      <c r="P1170" s="381"/>
      <c r="Q1170" s="381"/>
      <c r="R1170" s="381"/>
      <c r="S1170" s="381"/>
    </row>
    <row r="1171" spans="1:19" ht="12.75" customHeight="1">
      <c r="A1171" s="381"/>
      <c r="B1171" s="389">
        <v>43986</v>
      </c>
      <c r="C1171" s="390">
        <v>2460.6</v>
      </c>
      <c r="D1171" s="393"/>
      <c r="E1171" s="392">
        <f t="shared" si="0"/>
        <v>-7.1820529373790576E-3</v>
      </c>
      <c r="F1171" s="393"/>
      <c r="G1171" s="381"/>
      <c r="H1171" s="381"/>
      <c r="I1171" s="381"/>
      <c r="J1171" s="381"/>
      <c r="K1171" s="381"/>
      <c r="L1171" s="381"/>
      <c r="M1171" s="381"/>
      <c r="N1171" s="381"/>
      <c r="O1171" s="381"/>
      <c r="P1171" s="381"/>
      <c r="Q1171" s="381"/>
      <c r="R1171" s="381"/>
      <c r="S1171" s="381"/>
    </row>
    <row r="1172" spans="1:19" ht="12.75" customHeight="1">
      <c r="A1172" s="381"/>
      <c r="B1172" s="389">
        <v>43987</v>
      </c>
      <c r="C1172" s="390">
        <v>2483</v>
      </c>
      <c r="D1172" s="393"/>
      <c r="E1172" s="392">
        <f t="shared" si="0"/>
        <v>9.1034706982038305E-3</v>
      </c>
      <c r="F1172" s="393"/>
      <c r="G1172" s="381"/>
      <c r="H1172" s="381"/>
      <c r="I1172" s="381"/>
      <c r="J1172" s="381"/>
      <c r="K1172" s="381"/>
      <c r="L1172" s="381"/>
      <c r="M1172" s="381"/>
      <c r="N1172" s="381"/>
      <c r="O1172" s="381"/>
      <c r="P1172" s="381"/>
      <c r="Q1172" s="381"/>
      <c r="R1172" s="381"/>
      <c r="S1172" s="381"/>
    </row>
    <row r="1173" spans="1:19" ht="12.75" customHeight="1">
      <c r="A1173" s="381"/>
      <c r="B1173" s="389">
        <v>43990</v>
      </c>
      <c r="C1173" s="390">
        <v>2524.06</v>
      </c>
      <c r="D1173" s="393"/>
      <c r="E1173" s="392">
        <f t="shared" si="0"/>
        <v>1.6536447845348246E-2</v>
      </c>
      <c r="F1173" s="393"/>
      <c r="G1173" s="381"/>
      <c r="H1173" s="381"/>
      <c r="I1173" s="381"/>
      <c r="J1173" s="381"/>
      <c r="K1173" s="381"/>
      <c r="L1173" s="381"/>
      <c r="M1173" s="381"/>
      <c r="N1173" s="381"/>
      <c r="O1173" s="381"/>
      <c r="P1173" s="381"/>
      <c r="Q1173" s="381"/>
      <c r="R1173" s="381"/>
      <c r="S1173" s="381"/>
    </row>
    <row r="1174" spans="1:19" ht="12.75" customHeight="1">
      <c r="A1174" s="381"/>
      <c r="B1174" s="389">
        <v>43991</v>
      </c>
      <c r="C1174" s="390">
        <v>2600.86</v>
      </c>
      <c r="D1174" s="393"/>
      <c r="E1174" s="392">
        <f t="shared" si="0"/>
        <v>3.0427168926253856E-2</v>
      </c>
      <c r="F1174" s="393"/>
      <c r="G1174" s="381"/>
      <c r="H1174" s="381"/>
      <c r="I1174" s="381"/>
      <c r="J1174" s="381"/>
      <c r="K1174" s="381"/>
      <c r="L1174" s="381"/>
      <c r="M1174" s="381"/>
      <c r="N1174" s="381"/>
      <c r="O1174" s="381"/>
      <c r="P1174" s="381"/>
      <c r="Q1174" s="381"/>
      <c r="R1174" s="381"/>
      <c r="S1174" s="381"/>
    </row>
    <row r="1175" spans="1:19" ht="12.75" customHeight="1">
      <c r="A1175" s="381"/>
      <c r="B1175" s="389">
        <v>43992</v>
      </c>
      <c r="C1175" s="390">
        <v>2647.45</v>
      </c>
      <c r="D1175" s="393"/>
      <c r="E1175" s="392">
        <f t="shared" si="0"/>
        <v>1.7913305598917129E-2</v>
      </c>
      <c r="F1175" s="393"/>
      <c r="G1175" s="381"/>
      <c r="H1175" s="381"/>
      <c r="I1175" s="381"/>
      <c r="J1175" s="381"/>
      <c r="K1175" s="381"/>
      <c r="L1175" s="381"/>
      <c r="M1175" s="381"/>
      <c r="N1175" s="381"/>
      <c r="O1175" s="381"/>
      <c r="P1175" s="381"/>
      <c r="Q1175" s="381"/>
      <c r="R1175" s="381"/>
      <c r="S1175" s="381"/>
    </row>
    <row r="1176" spans="1:19" ht="12.75" customHeight="1">
      <c r="A1176" s="381"/>
      <c r="B1176" s="389">
        <v>43993</v>
      </c>
      <c r="C1176" s="390">
        <v>2557.96</v>
      </c>
      <c r="D1176" s="393"/>
      <c r="E1176" s="392">
        <f t="shared" si="0"/>
        <v>-3.38023380989253E-2</v>
      </c>
      <c r="F1176" s="393"/>
      <c r="G1176" s="381"/>
      <c r="H1176" s="381"/>
      <c r="I1176" s="381"/>
      <c r="J1176" s="381"/>
      <c r="K1176" s="381"/>
      <c r="L1176" s="381"/>
      <c r="M1176" s="381"/>
      <c r="N1176" s="381"/>
      <c r="O1176" s="381"/>
      <c r="P1176" s="381"/>
      <c r="Q1176" s="381"/>
      <c r="R1176" s="381"/>
      <c r="S1176" s="381"/>
    </row>
    <row r="1177" spans="1:19" ht="12.75" customHeight="1">
      <c r="A1177" s="381"/>
      <c r="B1177" s="389">
        <v>43994</v>
      </c>
      <c r="C1177" s="390">
        <v>2545.02</v>
      </c>
      <c r="D1177" s="393"/>
      <c r="E1177" s="392">
        <f t="shared" si="0"/>
        <v>-5.0587186664373673E-3</v>
      </c>
      <c r="F1177" s="393"/>
      <c r="G1177" s="381"/>
      <c r="H1177" s="381"/>
      <c r="I1177" s="381"/>
      <c r="J1177" s="381"/>
      <c r="K1177" s="381"/>
      <c r="L1177" s="381"/>
      <c r="M1177" s="381"/>
      <c r="N1177" s="381"/>
      <c r="O1177" s="381"/>
      <c r="P1177" s="381"/>
      <c r="Q1177" s="381"/>
      <c r="R1177" s="381"/>
      <c r="S1177" s="381"/>
    </row>
    <row r="1178" spans="1:19" ht="12.75" customHeight="1">
      <c r="A1178" s="381"/>
      <c r="B1178" s="389">
        <v>43997</v>
      </c>
      <c r="C1178" s="390">
        <v>2572.6799999999998</v>
      </c>
      <c r="D1178" s="393"/>
      <c r="E1178" s="392">
        <f t="shared" si="0"/>
        <v>1.0868283942758739E-2</v>
      </c>
      <c r="F1178" s="393"/>
      <c r="G1178" s="381"/>
      <c r="H1178" s="381"/>
      <c r="I1178" s="381"/>
      <c r="J1178" s="381"/>
      <c r="K1178" s="381"/>
      <c r="L1178" s="381"/>
      <c r="M1178" s="381"/>
      <c r="N1178" s="381"/>
      <c r="O1178" s="381"/>
      <c r="P1178" s="381"/>
      <c r="Q1178" s="381"/>
      <c r="R1178" s="381"/>
      <c r="S1178" s="381"/>
    </row>
    <row r="1179" spans="1:19" ht="12.75" customHeight="1">
      <c r="A1179" s="381"/>
      <c r="B1179" s="389">
        <v>43998</v>
      </c>
      <c r="C1179" s="390">
        <v>2615.27</v>
      </c>
      <c r="D1179" s="393"/>
      <c r="E1179" s="392">
        <f t="shared" si="0"/>
        <v>1.6554721146819773E-2</v>
      </c>
      <c r="F1179" s="393"/>
      <c r="G1179" s="381"/>
      <c r="H1179" s="381"/>
      <c r="I1179" s="381"/>
      <c r="J1179" s="381"/>
      <c r="K1179" s="381"/>
      <c r="L1179" s="381"/>
      <c r="M1179" s="381"/>
      <c r="N1179" s="381"/>
      <c r="O1179" s="381"/>
      <c r="P1179" s="381"/>
      <c r="Q1179" s="381"/>
      <c r="R1179" s="381"/>
      <c r="S1179" s="381"/>
    </row>
    <row r="1180" spans="1:19" ht="12.75" customHeight="1">
      <c r="A1180" s="381"/>
      <c r="B1180" s="389">
        <v>43999</v>
      </c>
      <c r="C1180" s="390">
        <v>2640.98</v>
      </c>
      <c r="D1180" s="393"/>
      <c r="E1180" s="392">
        <f t="shared" si="0"/>
        <v>9.8307249347104886E-3</v>
      </c>
      <c r="F1180" s="393"/>
      <c r="G1180" s="381"/>
      <c r="H1180" s="381"/>
      <c r="I1180" s="381"/>
      <c r="J1180" s="381"/>
      <c r="K1180" s="381"/>
      <c r="L1180" s="381"/>
      <c r="M1180" s="381"/>
      <c r="N1180" s="381"/>
      <c r="O1180" s="381"/>
      <c r="P1180" s="381"/>
      <c r="Q1180" s="381"/>
      <c r="R1180" s="381"/>
      <c r="S1180" s="381"/>
    </row>
    <row r="1181" spans="1:19" ht="12.75" customHeight="1">
      <c r="A1181" s="381"/>
      <c r="B1181" s="389">
        <v>44000</v>
      </c>
      <c r="C1181" s="390">
        <v>2653.98</v>
      </c>
      <c r="D1181" s="393"/>
      <c r="E1181" s="392">
        <f t="shared" si="0"/>
        <v>4.9224151640678837E-3</v>
      </c>
      <c r="F1181" s="393"/>
      <c r="G1181" s="381"/>
      <c r="H1181" s="381"/>
      <c r="I1181" s="381"/>
      <c r="J1181" s="381"/>
      <c r="K1181" s="381"/>
      <c r="L1181" s="381"/>
      <c r="M1181" s="381"/>
      <c r="N1181" s="381"/>
      <c r="O1181" s="381"/>
      <c r="P1181" s="381"/>
      <c r="Q1181" s="381"/>
      <c r="R1181" s="381"/>
      <c r="S1181" s="381"/>
    </row>
    <row r="1182" spans="1:19" ht="12.75" customHeight="1">
      <c r="A1182" s="381"/>
      <c r="B1182" s="389">
        <v>44001</v>
      </c>
      <c r="C1182" s="390">
        <v>2675.01</v>
      </c>
      <c r="D1182" s="393"/>
      <c r="E1182" s="392">
        <f t="shared" si="0"/>
        <v>7.923948183482965E-3</v>
      </c>
      <c r="F1182" s="393"/>
      <c r="G1182" s="381"/>
      <c r="H1182" s="381"/>
      <c r="I1182" s="381"/>
      <c r="J1182" s="381"/>
      <c r="K1182" s="381"/>
      <c r="L1182" s="381"/>
      <c r="M1182" s="381"/>
      <c r="N1182" s="381"/>
      <c r="O1182" s="381"/>
      <c r="P1182" s="381"/>
      <c r="Q1182" s="381"/>
      <c r="R1182" s="381"/>
      <c r="S1182" s="381"/>
    </row>
    <row r="1183" spans="1:19" ht="12.75" customHeight="1">
      <c r="A1183" s="381"/>
      <c r="B1183" s="389">
        <v>44004</v>
      </c>
      <c r="C1183" s="390">
        <v>2713.82</v>
      </c>
      <c r="D1183" s="393"/>
      <c r="E1183" s="392">
        <f t="shared" si="0"/>
        <v>1.4508356978104819E-2</v>
      </c>
      <c r="F1183" s="393"/>
      <c r="G1183" s="381"/>
      <c r="H1183" s="381"/>
      <c r="I1183" s="381"/>
      <c r="J1183" s="381"/>
      <c r="K1183" s="381"/>
      <c r="L1183" s="381"/>
      <c r="M1183" s="381"/>
      <c r="N1183" s="381"/>
      <c r="O1183" s="381"/>
      <c r="P1183" s="381"/>
      <c r="Q1183" s="381"/>
      <c r="R1183" s="381"/>
      <c r="S1183" s="381"/>
    </row>
    <row r="1184" spans="1:19" ht="12.75" customHeight="1">
      <c r="A1184" s="381"/>
      <c r="B1184" s="389">
        <v>44005</v>
      </c>
      <c r="C1184" s="390">
        <v>2764.41</v>
      </c>
      <c r="D1184" s="393"/>
      <c r="E1184" s="392">
        <f t="shared" si="0"/>
        <v>1.8641619562093092E-2</v>
      </c>
      <c r="F1184" s="393"/>
      <c r="G1184" s="381"/>
      <c r="H1184" s="381"/>
      <c r="I1184" s="381"/>
      <c r="J1184" s="381"/>
      <c r="K1184" s="381"/>
      <c r="L1184" s="381"/>
      <c r="M1184" s="381"/>
      <c r="N1184" s="381"/>
      <c r="O1184" s="381"/>
      <c r="P1184" s="381"/>
      <c r="Q1184" s="381"/>
      <c r="R1184" s="381"/>
      <c r="S1184" s="381"/>
    </row>
    <row r="1185" spans="1:19" ht="12.75" customHeight="1">
      <c r="A1185" s="381"/>
      <c r="B1185" s="389">
        <v>44006</v>
      </c>
      <c r="C1185" s="390">
        <v>2734.4</v>
      </c>
      <c r="D1185" s="393"/>
      <c r="E1185" s="392">
        <f t="shared" si="0"/>
        <v>-1.0855842657203407E-2</v>
      </c>
      <c r="F1185" s="393"/>
      <c r="G1185" s="381"/>
      <c r="H1185" s="381"/>
      <c r="I1185" s="381"/>
      <c r="J1185" s="381"/>
      <c r="K1185" s="381"/>
      <c r="L1185" s="381"/>
      <c r="M1185" s="381"/>
      <c r="N1185" s="381"/>
      <c r="O1185" s="381"/>
      <c r="P1185" s="381"/>
      <c r="Q1185" s="381"/>
      <c r="R1185" s="381"/>
      <c r="S1185" s="381"/>
    </row>
    <row r="1186" spans="1:19" ht="12.75" customHeight="1">
      <c r="A1186" s="381"/>
      <c r="B1186" s="389">
        <v>44007</v>
      </c>
      <c r="C1186" s="390">
        <v>2754.58</v>
      </c>
      <c r="D1186" s="393"/>
      <c r="E1186" s="392">
        <f t="shared" si="0"/>
        <v>7.3800468110005735E-3</v>
      </c>
      <c r="F1186" s="393"/>
      <c r="G1186" s="381"/>
      <c r="H1186" s="381"/>
      <c r="I1186" s="381"/>
      <c r="J1186" s="381"/>
      <c r="K1186" s="381"/>
      <c r="L1186" s="381"/>
      <c r="M1186" s="381"/>
      <c r="N1186" s="381"/>
      <c r="O1186" s="381"/>
      <c r="P1186" s="381"/>
      <c r="Q1186" s="381"/>
      <c r="R1186" s="381"/>
      <c r="S1186" s="381"/>
    </row>
    <row r="1187" spans="1:19" ht="12.75" customHeight="1">
      <c r="A1187" s="381"/>
      <c r="B1187" s="389">
        <v>44008</v>
      </c>
      <c r="C1187" s="390">
        <v>2692.87</v>
      </c>
      <c r="D1187" s="393"/>
      <c r="E1187" s="392">
        <f t="shared" si="0"/>
        <v>-2.2402689339209636E-2</v>
      </c>
      <c r="F1187" s="393"/>
      <c r="G1187" s="381"/>
      <c r="H1187" s="381"/>
      <c r="I1187" s="381"/>
      <c r="J1187" s="381"/>
      <c r="K1187" s="381"/>
      <c r="L1187" s="381"/>
      <c r="M1187" s="381"/>
      <c r="N1187" s="381"/>
      <c r="O1187" s="381"/>
      <c r="P1187" s="381"/>
      <c r="Q1187" s="381"/>
      <c r="R1187" s="381"/>
      <c r="S1187" s="381"/>
    </row>
    <row r="1188" spans="1:19" ht="12.75" customHeight="1">
      <c r="A1188" s="381"/>
      <c r="B1188" s="389">
        <v>44011</v>
      </c>
      <c r="C1188" s="390">
        <v>2680.38</v>
      </c>
      <c r="D1188" s="393"/>
      <c r="E1188" s="392">
        <f t="shared" si="0"/>
        <v>-4.6381741413434874E-3</v>
      </c>
      <c r="F1188" s="393"/>
      <c r="G1188" s="381"/>
      <c r="H1188" s="381"/>
      <c r="I1188" s="381"/>
      <c r="J1188" s="381"/>
      <c r="K1188" s="381"/>
      <c r="L1188" s="381"/>
      <c r="M1188" s="381"/>
      <c r="N1188" s="381"/>
      <c r="O1188" s="381"/>
      <c r="P1188" s="381"/>
      <c r="Q1188" s="381"/>
      <c r="R1188" s="381"/>
      <c r="S1188" s="381"/>
    </row>
    <row r="1189" spans="1:19" ht="12.75" customHeight="1">
      <c r="A1189" s="381"/>
      <c r="B1189" s="389">
        <v>44012</v>
      </c>
      <c r="C1189" s="390">
        <v>2758.82</v>
      </c>
      <c r="D1189" s="393"/>
      <c r="E1189" s="392">
        <f t="shared" si="0"/>
        <v>2.9264507271357099E-2</v>
      </c>
      <c r="F1189" s="393"/>
      <c r="G1189" s="381"/>
      <c r="H1189" s="381"/>
      <c r="I1189" s="381"/>
      <c r="J1189" s="381"/>
      <c r="K1189" s="381"/>
      <c r="L1189" s="381"/>
      <c r="M1189" s="381"/>
      <c r="N1189" s="381"/>
      <c r="O1189" s="381"/>
      <c r="P1189" s="381"/>
      <c r="Q1189" s="381"/>
      <c r="R1189" s="381"/>
      <c r="S1189" s="381"/>
    </row>
    <row r="1190" spans="1:19" ht="12.75" customHeight="1">
      <c r="A1190" s="381"/>
      <c r="B1190" s="389">
        <v>44013</v>
      </c>
      <c r="C1190" s="390">
        <v>2878.7</v>
      </c>
      <c r="D1190" s="393"/>
      <c r="E1190" s="392">
        <f t="shared" si="0"/>
        <v>4.3453360494704052E-2</v>
      </c>
      <c r="F1190" s="393"/>
      <c r="G1190" s="381"/>
      <c r="H1190" s="381"/>
      <c r="I1190" s="381"/>
      <c r="J1190" s="381"/>
      <c r="K1190" s="381"/>
      <c r="L1190" s="381"/>
      <c r="M1190" s="381"/>
      <c r="N1190" s="381"/>
      <c r="O1190" s="381"/>
      <c r="P1190" s="381"/>
      <c r="Q1190" s="381"/>
      <c r="R1190" s="381"/>
      <c r="S1190" s="381"/>
    </row>
    <row r="1191" spans="1:19" ht="12.75" customHeight="1">
      <c r="A1191" s="381"/>
      <c r="B1191" s="389">
        <v>44014</v>
      </c>
      <c r="C1191" s="390">
        <v>2890.3</v>
      </c>
      <c r="D1191" s="393"/>
      <c r="E1191" s="392">
        <f t="shared" si="0"/>
        <v>4.0295966929517757E-3</v>
      </c>
      <c r="F1191" s="393"/>
      <c r="G1191" s="381"/>
      <c r="H1191" s="381"/>
      <c r="I1191" s="381"/>
      <c r="J1191" s="381"/>
      <c r="K1191" s="381"/>
      <c r="L1191" s="381"/>
      <c r="M1191" s="381"/>
      <c r="N1191" s="381"/>
      <c r="O1191" s="381"/>
      <c r="P1191" s="381"/>
      <c r="Q1191" s="381"/>
      <c r="R1191" s="381"/>
      <c r="S1191" s="381"/>
    </row>
    <row r="1192" spans="1:19" ht="12.75" customHeight="1">
      <c r="A1192" s="381"/>
      <c r="B1192" s="389">
        <v>44018</v>
      </c>
      <c r="C1192" s="390">
        <v>3057.04</v>
      </c>
      <c r="D1192" s="393"/>
      <c r="E1192" s="392">
        <f t="shared" si="0"/>
        <v>5.7689513199321807E-2</v>
      </c>
      <c r="F1192" s="393"/>
      <c r="G1192" s="381"/>
      <c r="H1192" s="381"/>
      <c r="I1192" s="381"/>
      <c r="J1192" s="381"/>
      <c r="K1192" s="381"/>
      <c r="L1192" s="381"/>
      <c r="M1192" s="381"/>
      <c r="N1192" s="381"/>
      <c r="O1192" s="381"/>
      <c r="P1192" s="381"/>
      <c r="Q1192" s="381"/>
      <c r="R1192" s="381"/>
      <c r="S1192" s="381"/>
    </row>
    <row r="1193" spans="1:19" ht="12.75" customHeight="1">
      <c r="A1193" s="381"/>
      <c r="B1193" s="389">
        <v>44019</v>
      </c>
      <c r="C1193" s="390">
        <v>3000.12</v>
      </c>
      <c r="D1193" s="393"/>
      <c r="E1193" s="392">
        <f t="shared" si="0"/>
        <v>-1.8619318033130106E-2</v>
      </c>
      <c r="F1193" s="393"/>
      <c r="G1193" s="381"/>
      <c r="H1193" s="381"/>
      <c r="I1193" s="381"/>
      <c r="J1193" s="381"/>
      <c r="K1193" s="381"/>
      <c r="L1193" s="381"/>
      <c r="M1193" s="381"/>
      <c r="N1193" s="381"/>
      <c r="O1193" s="381"/>
      <c r="P1193" s="381"/>
      <c r="Q1193" s="381"/>
      <c r="R1193" s="381"/>
      <c r="S1193" s="381"/>
    </row>
    <row r="1194" spans="1:19" ht="12.75" customHeight="1">
      <c r="A1194" s="381"/>
      <c r="B1194" s="389">
        <v>44020</v>
      </c>
      <c r="C1194" s="390">
        <v>3081.11</v>
      </c>
      <c r="D1194" s="393"/>
      <c r="E1194" s="392">
        <f t="shared" si="0"/>
        <v>2.6995586843193031E-2</v>
      </c>
      <c r="F1194" s="393"/>
      <c r="G1194" s="381"/>
      <c r="H1194" s="381"/>
      <c r="I1194" s="381"/>
      <c r="J1194" s="381"/>
      <c r="K1194" s="381"/>
      <c r="L1194" s="381"/>
      <c r="M1194" s="381"/>
      <c r="N1194" s="381"/>
      <c r="O1194" s="381"/>
      <c r="P1194" s="381"/>
      <c r="Q1194" s="381"/>
      <c r="R1194" s="381"/>
      <c r="S1194" s="381"/>
    </row>
    <row r="1195" spans="1:19" ht="12.75" customHeight="1">
      <c r="A1195" s="381"/>
      <c r="B1195" s="389">
        <v>44021</v>
      </c>
      <c r="C1195" s="390">
        <v>3182.63</v>
      </c>
      <c r="D1195" s="393"/>
      <c r="E1195" s="392">
        <f t="shared" si="0"/>
        <v>3.2949164424509236E-2</v>
      </c>
      <c r="F1195" s="393"/>
      <c r="G1195" s="381"/>
      <c r="H1195" s="381"/>
      <c r="I1195" s="381"/>
      <c r="J1195" s="381"/>
      <c r="K1195" s="381"/>
      <c r="L1195" s="381"/>
      <c r="M1195" s="381"/>
      <c r="N1195" s="381"/>
      <c r="O1195" s="381"/>
      <c r="P1195" s="381"/>
      <c r="Q1195" s="381"/>
      <c r="R1195" s="381"/>
      <c r="S1195" s="381"/>
    </row>
    <row r="1196" spans="1:19" ht="12.75" customHeight="1">
      <c r="A1196" s="381"/>
      <c r="B1196" s="389">
        <v>44022</v>
      </c>
      <c r="C1196" s="390">
        <v>3200</v>
      </c>
      <c r="D1196" s="393"/>
      <c r="E1196" s="392">
        <f t="shared" si="0"/>
        <v>5.4577503511246128E-3</v>
      </c>
      <c r="F1196" s="393"/>
      <c r="G1196" s="381"/>
      <c r="H1196" s="381"/>
      <c r="I1196" s="381"/>
      <c r="J1196" s="381"/>
      <c r="K1196" s="381"/>
      <c r="L1196" s="381"/>
      <c r="M1196" s="381"/>
      <c r="N1196" s="381"/>
      <c r="O1196" s="381"/>
      <c r="P1196" s="381"/>
      <c r="Q1196" s="381"/>
      <c r="R1196" s="381"/>
      <c r="S1196" s="381"/>
    </row>
    <row r="1197" spans="1:19" ht="12.75" customHeight="1">
      <c r="A1197" s="381"/>
      <c r="B1197" s="389">
        <v>44025</v>
      </c>
      <c r="C1197" s="390">
        <v>3104</v>
      </c>
      <c r="D1197" s="393"/>
      <c r="E1197" s="392">
        <f t="shared" si="0"/>
        <v>-3.0000000000000027E-2</v>
      </c>
      <c r="F1197" s="393"/>
      <c r="G1197" s="381"/>
      <c r="H1197" s="381"/>
      <c r="I1197" s="381"/>
      <c r="J1197" s="381"/>
      <c r="K1197" s="381"/>
      <c r="L1197" s="381"/>
      <c r="M1197" s="381"/>
      <c r="N1197" s="381"/>
      <c r="O1197" s="381"/>
      <c r="P1197" s="381"/>
      <c r="Q1197" s="381"/>
      <c r="R1197" s="381"/>
      <c r="S1197" s="381"/>
    </row>
    <row r="1198" spans="1:19" ht="12.75" customHeight="1">
      <c r="A1198" s="381"/>
      <c r="B1198" s="389">
        <v>44026</v>
      </c>
      <c r="C1198" s="390">
        <v>3084</v>
      </c>
      <c r="D1198" s="393"/>
      <c r="E1198" s="392">
        <f t="shared" si="0"/>
        <v>-6.4432989690721421E-3</v>
      </c>
      <c r="F1198" s="393"/>
      <c r="G1198" s="381"/>
      <c r="H1198" s="381"/>
      <c r="I1198" s="381"/>
      <c r="J1198" s="381"/>
      <c r="K1198" s="381"/>
      <c r="L1198" s="381"/>
      <c r="M1198" s="381"/>
      <c r="N1198" s="381"/>
      <c r="O1198" s="381"/>
      <c r="P1198" s="381"/>
      <c r="Q1198" s="381"/>
      <c r="R1198" s="381"/>
      <c r="S1198" s="381"/>
    </row>
    <row r="1199" spans="1:19" ht="12.75" customHeight="1">
      <c r="A1199" s="381"/>
      <c r="B1199" s="389">
        <v>44027</v>
      </c>
      <c r="C1199" s="390">
        <v>3008.87</v>
      </c>
      <c r="D1199" s="393"/>
      <c r="E1199" s="392">
        <f t="shared" si="0"/>
        <v>-2.4361219195849548E-2</v>
      </c>
      <c r="F1199" s="393"/>
      <c r="G1199" s="381"/>
      <c r="H1199" s="381"/>
      <c r="I1199" s="381"/>
      <c r="J1199" s="381"/>
      <c r="K1199" s="381"/>
      <c r="L1199" s="381"/>
      <c r="M1199" s="381"/>
      <c r="N1199" s="381"/>
      <c r="O1199" s="381"/>
      <c r="P1199" s="381"/>
      <c r="Q1199" s="381"/>
      <c r="R1199" s="381"/>
      <c r="S1199" s="381"/>
    </row>
    <row r="1200" spans="1:19" ht="12.75" customHeight="1">
      <c r="A1200" s="381"/>
      <c r="B1200" s="389">
        <v>44028</v>
      </c>
      <c r="C1200" s="390">
        <v>2999.9</v>
      </c>
      <c r="D1200" s="393"/>
      <c r="E1200" s="392">
        <f t="shared" si="0"/>
        <v>-2.9811856278270099E-3</v>
      </c>
      <c r="F1200" s="393"/>
      <c r="G1200" s="381"/>
      <c r="H1200" s="381"/>
      <c r="I1200" s="381"/>
      <c r="J1200" s="381"/>
      <c r="K1200" s="381"/>
      <c r="L1200" s="381"/>
      <c r="M1200" s="381"/>
      <c r="N1200" s="381"/>
      <c r="O1200" s="381"/>
      <c r="P1200" s="381"/>
      <c r="Q1200" s="381"/>
      <c r="R1200" s="381"/>
      <c r="S1200" s="381"/>
    </row>
    <row r="1201" spans="1:19" ht="12.75" customHeight="1">
      <c r="A1201" s="381"/>
      <c r="B1201" s="389">
        <v>44029</v>
      </c>
      <c r="C1201" s="390">
        <v>2961.97</v>
      </c>
      <c r="D1201" s="393"/>
      <c r="E1201" s="392">
        <f t="shared" si="0"/>
        <v>-1.2643754791826445E-2</v>
      </c>
      <c r="F1201" s="393"/>
      <c r="G1201" s="381"/>
      <c r="H1201" s="381"/>
      <c r="I1201" s="381"/>
      <c r="J1201" s="381"/>
      <c r="K1201" s="381"/>
      <c r="L1201" s="381"/>
      <c r="M1201" s="381"/>
      <c r="N1201" s="381"/>
      <c r="O1201" s="381"/>
      <c r="P1201" s="381"/>
      <c r="Q1201" s="381"/>
      <c r="R1201" s="381"/>
      <c r="S1201" s="381"/>
    </row>
    <row r="1202" spans="1:19" ht="12.75" customHeight="1">
      <c r="A1202" s="381"/>
      <c r="B1202" s="389">
        <v>44032</v>
      </c>
      <c r="C1202" s="390">
        <v>3196.84</v>
      </c>
      <c r="D1202" s="393"/>
      <c r="E1202" s="392">
        <f t="shared" si="0"/>
        <v>7.9295198803499112E-2</v>
      </c>
      <c r="F1202" s="393"/>
      <c r="G1202" s="381"/>
      <c r="H1202" s="381"/>
      <c r="I1202" s="381"/>
      <c r="J1202" s="381"/>
      <c r="K1202" s="381"/>
      <c r="L1202" s="381"/>
      <c r="M1202" s="381"/>
      <c r="N1202" s="381"/>
      <c r="O1202" s="381"/>
      <c r="P1202" s="381"/>
      <c r="Q1202" s="381"/>
      <c r="R1202" s="381"/>
      <c r="S1202" s="381"/>
    </row>
    <row r="1203" spans="1:19" ht="12.75" customHeight="1">
      <c r="A1203" s="381"/>
      <c r="B1203" s="389">
        <v>44033</v>
      </c>
      <c r="C1203" s="390">
        <v>3138.29</v>
      </c>
      <c r="D1203" s="393"/>
      <c r="E1203" s="392">
        <f t="shared" si="0"/>
        <v>-1.8314961024011311E-2</v>
      </c>
      <c r="F1203" s="393"/>
      <c r="G1203" s="381"/>
      <c r="H1203" s="381"/>
      <c r="I1203" s="381"/>
      <c r="J1203" s="381"/>
      <c r="K1203" s="381"/>
      <c r="L1203" s="381"/>
      <c r="M1203" s="381"/>
      <c r="N1203" s="381"/>
      <c r="O1203" s="381"/>
      <c r="P1203" s="381"/>
      <c r="Q1203" s="381"/>
      <c r="R1203" s="381"/>
      <c r="S1203" s="381"/>
    </row>
    <row r="1204" spans="1:19" ht="12.75" customHeight="1">
      <c r="A1204" s="381"/>
      <c r="B1204" s="389">
        <v>44034</v>
      </c>
      <c r="C1204" s="390">
        <v>3099.91</v>
      </c>
      <c r="D1204" s="393"/>
      <c r="E1204" s="392">
        <f t="shared" si="0"/>
        <v>-1.2229589999649515E-2</v>
      </c>
      <c r="F1204" s="393"/>
      <c r="G1204" s="381"/>
      <c r="H1204" s="381"/>
      <c r="I1204" s="381"/>
      <c r="J1204" s="381"/>
      <c r="K1204" s="381"/>
      <c r="L1204" s="381"/>
      <c r="M1204" s="381"/>
      <c r="N1204" s="381"/>
      <c r="O1204" s="381"/>
      <c r="P1204" s="381"/>
      <c r="Q1204" s="381"/>
      <c r="R1204" s="381"/>
      <c r="S1204" s="381"/>
    </row>
    <row r="1205" spans="1:19" ht="12.75" customHeight="1">
      <c r="A1205" s="381"/>
      <c r="B1205" s="389">
        <v>44035</v>
      </c>
      <c r="C1205" s="390">
        <v>2986.55</v>
      </c>
      <c r="D1205" s="393"/>
      <c r="E1205" s="392">
        <f t="shared" si="0"/>
        <v>-3.6568803610427247E-2</v>
      </c>
      <c r="F1205" s="393"/>
      <c r="G1205" s="381"/>
      <c r="H1205" s="381"/>
      <c r="I1205" s="381"/>
      <c r="J1205" s="381"/>
      <c r="K1205" s="381"/>
      <c r="L1205" s="381"/>
      <c r="M1205" s="381"/>
      <c r="N1205" s="381"/>
      <c r="O1205" s="381"/>
      <c r="P1205" s="381"/>
      <c r="Q1205" s="381"/>
      <c r="R1205" s="381"/>
      <c r="S1205" s="381"/>
    </row>
    <row r="1206" spans="1:19" ht="12.75" customHeight="1">
      <c r="A1206" s="381"/>
      <c r="B1206" s="389">
        <v>44036</v>
      </c>
      <c r="C1206" s="390">
        <v>3008.91</v>
      </c>
      <c r="D1206" s="393"/>
      <c r="E1206" s="392">
        <f t="shared" si="0"/>
        <v>7.4868995998726984E-3</v>
      </c>
      <c r="F1206" s="393"/>
      <c r="G1206" s="381"/>
      <c r="H1206" s="381"/>
      <c r="I1206" s="381"/>
      <c r="J1206" s="381"/>
      <c r="K1206" s="381"/>
      <c r="L1206" s="381"/>
      <c r="M1206" s="381"/>
      <c r="N1206" s="381"/>
      <c r="O1206" s="381"/>
      <c r="P1206" s="381"/>
      <c r="Q1206" s="381"/>
      <c r="R1206" s="381"/>
      <c r="S1206" s="381"/>
    </row>
    <row r="1207" spans="1:19" ht="12.75" customHeight="1">
      <c r="A1207" s="381"/>
      <c r="B1207" s="389">
        <v>44039</v>
      </c>
      <c r="C1207" s="390">
        <v>3055.21</v>
      </c>
      <c r="D1207" s="393"/>
      <c r="E1207" s="392">
        <f t="shared" si="0"/>
        <v>1.5387632066097057E-2</v>
      </c>
      <c r="F1207" s="393"/>
      <c r="G1207" s="381"/>
      <c r="H1207" s="381"/>
      <c r="I1207" s="381"/>
      <c r="J1207" s="381"/>
      <c r="K1207" s="381"/>
      <c r="L1207" s="381"/>
      <c r="M1207" s="381"/>
      <c r="N1207" s="381"/>
      <c r="O1207" s="381"/>
      <c r="P1207" s="381"/>
      <c r="Q1207" s="381"/>
      <c r="R1207" s="381"/>
      <c r="S1207" s="381"/>
    </row>
    <row r="1208" spans="1:19" ht="12.75" customHeight="1">
      <c r="A1208" s="381"/>
      <c r="B1208" s="389">
        <v>44040</v>
      </c>
      <c r="C1208" s="390">
        <v>3000.33</v>
      </c>
      <c r="D1208" s="393"/>
      <c r="E1208" s="392">
        <f t="shared" si="0"/>
        <v>-1.796275869743813E-2</v>
      </c>
      <c r="F1208" s="393"/>
      <c r="G1208" s="381"/>
      <c r="H1208" s="381"/>
      <c r="I1208" s="381"/>
      <c r="J1208" s="381"/>
      <c r="K1208" s="381"/>
      <c r="L1208" s="381"/>
      <c r="M1208" s="381"/>
      <c r="N1208" s="381"/>
      <c r="O1208" s="381"/>
      <c r="P1208" s="381"/>
      <c r="Q1208" s="381"/>
      <c r="R1208" s="381"/>
      <c r="S1208" s="381"/>
    </row>
    <row r="1209" spans="1:19" ht="12.75" customHeight="1">
      <c r="A1209" s="381"/>
      <c r="B1209" s="389">
        <v>44041</v>
      </c>
      <c r="C1209" s="390">
        <v>3033.53</v>
      </c>
      <c r="D1209" s="393"/>
      <c r="E1209" s="392">
        <f t="shared" si="0"/>
        <v>1.1065449467225319E-2</v>
      </c>
      <c r="F1209" s="393"/>
      <c r="G1209" s="381"/>
      <c r="H1209" s="381"/>
      <c r="I1209" s="381"/>
      <c r="J1209" s="381"/>
      <c r="K1209" s="381"/>
      <c r="L1209" s="381"/>
      <c r="M1209" s="381"/>
      <c r="N1209" s="381"/>
      <c r="O1209" s="381"/>
      <c r="P1209" s="381"/>
      <c r="Q1209" s="381"/>
      <c r="R1209" s="381"/>
      <c r="S1209" s="381"/>
    </row>
    <row r="1210" spans="1:19" ht="12.75" customHeight="1">
      <c r="A1210" s="381"/>
      <c r="B1210" s="389">
        <v>44042</v>
      </c>
      <c r="C1210" s="390">
        <v>3051.88</v>
      </c>
      <c r="D1210" s="393"/>
      <c r="E1210" s="392">
        <f t="shared" si="0"/>
        <v>6.0490583577548218E-3</v>
      </c>
      <c r="F1210" s="393"/>
      <c r="G1210" s="381"/>
      <c r="H1210" s="381"/>
      <c r="I1210" s="381"/>
      <c r="J1210" s="381"/>
      <c r="K1210" s="381"/>
      <c r="L1210" s="381"/>
      <c r="M1210" s="381"/>
      <c r="N1210" s="381"/>
      <c r="O1210" s="381"/>
      <c r="P1210" s="381"/>
      <c r="Q1210" s="381"/>
      <c r="R1210" s="381"/>
      <c r="S1210" s="381"/>
    </row>
    <row r="1211" spans="1:19" ht="12.75" customHeight="1">
      <c r="A1211" s="381"/>
      <c r="B1211" s="389">
        <v>44043</v>
      </c>
      <c r="C1211" s="390">
        <v>3164.68</v>
      </c>
      <c r="D1211" s="393"/>
      <c r="E1211" s="392">
        <f t="shared" si="0"/>
        <v>3.696082414773838E-2</v>
      </c>
      <c r="F1211" s="393"/>
      <c r="G1211" s="381"/>
      <c r="H1211" s="381"/>
      <c r="I1211" s="381"/>
      <c r="J1211" s="381"/>
      <c r="K1211" s="381"/>
      <c r="L1211" s="381"/>
      <c r="M1211" s="381"/>
      <c r="N1211" s="381"/>
      <c r="O1211" s="381"/>
      <c r="P1211" s="381"/>
      <c r="Q1211" s="381"/>
      <c r="R1211" s="381"/>
      <c r="S1211" s="381"/>
    </row>
    <row r="1212" spans="1:19" ht="12.75" customHeight="1">
      <c r="A1212" s="381"/>
      <c r="B1212" s="389">
        <v>44046</v>
      </c>
      <c r="C1212" s="390">
        <v>3111.89</v>
      </c>
      <c r="D1212" s="393"/>
      <c r="E1212" s="392">
        <f t="shared" si="0"/>
        <v>-1.6680991443052684E-2</v>
      </c>
      <c r="F1212" s="393"/>
      <c r="G1212" s="381"/>
      <c r="H1212" s="381"/>
      <c r="I1212" s="381"/>
      <c r="J1212" s="381"/>
      <c r="K1212" s="381"/>
      <c r="L1212" s="381"/>
      <c r="M1212" s="381"/>
      <c r="N1212" s="381"/>
      <c r="O1212" s="381"/>
      <c r="P1212" s="381"/>
      <c r="Q1212" s="381"/>
      <c r="R1212" s="381"/>
      <c r="S1212" s="381"/>
    </row>
    <row r="1213" spans="1:19" ht="12.75" customHeight="1">
      <c r="A1213" s="381"/>
      <c r="B1213" s="389">
        <v>44047</v>
      </c>
      <c r="C1213" s="390">
        <v>3138.83</v>
      </c>
      <c r="D1213" s="393"/>
      <c r="E1213" s="392">
        <f t="shared" si="0"/>
        <v>8.6571183428720833E-3</v>
      </c>
      <c r="F1213" s="393"/>
      <c r="G1213" s="381"/>
      <c r="H1213" s="381"/>
      <c r="I1213" s="381"/>
      <c r="J1213" s="381"/>
      <c r="K1213" s="381"/>
      <c r="L1213" s="381"/>
      <c r="M1213" s="381"/>
      <c r="N1213" s="381"/>
      <c r="O1213" s="381"/>
      <c r="P1213" s="381"/>
      <c r="Q1213" s="381"/>
      <c r="R1213" s="381"/>
      <c r="S1213" s="381"/>
    </row>
    <row r="1214" spans="1:19" ht="12.75" customHeight="1">
      <c r="A1214" s="381"/>
      <c r="B1214" s="389">
        <v>44048</v>
      </c>
      <c r="C1214" s="390">
        <v>3205.03</v>
      </c>
      <c r="D1214" s="393"/>
      <c r="E1214" s="392">
        <f t="shared" si="0"/>
        <v>2.1090661169926417E-2</v>
      </c>
      <c r="F1214" s="393"/>
      <c r="G1214" s="381"/>
      <c r="H1214" s="381"/>
      <c r="I1214" s="381"/>
      <c r="J1214" s="381"/>
      <c r="K1214" s="381"/>
      <c r="L1214" s="381"/>
      <c r="M1214" s="381"/>
      <c r="N1214" s="381"/>
      <c r="O1214" s="381"/>
      <c r="P1214" s="381"/>
      <c r="Q1214" s="381"/>
      <c r="R1214" s="381"/>
      <c r="S1214" s="381"/>
    </row>
    <row r="1215" spans="1:19" ht="12.75" customHeight="1">
      <c r="A1215" s="381"/>
      <c r="B1215" s="389">
        <v>44049</v>
      </c>
      <c r="C1215" s="390">
        <v>3225</v>
      </c>
      <c r="D1215" s="393"/>
      <c r="E1215" s="392">
        <f t="shared" si="0"/>
        <v>6.23083091265908E-3</v>
      </c>
      <c r="F1215" s="393"/>
      <c r="G1215" s="381"/>
      <c r="H1215" s="381"/>
      <c r="I1215" s="381"/>
      <c r="J1215" s="381"/>
      <c r="K1215" s="381"/>
      <c r="L1215" s="381"/>
      <c r="M1215" s="381"/>
      <c r="N1215" s="381"/>
      <c r="O1215" s="381"/>
      <c r="P1215" s="381"/>
      <c r="Q1215" s="381"/>
      <c r="R1215" s="381"/>
      <c r="S1215" s="381"/>
    </row>
    <row r="1216" spans="1:19" ht="12.75" customHeight="1">
      <c r="A1216" s="381"/>
      <c r="B1216" s="389">
        <v>44050</v>
      </c>
      <c r="C1216" s="390">
        <v>3167.46</v>
      </c>
      <c r="D1216" s="393"/>
      <c r="E1216" s="392">
        <f t="shared" si="0"/>
        <v>-1.7841860465116266E-2</v>
      </c>
      <c r="F1216" s="393"/>
      <c r="G1216" s="381"/>
      <c r="H1216" s="381"/>
      <c r="I1216" s="381"/>
      <c r="J1216" s="381"/>
      <c r="K1216" s="381"/>
      <c r="L1216" s="381"/>
      <c r="M1216" s="381"/>
      <c r="N1216" s="381"/>
      <c r="O1216" s="381"/>
      <c r="P1216" s="381"/>
      <c r="Q1216" s="381"/>
      <c r="R1216" s="381"/>
      <c r="S1216" s="381"/>
    </row>
    <row r="1217" spans="1:19" ht="12.75" customHeight="1">
      <c r="A1217" s="381"/>
      <c r="B1217" s="389">
        <v>44053</v>
      </c>
      <c r="C1217" s="390">
        <v>3148.16</v>
      </c>
      <c r="D1217" s="393"/>
      <c r="E1217" s="392">
        <f t="shared" si="0"/>
        <v>-6.0932103325693765E-3</v>
      </c>
      <c r="F1217" s="393"/>
      <c r="G1217" s="381"/>
      <c r="H1217" s="381"/>
      <c r="I1217" s="381"/>
      <c r="J1217" s="381"/>
      <c r="K1217" s="381"/>
      <c r="L1217" s="381"/>
      <c r="M1217" s="381"/>
      <c r="N1217" s="381"/>
      <c r="O1217" s="381"/>
      <c r="P1217" s="381"/>
      <c r="Q1217" s="381"/>
      <c r="R1217" s="381"/>
      <c r="S1217" s="381"/>
    </row>
    <row r="1218" spans="1:19" ht="12.75" customHeight="1">
      <c r="A1218" s="381"/>
      <c r="B1218" s="389">
        <v>44054</v>
      </c>
      <c r="C1218" s="390">
        <v>3080.67</v>
      </c>
      <c r="D1218" s="393"/>
      <c r="E1218" s="392">
        <f t="shared" si="0"/>
        <v>-2.1437919292539021E-2</v>
      </c>
      <c r="F1218" s="393"/>
      <c r="G1218" s="381"/>
      <c r="H1218" s="381"/>
      <c r="I1218" s="381"/>
      <c r="J1218" s="381"/>
      <c r="K1218" s="381"/>
      <c r="L1218" s="381"/>
      <c r="M1218" s="381"/>
      <c r="N1218" s="381"/>
      <c r="O1218" s="381"/>
      <c r="P1218" s="381"/>
      <c r="Q1218" s="381"/>
      <c r="R1218" s="381"/>
      <c r="S1218" s="381"/>
    </row>
    <row r="1219" spans="1:19" ht="12.75" customHeight="1">
      <c r="A1219" s="381"/>
      <c r="B1219" s="389">
        <v>44055</v>
      </c>
      <c r="C1219" s="390">
        <v>3162.24</v>
      </c>
      <c r="D1219" s="393"/>
      <c r="E1219" s="392">
        <f t="shared" si="0"/>
        <v>2.6478006407697041E-2</v>
      </c>
      <c r="F1219" s="393"/>
      <c r="G1219" s="381"/>
      <c r="H1219" s="381"/>
      <c r="I1219" s="381"/>
      <c r="J1219" s="381"/>
      <c r="K1219" s="381"/>
      <c r="L1219" s="381"/>
      <c r="M1219" s="381"/>
      <c r="N1219" s="381"/>
      <c r="O1219" s="381"/>
      <c r="P1219" s="381"/>
      <c r="Q1219" s="381"/>
      <c r="R1219" s="381"/>
      <c r="S1219" s="381"/>
    </row>
    <row r="1220" spans="1:19" ht="12.75" customHeight="1">
      <c r="A1220" s="381"/>
      <c r="B1220" s="389">
        <v>44056</v>
      </c>
      <c r="C1220" s="390">
        <v>3161.02</v>
      </c>
      <c r="D1220" s="393"/>
      <c r="E1220" s="392">
        <f t="shared" si="0"/>
        <v>-3.8580246913577643E-4</v>
      </c>
      <c r="F1220" s="393"/>
      <c r="G1220" s="381"/>
      <c r="H1220" s="381"/>
      <c r="I1220" s="381"/>
      <c r="J1220" s="381"/>
      <c r="K1220" s="381"/>
      <c r="L1220" s="381"/>
      <c r="M1220" s="381"/>
      <c r="N1220" s="381"/>
      <c r="O1220" s="381"/>
      <c r="P1220" s="381"/>
      <c r="Q1220" s="381"/>
      <c r="R1220" s="381"/>
      <c r="S1220" s="381"/>
    </row>
    <row r="1221" spans="1:19" ht="12.75" customHeight="1">
      <c r="A1221" s="381"/>
      <c r="B1221" s="389">
        <v>44057</v>
      </c>
      <c r="C1221" s="390">
        <v>3148.02</v>
      </c>
      <c r="D1221" s="393"/>
      <c r="E1221" s="392">
        <f t="shared" si="0"/>
        <v>-4.1125965669309705E-3</v>
      </c>
      <c r="F1221" s="393"/>
      <c r="G1221" s="381"/>
      <c r="H1221" s="381"/>
      <c r="I1221" s="381"/>
      <c r="J1221" s="381"/>
      <c r="K1221" s="381"/>
      <c r="L1221" s="381"/>
      <c r="M1221" s="381"/>
      <c r="N1221" s="381"/>
      <c r="O1221" s="381"/>
      <c r="P1221" s="381"/>
      <c r="Q1221" s="381"/>
      <c r="R1221" s="381"/>
      <c r="S1221" s="381"/>
    </row>
    <row r="1222" spans="1:19" ht="12.75" customHeight="1">
      <c r="A1222" s="381"/>
      <c r="B1222" s="389">
        <v>44060</v>
      </c>
      <c r="C1222" s="390">
        <v>3182.41</v>
      </c>
      <c r="D1222" s="393"/>
      <c r="E1222" s="392">
        <f t="shared" si="0"/>
        <v>1.0924327037312276E-2</v>
      </c>
      <c r="F1222" s="393"/>
      <c r="G1222" s="381"/>
      <c r="H1222" s="381"/>
      <c r="I1222" s="381"/>
      <c r="J1222" s="381"/>
      <c r="K1222" s="381"/>
      <c r="L1222" s="381"/>
      <c r="M1222" s="381"/>
      <c r="N1222" s="381"/>
      <c r="O1222" s="381"/>
      <c r="P1222" s="381"/>
      <c r="Q1222" s="381"/>
      <c r="R1222" s="381"/>
      <c r="S1222" s="381"/>
    </row>
    <row r="1223" spans="1:19" ht="12.75" customHeight="1">
      <c r="A1223" s="381"/>
      <c r="B1223" s="389">
        <v>44061</v>
      </c>
      <c r="C1223" s="390">
        <v>3312.49</v>
      </c>
      <c r="D1223" s="393"/>
      <c r="E1223" s="392">
        <f t="shared" si="0"/>
        <v>4.0874683023243374E-2</v>
      </c>
      <c r="F1223" s="393"/>
      <c r="G1223" s="381"/>
      <c r="H1223" s="381"/>
      <c r="I1223" s="381"/>
      <c r="J1223" s="381"/>
      <c r="K1223" s="381"/>
      <c r="L1223" s="381"/>
      <c r="M1223" s="381"/>
      <c r="N1223" s="381"/>
      <c r="O1223" s="381"/>
      <c r="P1223" s="381"/>
      <c r="Q1223" s="381"/>
      <c r="R1223" s="381"/>
      <c r="S1223" s="381"/>
    </row>
    <row r="1224" spans="1:19" ht="12.75" customHeight="1">
      <c r="A1224" s="381"/>
      <c r="B1224" s="389">
        <v>44062</v>
      </c>
      <c r="C1224" s="390">
        <v>3260.48</v>
      </c>
      <c r="D1224" s="393"/>
      <c r="E1224" s="392">
        <f t="shared" si="0"/>
        <v>-1.5701179475258731E-2</v>
      </c>
      <c r="F1224" s="393"/>
      <c r="G1224" s="381"/>
      <c r="H1224" s="381"/>
      <c r="I1224" s="381"/>
      <c r="J1224" s="381"/>
      <c r="K1224" s="381"/>
      <c r="L1224" s="381"/>
      <c r="M1224" s="381"/>
      <c r="N1224" s="381"/>
      <c r="O1224" s="381"/>
      <c r="P1224" s="381"/>
      <c r="Q1224" s="381"/>
      <c r="R1224" s="381"/>
      <c r="S1224" s="381"/>
    </row>
    <row r="1225" spans="1:19" ht="12.75" customHeight="1">
      <c r="A1225" s="381"/>
      <c r="B1225" s="389">
        <v>44063</v>
      </c>
      <c r="C1225" s="390">
        <v>3297.37</v>
      </c>
      <c r="D1225" s="393"/>
      <c r="E1225" s="392">
        <f t="shared" si="0"/>
        <v>1.1314285013249492E-2</v>
      </c>
      <c r="F1225" s="393"/>
      <c r="G1225" s="381"/>
      <c r="H1225" s="381"/>
      <c r="I1225" s="381"/>
      <c r="J1225" s="381"/>
      <c r="K1225" s="381"/>
      <c r="L1225" s="381"/>
      <c r="M1225" s="381"/>
      <c r="N1225" s="381"/>
      <c r="O1225" s="381"/>
      <c r="P1225" s="381"/>
      <c r="Q1225" s="381"/>
      <c r="R1225" s="381"/>
      <c r="S1225" s="381"/>
    </row>
    <row r="1226" spans="1:19" ht="12.75" customHeight="1">
      <c r="A1226" s="381"/>
      <c r="B1226" s="389">
        <v>44064</v>
      </c>
      <c r="C1226" s="390">
        <v>3284.72</v>
      </c>
      <c r="D1226" s="393"/>
      <c r="E1226" s="392">
        <f t="shared" si="0"/>
        <v>-3.8363908205630848E-3</v>
      </c>
      <c r="F1226" s="393"/>
      <c r="G1226" s="381"/>
      <c r="H1226" s="381"/>
      <c r="I1226" s="381"/>
      <c r="J1226" s="381"/>
      <c r="K1226" s="381"/>
      <c r="L1226" s="381"/>
      <c r="M1226" s="381"/>
      <c r="N1226" s="381"/>
      <c r="O1226" s="381"/>
      <c r="P1226" s="381"/>
      <c r="Q1226" s="381"/>
      <c r="R1226" s="381"/>
      <c r="S1226" s="381"/>
    </row>
    <row r="1227" spans="1:19" ht="12.75" customHeight="1">
      <c r="A1227" s="381"/>
      <c r="B1227" s="389">
        <v>44067</v>
      </c>
      <c r="C1227" s="390">
        <v>3307.46</v>
      </c>
      <c r="D1227" s="393"/>
      <c r="E1227" s="392">
        <f t="shared" si="0"/>
        <v>6.9229645144792684E-3</v>
      </c>
      <c r="F1227" s="393"/>
      <c r="G1227" s="381"/>
      <c r="H1227" s="381"/>
      <c r="I1227" s="381"/>
      <c r="J1227" s="381"/>
      <c r="K1227" s="381"/>
      <c r="L1227" s="381"/>
      <c r="M1227" s="381"/>
      <c r="N1227" s="381"/>
      <c r="O1227" s="381"/>
      <c r="P1227" s="381"/>
      <c r="Q1227" s="381"/>
      <c r="R1227" s="381"/>
      <c r="S1227" s="381"/>
    </row>
    <row r="1228" spans="1:19" ht="12.75" customHeight="1">
      <c r="A1228" s="381"/>
      <c r="B1228" s="389">
        <v>44068</v>
      </c>
      <c r="C1228" s="390">
        <v>3346.49</v>
      </c>
      <c r="D1228" s="393"/>
      <c r="E1228" s="392">
        <f t="shared" si="0"/>
        <v>1.1800596227921067E-2</v>
      </c>
      <c r="F1228" s="393"/>
      <c r="G1228" s="381"/>
      <c r="H1228" s="381"/>
      <c r="I1228" s="381"/>
      <c r="J1228" s="381"/>
      <c r="K1228" s="381"/>
      <c r="L1228" s="381"/>
      <c r="M1228" s="381"/>
      <c r="N1228" s="381"/>
      <c r="O1228" s="381"/>
      <c r="P1228" s="381"/>
      <c r="Q1228" s="381"/>
      <c r="R1228" s="381"/>
      <c r="S1228" s="381"/>
    </row>
    <row r="1229" spans="1:19" ht="12.75" customHeight="1">
      <c r="A1229" s="381"/>
      <c r="B1229" s="389">
        <v>44069</v>
      </c>
      <c r="C1229" s="390">
        <v>3441.85</v>
      </c>
      <c r="D1229" s="393"/>
      <c r="E1229" s="392">
        <f t="shared" si="0"/>
        <v>2.849552815039047E-2</v>
      </c>
      <c r="F1229" s="393"/>
      <c r="G1229" s="381"/>
      <c r="H1229" s="381"/>
      <c r="I1229" s="381"/>
      <c r="J1229" s="381"/>
      <c r="K1229" s="381"/>
      <c r="L1229" s="381"/>
      <c r="M1229" s="381"/>
      <c r="N1229" s="381"/>
      <c r="O1229" s="381"/>
      <c r="P1229" s="381"/>
      <c r="Q1229" s="381"/>
      <c r="R1229" s="381"/>
      <c r="S1229" s="381"/>
    </row>
    <row r="1230" spans="1:19" ht="12.75" customHeight="1">
      <c r="A1230" s="381"/>
      <c r="B1230" s="389">
        <v>44070</v>
      </c>
      <c r="C1230" s="390">
        <v>3400</v>
      </c>
      <c r="D1230" s="393"/>
      <c r="E1230" s="392">
        <f t="shared" si="0"/>
        <v>-1.2159158592036201E-2</v>
      </c>
      <c r="F1230" s="393"/>
      <c r="G1230" s="381"/>
      <c r="H1230" s="381"/>
      <c r="I1230" s="381"/>
      <c r="J1230" s="381"/>
      <c r="K1230" s="381"/>
      <c r="L1230" s="381"/>
      <c r="M1230" s="381"/>
      <c r="N1230" s="381"/>
      <c r="O1230" s="381"/>
      <c r="P1230" s="381"/>
      <c r="Q1230" s="381"/>
      <c r="R1230" s="381"/>
      <c r="S1230" s="381"/>
    </row>
    <row r="1231" spans="1:19" ht="12.75" customHeight="1">
      <c r="A1231" s="381"/>
      <c r="B1231" s="389">
        <v>44071</v>
      </c>
      <c r="C1231" s="390">
        <v>3401.8</v>
      </c>
      <c r="D1231" s="393"/>
      <c r="E1231" s="392">
        <f t="shared" si="0"/>
        <v>5.2941176470588935E-4</v>
      </c>
      <c r="F1231" s="393"/>
      <c r="G1231" s="381"/>
      <c r="H1231" s="381"/>
      <c r="I1231" s="381"/>
      <c r="J1231" s="381"/>
      <c r="K1231" s="381"/>
      <c r="L1231" s="381"/>
      <c r="M1231" s="381"/>
      <c r="N1231" s="381"/>
      <c r="O1231" s="381"/>
      <c r="P1231" s="381"/>
      <c r="Q1231" s="381"/>
      <c r="R1231" s="381"/>
      <c r="S1231" s="381"/>
    </row>
    <row r="1232" spans="1:19" ht="12.75" customHeight="1">
      <c r="A1232" s="381"/>
      <c r="B1232" s="389">
        <v>44074</v>
      </c>
      <c r="C1232" s="390">
        <v>3450.96</v>
      </c>
      <c r="D1232" s="393"/>
      <c r="E1232" s="392">
        <f t="shared" si="0"/>
        <v>1.4451172908460208E-2</v>
      </c>
      <c r="F1232" s="393"/>
      <c r="G1232" s="381"/>
      <c r="H1232" s="381"/>
      <c r="I1232" s="381"/>
      <c r="J1232" s="381"/>
      <c r="K1232" s="381"/>
      <c r="L1232" s="381"/>
      <c r="M1232" s="381"/>
      <c r="N1232" s="381"/>
      <c r="O1232" s="381"/>
      <c r="P1232" s="381"/>
      <c r="Q1232" s="381"/>
      <c r="R1232" s="381"/>
      <c r="S1232" s="381"/>
    </row>
    <row r="1233" spans="1:19" ht="12.75" customHeight="1">
      <c r="A1233" s="381"/>
      <c r="B1233" s="389">
        <v>44075</v>
      </c>
      <c r="C1233" s="390">
        <v>3499.12</v>
      </c>
      <c r="D1233" s="393"/>
      <c r="E1233" s="392">
        <f t="shared" si="0"/>
        <v>1.3955537009991303E-2</v>
      </c>
      <c r="F1233" s="393"/>
      <c r="G1233" s="381"/>
      <c r="H1233" s="381"/>
      <c r="I1233" s="381"/>
      <c r="J1233" s="381"/>
      <c r="K1233" s="381"/>
      <c r="L1233" s="381"/>
      <c r="M1233" s="381"/>
      <c r="N1233" s="381"/>
      <c r="O1233" s="381"/>
      <c r="P1233" s="381"/>
      <c r="Q1233" s="381"/>
      <c r="R1233" s="381"/>
      <c r="S1233" s="381"/>
    </row>
    <row r="1234" spans="1:19" ht="12.75" customHeight="1">
      <c r="A1234" s="381"/>
      <c r="B1234" s="389">
        <v>44076</v>
      </c>
      <c r="C1234" s="390">
        <v>3531.45</v>
      </c>
      <c r="D1234" s="393"/>
      <c r="E1234" s="392">
        <f t="shared" si="0"/>
        <v>9.2394659228605125E-3</v>
      </c>
      <c r="F1234" s="393"/>
      <c r="G1234" s="381"/>
      <c r="H1234" s="381"/>
      <c r="I1234" s="381"/>
      <c r="J1234" s="381"/>
      <c r="K1234" s="381"/>
      <c r="L1234" s="381"/>
      <c r="M1234" s="381"/>
      <c r="N1234" s="381"/>
      <c r="O1234" s="381"/>
      <c r="P1234" s="381"/>
      <c r="Q1234" s="381"/>
      <c r="R1234" s="381"/>
      <c r="S1234" s="381"/>
    </row>
    <row r="1235" spans="1:19" ht="12.75" customHeight="1">
      <c r="A1235" s="381"/>
      <c r="B1235" s="389">
        <v>44077</v>
      </c>
      <c r="C1235" s="390">
        <v>3368</v>
      </c>
      <c r="D1235" s="393"/>
      <c r="E1235" s="392">
        <f t="shared" si="0"/>
        <v>-4.6284104263121351E-2</v>
      </c>
      <c r="F1235" s="393"/>
      <c r="G1235" s="381"/>
      <c r="H1235" s="381"/>
      <c r="I1235" s="381"/>
      <c r="J1235" s="381"/>
      <c r="K1235" s="381"/>
      <c r="L1235" s="381"/>
      <c r="M1235" s="381"/>
      <c r="N1235" s="381"/>
      <c r="O1235" s="381"/>
      <c r="P1235" s="381"/>
      <c r="Q1235" s="381"/>
      <c r="R1235" s="381"/>
      <c r="S1235" s="381"/>
    </row>
    <row r="1236" spans="1:19" ht="12.75" customHeight="1">
      <c r="A1236" s="381"/>
      <c r="B1236" s="389">
        <v>44078</v>
      </c>
      <c r="C1236" s="390">
        <v>3294.62</v>
      </c>
      <c r="D1236" s="393"/>
      <c r="E1236" s="392">
        <f t="shared" si="0"/>
        <v>-2.1787410926365824E-2</v>
      </c>
      <c r="F1236" s="393"/>
      <c r="G1236" s="381"/>
      <c r="H1236" s="381"/>
      <c r="I1236" s="381"/>
      <c r="J1236" s="381"/>
      <c r="K1236" s="381"/>
      <c r="L1236" s="381"/>
      <c r="M1236" s="381"/>
      <c r="N1236" s="381"/>
      <c r="O1236" s="381"/>
      <c r="P1236" s="381"/>
      <c r="Q1236" s="381"/>
      <c r="R1236" s="381"/>
      <c r="S1236" s="381"/>
    </row>
    <row r="1237" spans="1:19" ht="12.75" customHeight="1">
      <c r="A1237" s="381"/>
      <c r="B1237" s="389">
        <v>44082</v>
      </c>
      <c r="C1237" s="390">
        <v>3149.84</v>
      </c>
      <c r="D1237" s="393"/>
      <c r="E1237" s="392">
        <f t="shared" si="0"/>
        <v>-4.3944369912159775E-2</v>
      </c>
      <c r="F1237" s="393"/>
      <c r="G1237" s="381"/>
      <c r="H1237" s="381"/>
      <c r="I1237" s="381"/>
      <c r="J1237" s="381"/>
      <c r="K1237" s="381"/>
      <c r="L1237" s="381"/>
      <c r="M1237" s="381"/>
      <c r="N1237" s="381"/>
      <c r="O1237" s="381"/>
      <c r="P1237" s="381"/>
      <c r="Q1237" s="381"/>
      <c r="R1237" s="381"/>
      <c r="S1237" s="381"/>
    </row>
    <row r="1238" spans="1:19" ht="12.75" customHeight="1">
      <c r="A1238" s="381"/>
      <c r="B1238" s="389">
        <v>44083</v>
      </c>
      <c r="C1238" s="390">
        <v>3268.61</v>
      </c>
      <c r="D1238" s="393"/>
      <c r="E1238" s="392">
        <f t="shared" si="0"/>
        <v>3.7706677164554447E-2</v>
      </c>
      <c r="F1238" s="393"/>
      <c r="G1238" s="381"/>
      <c r="H1238" s="381"/>
      <c r="I1238" s="381"/>
      <c r="J1238" s="381"/>
      <c r="K1238" s="381"/>
      <c r="L1238" s="381"/>
      <c r="M1238" s="381"/>
      <c r="N1238" s="381"/>
      <c r="O1238" s="381"/>
      <c r="P1238" s="381"/>
      <c r="Q1238" s="381"/>
      <c r="R1238" s="381"/>
      <c r="S1238" s="381"/>
    </row>
    <row r="1239" spans="1:19" ht="12.75" customHeight="1">
      <c r="A1239" s="381"/>
      <c r="B1239" s="389">
        <v>44084</v>
      </c>
      <c r="C1239" s="390">
        <v>3175.11</v>
      </c>
      <c r="D1239" s="393"/>
      <c r="E1239" s="392">
        <f t="shared" si="0"/>
        <v>-2.8605431666671732E-2</v>
      </c>
      <c r="F1239" s="393"/>
      <c r="G1239" s="381"/>
      <c r="H1239" s="381"/>
      <c r="I1239" s="381"/>
      <c r="J1239" s="381"/>
      <c r="K1239" s="381"/>
      <c r="L1239" s="381"/>
      <c r="M1239" s="381"/>
      <c r="N1239" s="381"/>
      <c r="O1239" s="381"/>
      <c r="P1239" s="381"/>
      <c r="Q1239" s="381"/>
      <c r="R1239" s="381"/>
      <c r="S1239" s="381"/>
    </row>
    <row r="1240" spans="1:19" ht="12.75" customHeight="1">
      <c r="A1240" s="381"/>
      <c r="B1240" s="389">
        <v>44085</v>
      </c>
      <c r="C1240" s="390">
        <v>3116.22</v>
      </c>
      <c r="D1240" s="393"/>
      <c r="E1240" s="392">
        <f t="shared" si="0"/>
        <v>-1.8547388909360696E-2</v>
      </c>
      <c r="F1240" s="393"/>
      <c r="G1240" s="381"/>
      <c r="H1240" s="381"/>
      <c r="I1240" s="381"/>
      <c r="J1240" s="381"/>
      <c r="K1240" s="381"/>
      <c r="L1240" s="381"/>
      <c r="M1240" s="381"/>
      <c r="N1240" s="381"/>
      <c r="O1240" s="381"/>
      <c r="P1240" s="381"/>
      <c r="Q1240" s="381"/>
      <c r="R1240" s="381"/>
      <c r="S1240" s="381"/>
    </row>
    <row r="1241" spans="1:19" ht="12.75" customHeight="1">
      <c r="A1241" s="381"/>
      <c r="B1241" s="389">
        <v>44088</v>
      </c>
      <c r="C1241" s="390">
        <v>3102.97</v>
      </c>
      <c r="D1241" s="393"/>
      <c r="E1241" s="392">
        <f t="shared" si="0"/>
        <v>-4.2519462682352183E-3</v>
      </c>
      <c r="F1241" s="393"/>
      <c r="G1241" s="381"/>
      <c r="H1241" s="381"/>
      <c r="I1241" s="381"/>
      <c r="J1241" s="381"/>
      <c r="K1241" s="381"/>
      <c r="L1241" s="381"/>
      <c r="M1241" s="381"/>
      <c r="N1241" s="381"/>
      <c r="O1241" s="381"/>
      <c r="P1241" s="381"/>
      <c r="Q1241" s="381"/>
      <c r="R1241" s="381"/>
      <c r="S1241" s="381"/>
    </row>
    <row r="1242" spans="1:19" ht="12.75" customHeight="1">
      <c r="A1242" s="381"/>
      <c r="B1242" s="389">
        <v>44089</v>
      </c>
      <c r="C1242" s="390">
        <v>3156.13</v>
      </c>
      <c r="D1242" s="393"/>
      <c r="E1242" s="392">
        <f t="shared" si="0"/>
        <v>1.7131973560814417E-2</v>
      </c>
      <c r="F1242" s="393"/>
      <c r="G1242" s="381"/>
      <c r="H1242" s="381"/>
      <c r="I1242" s="381"/>
      <c r="J1242" s="381"/>
      <c r="K1242" s="381"/>
      <c r="L1242" s="381"/>
      <c r="M1242" s="381"/>
      <c r="N1242" s="381"/>
      <c r="O1242" s="381"/>
      <c r="P1242" s="381"/>
      <c r="Q1242" s="381"/>
      <c r="R1242" s="381"/>
      <c r="S1242" s="381"/>
    </row>
    <row r="1243" spans="1:19" ht="12.75" customHeight="1">
      <c r="A1243" s="381"/>
      <c r="B1243" s="389">
        <v>44090</v>
      </c>
      <c r="C1243" s="390">
        <v>3078.1</v>
      </c>
      <c r="D1243" s="393"/>
      <c r="E1243" s="392">
        <f t="shared" si="0"/>
        <v>-2.4723316213210556E-2</v>
      </c>
      <c r="F1243" s="393"/>
      <c r="G1243" s="381"/>
      <c r="H1243" s="381"/>
      <c r="I1243" s="381"/>
      <c r="J1243" s="381"/>
      <c r="K1243" s="381"/>
      <c r="L1243" s="381"/>
      <c r="M1243" s="381"/>
      <c r="N1243" s="381"/>
      <c r="O1243" s="381"/>
      <c r="P1243" s="381"/>
      <c r="Q1243" s="381"/>
      <c r="R1243" s="381"/>
      <c r="S1243" s="381"/>
    </row>
    <row r="1244" spans="1:19" ht="12.75" customHeight="1">
      <c r="A1244" s="381"/>
      <c r="B1244" s="389">
        <v>44091</v>
      </c>
      <c r="C1244" s="390">
        <v>3008.73</v>
      </c>
      <c r="D1244" s="393"/>
      <c r="E1244" s="392">
        <f t="shared" si="0"/>
        <v>-2.2536629739124736E-2</v>
      </c>
      <c r="F1244" s="393"/>
      <c r="G1244" s="381"/>
      <c r="H1244" s="381"/>
      <c r="I1244" s="381"/>
      <c r="J1244" s="381"/>
      <c r="K1244" s="381"/>
      <c r="L1244" s="381"/>
      <c r="M1244" s="381"/>
      <c r="N1244" s="381"/>
      <c r="O1244" s="381"/>
      <c r="P1244" s="381"/>
      <c r="Q1244" s="381"/>
      <c r="R1244" s="381"/>
      <c r="S1244" s="381"/>
    </row>
    <row r="1245" spans="1:19" ht="12.75" customHeight="1">
      <c r="A1245" s="381"/>
      <c r="B1245" s="389">
        <v>44092</v>
      </c>
      <c r="C1245" s="390">
        <v>2954.91</v>
      </c>
      <c r="D1245" s="393"/>
      <c r="E1245" s="392">
        <f t="shared" si="0"/>
        <v>-1.7887946076916239E-2</v>
      </c>
      <c r="F1245" s="393"/>
      <c r="G1245" s="381"/>
      <c r="H1245" s="381"/>
      <c r="I1245" s="381"/>
      <c r="J1245" s="381"/>
      <c r="K1245" s="381"/>
      <c r="L1245" s="381"/>
      <c r="M1245" s="381"/>
      <c r="N1245" s="381"/>
      <c r="O1245" s="381"/>
      <c r="P1245" s="381"/>
      <c r="Q1245" s="381"/>
      <c r="R1245" s="381"/>
      <c r="S1245" s="381"/>
    </row>
    <row r="1246" spans="1:19" ht="12.75" customHeight="1">
      <c r="A1246" s="381"/>
      <c r="B1246" s="389">
        <v>44095</v>
      </c>
      <c r="C1246" s="390">
        <v>2960.47</v>
      </c>
      <c r="D1246" s="393"/>
      <c r="E1246" s="392">
        <f t="shared" si="0"/>
        <v>1.881613991627562E-3</v>
      </c>
      <c r="F1246" s="393"/>
      <c r="G1246" s="381"/>
      <c r="H1246" s="381"/>
      <c r="I1246" s="381"/>
      <c r="J1246" s="381"/>
      <c r="K1246" s="381"/>
      <c r="L1246" s="381"/>
      <c r="M1246" s="381"/>
      <c r="N1246" s="381"/>
      <c r="O1246" s="381"/>
      <c r="P1246" s="381"/>
      <c r="Q1246" s="381"/>
      <c r="R1246" s="381"/>
      <c r="S1246" s="381"/>
    </row>
    <row r="1247" spans="1:19" ht="12.75" customHeight="1">
      <c r="A1247" s="381"/>
      <c r="B1247" s="389">
        <v>44096</v>
      </c>
      <c r="C1247" s="390">
        <v>3128.99</v>
      </c>
      <c r="D1247" s="393"/>
      <c r="E1247" s="392">
        <f t="shared" si="0"/>
        <v>5.6923393920560006E-2</v>
      </c>
      <c r="F1247" s="393"/>
      <c r="G1247" s="381"/>
      <c r="H1247" s="381"/>
      <c r="I1247" s="381"/>
      <c r="J1247" s="381"/>
      <c r="K1247" s="381"/>
      <c r="L1247" s="381"/>
      <c r="M1247" s="381"/>
      <c r="N1247" s="381"/>
      <c r="O1247" s="381"/>
      <c r="P1247" s="381"/>
      <c r="Q1247" s="381"/>
      <c r="R1247" s="381"/>
      <c r="S1247" s="381"/>
    </row>
    <row r="1248" spans="1:19" ht="12.75" customHeight="1">
      <c r="A1248" s="381"/>
      <c r="B1248" s="389">
        <v>44097</v>
      </c>
      <c r="C1248" s="390">
        <v>2999.86</v>
      </c>
      <c r="D1248" s="393"/>
      <c r="E1248" s="392">
        <f t="shared" si="0"/>
        <v>-4.126890785844628E-2</v>
      </c>
      <c r="F1248" s="393"/>
      <c r="G1248" s="381"/>
      <c r="H1248" s="381"/>
      <c r="I1248" s="381"/>
      <c r="J1248" s="381"/>
      <c r="K1248" s="381"/>
      <c r="L1248" s="381"/>
      <c r="M1248" s="381"/>
      <c r="N1248" s="381"/>
      <c r="O1248" s="381"/>
      <c r="P1248" s="381"/>
      <c r="Q1248" s="381"/>
      <c r="R1248" s="381"/>
      <c r="S1248" s="381"/>
    </row>
    <row r="1249" spans="1:19" ht="12.75" customHeight="1">
      <c r="A1249" s="381"/>
      <c r="B1249" s="389">
        <v>44098</v>
      </c>
      <c r="C1249" s="390">
        <v>3019.79</v>
      </c>
      <c r="D1249" s="393"/>
      <c r="E1249" s="392">
        <f t="shared" si="0"/>
        <v>6.6436433700238773E-3</v>
      </c>
      <c r="F1249" s="393"/>
      <c r="G1249" s="381"/>
      <c r="H1249" s="381"/>
      <c r="I1249" s="381"/>
      <c r="J1249" s="381"/>
      <c r="K1249" s="381"/>
      <c r="L1249" s="381"/>
      <c r="M1249" s="381"/>
      <c r="N1249" s="381"/>
      <c r="O1249" s="381"/>
      <c r="P1249" s="381"/>
      <c r="Q1249" s="381"/>
      <c r="R1249" s="381"/>
      <c r="S1249" s="381"/>
    </row>
    <row r="1250" spans="1:19" ht="12.75" customHeight="1">
      <c r="A1250" s="381"/>
      <c r="B1250" s="389">
        <v>44099</v>
      </c>
      <c r="C1250" s="390">
        <v>3095.13</v>
      </c>
      <c r="D1250" s="393"/>
      <c r="E1250" s="392">
        <f t="shared" si="0"/>
        <v>2.4948754714731791E-2</v>
      </c>
      <c r="F1250" s="393"/>
      <c r="G1250" s="381"/>
      <c r="H1250" s="381"/>
      <c r="I1250" s="381"/>
      <c r="J1250" s="381"/>
      <c r="K1250" s="381"/>
      <c r="L1250" s="381"/>
      <c r="M1250" s="381"/>
      <c r="N1250" s="381"/>
      <c r="O1250" s="381"/>
      <c r="P1250" s="381"/>
      <c r="Q1250" s="381"/>
      <c r="R1250" s="381"/>
      <c r="S1250" s="381"/>
    </row>
    <row r="1251" spans="1:19" ht="12.75" customHeight="1">
      <c r="A1251" s="381"/>
      <c r="B1251" s="389">
        <v>44102</v>
      </c>
      <c r="C1251" s="390">
        <v>3174.05</v>
      </c>
      <c r="D1251" s="393"/>
      <c r="E1251" s="392">
        <f t="shared" si="0"/>
        <v>2.5498121242080396E-2</v>
      </c>
      <c r="F1251" s="393"/>
      <c r="G1251" s="381"/>
      <c r="H1251" s="381"/>
      <c r="I1251" s="381"/>
      <c r="J1251" s="381"/>
      <c r="K1251" s="381"/>
      <c r="L1251" s="381"/>
      <c r="M1251" s="381"/>
      <c r="N1251" s="381"/>
      <c r="O1251" s="381"/>
      <c r="P1251" s="381"/>
      <c r="Q1251" s="381"/>
      <c r="R1251" s="381"/>
      <c r="S1251" s="381"/>
    </row>
    <row r="1252" spans="1:19" ht="12.75" customHeight="1">
      <c r="A1252" s="381"/>
      <c r="B1252" s="389">
        <v>44103</v>
      </c>
      <c r="C1252" s="390">
        <v>3144.88</v>
      </c>
      <c r="D1252" s="393"/>
      <c r="E1252" s="392">
        <f t="shared" si="0"/>
        <v>-9.1901513838786864E-3</v>
      </c>
      <c r="F1252" s="393"/>
      <c r="G1252" s="381"/>
      <c r="H1252" s="381"/>
      <c r="I1252" s="381"/>
      <c r="J1252" s="381"/>
      <c r="K1252" s="381"/>
      <c r="L1252" s="381"/>
      <c r="M1252" s="381"/>
      <c r="N1252" s="381"/>
      <c r="O1252" s="381"/>
      <c r="P1252" s="381"/>
      <c r="Q1252" s="381"/>
      <c r="R1252" s="381"/>
      <c r="S1252" s="381"/>
    </row>
    <row r="1253" spans="1:19" ht="12.75" customHeight="1">
      <c r="A1253" s="381"/>
      <c r="B1253" s="389">
        <v>44104</v>
      </c>
      <c r="C1253" s="390">
        <v>3148.73</v>
      </c>
      <c r="D1253" s="393"/>
      <c r="E1253" s="392">
        <f t="shared" si="0"/>
        <v>1.2242120526060329E-3</v>
      </c>
      <c r="F1253" s="393"/>
      <c r="G1253" s="381"/>
      <c r="H1253" s="381"/>
      <c r="I1253" s="381"/>
      <c r="J1253" s="381"/>
      <c r="K1253" s="381"/>
      <c r="L1253" s="381"/>
      <c r="M1253" s="381"/>
      <c r="N1253" s="381"/>
      <c r="O1253" s="381"/>
      <c r="P1253" s="381"/>
      <c r="Q1253" s="381"/>
      <c r="R1253" s="381"/>
      <c r="S1253" s="381"/>
    </row>
    <row r="1254" spans="1:19" ht="12.75" customHeight="1">
      <c r="A1254" s="381"/>
      <c r="B1254" s="389">
        <v>44105</v>
      </c>
      <c r="C1254" s="390">
        <v>3221.26</v>
      </c>
      <c r="D1254" s="393"/>
      <c r="E1254" s="392">
        <f t="shared" si="0"/>
        <v>2.3034683824907143E-2</v>
      </c>
      <c r="F1254" s="393"/>
      <c r="G1254" s="381"/>
      <c r="H1254" s="381"/>
      <c r="I1254" s="381"/>
      <c r="J1254" s="381"/>
      <c r="K1254" s="381"/>
      <c r="L1254" s="381"/>
      <c r="M1254" s="381"/>
      <c r="N1254" s="381"/>
      <c r="O1254" s="381"/>
      <c r="P1254" s="381"/>
      <c r="Q1254" s="381"/>
      <c r="R1254" s="381"/>
      <c r="S1254" s="381"/>
    </row>
    <row r="1255" spans="1:19" ht="12.75" customHeight="1">
      <c r="A1255" s="381"/>
      <c r="B1255" s="389">
        <v>44106</v>
      </c>
      <c r="C1255" s="390">
        <v>3125</v>
      </c>
      <c r="D1255" s="393"/>
      <c r="E1255" s="392">
        <f t="shared" si="0"/>
        <v>-2.9882716700918355E-2</v>
      </c>
      <c r="F1255" s="393"/>
      <c r="G1255" s="381"/>
      <c r="H1255" s="381"/>
      <c r="I1255" s="381"/>
      <c r="J1255" s="381"/>
      <c r="K1255" s="381"/>
      <c r="L1255" s="381"/>
      <c r="M1255" s="381"/>
      <c r="N1255" s="381"/>
      <c r="O1255" s="381"/>
      <c r="P1255" s="381"/>
      <c r="Q1255" s="381"/>
      <c r="R1255" s="381"/>
      <c r="S1255" s="381"/>
    </row>
    <row r="1256" spans="1:19" ht="12.75" customHeight="1">
      <c r="A1256" s="381"/>
      <c r="B1256" s="389">
        <v>44109</v>
      </c>
      <c r="C1256" s="390">
        <v>3199.2</v>
      </c>
      <c r="D1256" s="393"/>
      <c r="E1256" s="392">
        <f t="shared" si="0"/>
        <v>2.3743999999999987E-2</v>
      </c>
      <c r="F1256" s="393"/>
      <c r="G1256" s="381"/>
      <c r="H1256" s="381"/>
      <c r="I1256" s="381"/>
      <c r="J1256" s="381"/>
      <c r="K1256" s="381"/>
      <c r="L1256" s="381"/>
      <c r="M1256" s="381"/>
      <c r="N1256" s="381"/>
      <c r="O1256" s="381"/>
      <c r="P1256" s="381"/>
      <c r="Q1256" s="381"/>
      <c r="R1256" s="381"/>
      <c r="S1256" s="381"/>
    </row>
    <row r="1257" spans="1:19" ht="12.75" customHeight="1">
      <c r="A1257" s="381"/>
      <c r="B1257" s="389">
        <v>44110</v>
      </c>
      <c r="C1257" s="390">
        <v>3099.96</v>
      </c>
      <c r="D1257" s="393"/>
      <c r="E1257" s="392">
        <f t="shared" si="0"/>
        <v>-3.1020255063765823E-2</v>
      </c>
      <c r="F1257" s="393"/>
      <c r="G1257" s="381"/>
      <c r="H1257" s="381"/>
      <c r="I1257" s="381"/>
      <c r="J1257" s="381"/>
      <c r="K1257" s="381"/>
      <c r="L1257" s="381"/>
      <c r="M1257" s="381"/>
      <c r="N1257" s="381"/>
      <c r="O1257" s="381"/>
      <c r="P1257" s="381"/>
      <c r="Q1257" s="381"/>
      <c r="R1257" s="381"/>
      <c r="S1257" s="381"/>
    </row>
    <row r="1258" spans="1:19" ht="12.75" customHeight="1">
      <c r="A1258" s="381"/>
      <c r="B1258" s="389">
        <v>44111</v>
      </c>
      <c r="C1258" s="390">
        <v>3195.69</v>
      </c>
      <c r="D1258" s="395"/>
      <c r="E1258" s="392">
        <f t="shared" si="0"/>
        <v>3.0881043626369342E-2</v>
      </c>
      <c r="F1258" s="395"/>
      <c r="G1258" s="381"/>
      <c r="H1258" s="381"/>
      <c r="I1258" s="381"/>
      <c r="J1258" s="381"/>
      <c r="K1258" s="381"/>
      <c r="L1258" s="381"/>
      <c r="M1258" s="381"/>
      <c r="N1258" s="381"/>
      <c r="O1258" s="381"/>
      <c r="P1258" s="381"/>
      <c r="Q1258" s="381"/>
      <c r="R1258" s="381"/>
      <c r="S1258" s="381"/>
    </row>
    <row r="1259" spans="1:19" ht="12.75" customHeight="1">
      <c r="A1259" s="381"/>
      <c r="B1259" s="389">
        <v>44112</v>
      </c>
      <c r="C1259" s="390">
        <v>3190.55</v>
      </c>
      <c r="D1259" s="395"/>
      <c r="E1259" s="392">
        <f t="shared" si="0"/>
        <v>-1.6084163357521497E-3</v>
      </c>
      <c r="F1259" s="395"/>
      <c r="G1259" s="381"/>
      <c r="H1259" s="381"/>
      <c r="I1259" s="381"/>
      <c r="J1259" s="381"/>
      <c r="K1259" s="381"/>
      <c r="L1259" s="381"/>
      <c r="M1259" s="381"/>
      <c r="N1259" s="381"/>
      <c r="O1259" s="381"/>
      <c r="P1259" s="381"/>
      <c r="Q1259" s="381"/>
      <c r="R1259" s="381"/>
      <c r="S1259" s="381"/>
    </row>
    <row r="1260" spans="1:19" ht="12.75" customHeight="1">
      <c r="A1260" s="381"/>
      <c r="B1260" s="389">
        <v>44113</v>
      </c>
      <c r="C1260" s="390">
        <v>3286.65</v>
      </c>
      <c r="D1260" s="395"/>
      <c r="E1260" s="392">
        <f t="shared" si="0"/>
        <v>3.0120198711820922E-2</v>
      </c>
      <c r="F1260" s="395"/>
      <c r="G1260" s="381"/>
      <c r="H1260" s="381"/>
      <c r="I1260" s="381"/>
      <c r="J1260" s="381"/>
      <c r="K1260" s="381"/>
      <c r="L1260" s="381"/>
      <c r="M1260" s="381"/>
      <c r="N1260" s="381"/>
      <c r="O1260" s="381"/>
      <c r="P1260" s="381"/>
      <c r="Q1260" s="381"/>
      <c r="R1260" s="381"/>
      <c r="S1260" s="381"/>
    </row>
    <row r="1261" spans="1:19" ht="12.75" customHeight="1">
      <c r="A1261" s="381"/>
      <c r="B1261" s="389">
        <v>44116</v>
      </c>
      <c r="C1261" s="390">
        <v>3442.93</v>
      </c>
      <c r="D1261" s="395"/>
      <c r="E1261" s="392">
        <f t="shared" si="0"/>
        <v>4.7549936865805442E-2</v>
      </c>
      <c r="F1261" s="395"/>
      <c r="G1261" s="381"/>
      <c r="H1261" s="381"/>
      <c r="I1261" s="381"/>
      <c r="J1261" s="381"/>
      <c r="K1261" s="381"/>
      <c r="L1261" s="381"/>
      <c r="M1261" s="381"/>
      <c r="N1261" s="381"/>
      <c r="O1261" s="381"/>
      <c r="P1261" s="381"/>
      <c r="Q1261" s="381"/>
      <c r="R1261" s="381"/>
      <c r="S1261" s="381"/>
    </row>
    <row r="1262" spans="1:19" ht="12.75" customHeight="1">
      <c r="A1262" s="381"/>
      <c r="B1262" s="389">
        <v>44117</v>
      </c>
      <c r="C1262" s="390">
        <v>3443.63</v>
      </c>
      <c r="D1262" s="395"/>
      <c r="E1262" s="392">
        <f t="shared" si="0"/>
        <v>2.0331519955396615E-4</v>
      </c>
      <c r="F1262" s="395"/>
      <c r="G1262" s="381"/>
      <c r="H1262" s="381"/>
      <c r="I1262" s="381"/>
      <c r="J1262" s="381"/>
      <c r="K1262" s="381"/>
      <c r="L1262" s="381"/>
      <c r="M1262" s="381"/>
      <c r="N1262" s="381"/>
      <c r="O1262" s="381"/>
      <c r="P1262" s="381"/>
      <c r="Q1262" s="381"/>
      <c r="R1262" s="381"/>
      <c r="S1262" s="381"/>
    </row>
    <row r="1263" spans="1:19" ht="12.75" customHeight="1">
      <c r="A1263" s="381"/>
      <c r="B1263" s="389">
        <v>44118</v>
      </c>
      <c r="C1263" s="390">
        <v>3363.71</v>
      </c>
      <c r="D1263" s="395"/>
      <c r="E1263" s="392">
        <f t="shared" si="0"/>
        <v>-2.3208068230326728E-2</v>
      </c>
      <c r="F1263" s="395"/>
      <c r="G1263" s="381"/>
      <c r="H1263" s="381"/>
      <c r="I1263" s="381"/>
      <c r="J1263" s="381"/>
      <c r="K1263" s="381"/>
      <c r="L1263" s="381"/>
      <c r="M1263" s="381"/>
      <c r="N1263" s="381"/>
      <c r="O1263" s="381"/>
      <c r="P1263" s="381"/>
      <c r="Q1263" s="381"/>
      <c r="R1263" s="381"/>
      <c r="S1263" s="381"/>
    </row>
    <row r="1264" spans="1:19" ht="12.75" customHeight="1">
      <c r="A1264" s="381"/>
      <c r="B1264" s="389">
        <v>44119</v>
      </c>
      <c r="C1264" s="390">
        <v>3338.65</v>
      </c>
      <c r="D1264" s="395"/>
      <c r="E1264" s="392">
        <f t="shared" si="0"/>
        <v>-7.45010717332939E-3</v>
      </c>
      <c r="F1264" s="395"/>
      <c r="G1264" s="381"/>
      <c r="H1264" s="381"/>
      <c r="I1264" s="381"/>
      <c r="J1264" s="381"/>
      <c r="K1264" s="381"/>
      <c r="L1264" s="381"/>
      <c r="M1264" s="381"/>
      <c r="N1264" s="381"/>
      <c r="O1264" s="381"/>
      <c r="P1264" s="381"/>
      <c r="Q1264" s="381"/>
      <c r="R1264" s="381"/>
      <c r="S1264" s="381"/>
    </row>
    <row r="1265" spans="1:19" ht="12.75" customHeight="1">
      <c r="A1265" s="381"/>
      <c r="B1265" s="389">
        <v>44120</v>
      </c>
      <c r="C1265" s="390">
        <v>3272.71</v>
      </c>
      <c r="D1265" s="395"/>
      <c r="E1265" s="392">
        <f t="shared" si="0"/>
        <v>-1.975049795576056E-2</v>
      </c>
      <c r="F1265" s="395"/>
      <c r="G1265" s="381"/>
      <c r="H1265" s="381"/>
      <c r="I1265" s="381"/>
      <c r="J1265" s="381"/>
      <c r="K1265" s="381"/>
      <c r="L1265" s="381"/>
      <c r="M1265" s="381"/>
      <c r="N1265" s="381"/>
      <c r="O1265" s="381"/>
      <c r="P1265" s="381"/>
      <c r="Q1265" s="381"/>
      <c r="R1265" s="381"/>
      <c r="S1265" s="381"/>
    </row>
    <row r="1266" spans="1:19" ht="12.75" customHeight="1">
      <c r="A1266" s="381"/>
      <c r="B1266" s="389">
        <v>44123</v>
      </c>
      <c r="C1266" s="390">
        <v>3207.21</v>
      </c>
      <c r="D1266" s="395"/>
      <c r="E1266" s="392">
        <f t="shared" si="0"/>
        <v>-2.0013994518304434E-2</v>
      </c>
      <c r="F1266" s="395"/>
      <c r="G1266" s="381"/>
      <c r="H1266" s="381"/>
      <c r="I1266" s="381"/>
      <c r="J1266" s="381"/>
      <c r="K1266" s="381"/>
      <c r="L1266" s="381"/>
      <c r="M1266" s="381"/>
      <c r="N1266" s="381"/>
      <c r="O1266" s="381"/>
      <c r="P1266" s="381"/>
      <c r="Q1266" s="381"/>
      <c r="R1266" s="381"/>
      <c r="S1266" s="381"/>
    </row>
    <row r="1267" spans="1:19" ht="12.75" customHeight="1">
      <c r="A1267" s="381"/>
      <c r="B1267" s="389">
        <v>44124</v>
      </c>
      <c r="C1267" s="390">
        <v>3217.01</v>
      </c>
      <c r="D1267" s="395"/>
      <c r="E1267" s="392">
        <f t="shared" si="0"/>
        <v>3.0556153167395905E-3</v>
      </c>
      <c r="F1267" s="395"/>
      <c r="G1267" s="381"/>
      <c r="H1267" s="381"/>
      <c r="I1267" s="381"/>
      <c r="J1267" s="381"/>
      <c r="K1267" s="381"/>
      <c r="L1267" s="381"/>
      <c r="M1267" s="381"/>
      <c r="N1267" s="381"/>
      <c r="O1267" s="381"/>
      <c r="P1267" s="381"/>
      <c r="Q1267" s="381"/>
      <c r="R1267" s="381"/>
      <c r="S1267" s="381"/>
    </row>
    <row r="1268" spans="1:19" ht="12.75" customHeight="1">
      <c r="A1268" s="381"/>
      <c r="B1268" s="389">
        <v>44125</v>
      </c>
      <c r="C1268" s="390">
        <v>3184.94</v>
      </c>
      <c r="D1268" s="395"/>
      <c r="E1268" s="392">
        <f t="shared" si="0"/>
        <v>-9.9688841501891501E-3</v>
      </c>
      <c r="F1268" s="395"/>
      <c r="G1268" s="381"/>
      <c r="H1268" s="381"/>
      <c r="I1268" s="381"/>
      <c r="J1268" s="381"/>
      <c r="K1268" s="381"/>
      <c r="L1268" s="381"/>
      <c r="M1268" s="381"/>
      <c r="N1268" s="381"/>
      <c r="O1268" s="381"/>
      <c r="P1268" s="381"/>
      <c r="Q1268" s="381"/>
      <c r="R1268" s="381"/>
      <c r="S1268" s="381"/>
    </row>
    <row r="1269" spans="1:19" ht="12.75" customHeight="1">
      <c r="A1269" s="381"/>
      <c r="B1269" s="389">
        <v>44126</v>
      </c>
      <c r="C1269" s="390">
        <v>3176.4</v>
      </c>
      <c r="D1269" s="395"/>
      <c r="E1269" s="392">
        <f t="shared" si="0"/>
        <v>-2.6813691937681572E-3</v>
      </c>
      <c r="F1269" s="395"/>
      <c r="G1269" s="381"/>
      <c r="H1269" s="381"/>
      <c r="I1269" s="381"/>
      <c r="J1269" s="381"/>
      <c r="K1269" s="381"/>
      <c r="L1269" s="381"/>
      <c r="M1269" s="381"/>
      <c r="N1269" s="381"/>
      <c r="O1269" s="381"/>
      <c r="P1269" s="381"/>
      <c r="Q1269" s="381"/>
      <c r="R1269" s="381"/>
      <c r="S1269" s="381"/>
    </row>
    <row r="1270" spans="1:19" ht="12.75" customHeight="1">
      <c r="A1270" s="381"/>
      <c r="B1270" s="389">
        <v>44127</v>
      </c>
      <c r="C1270" s="390">
        <v>3204.4</v>
      </c>
      <c r="D1270" s="395"/>
      <c r="E1270" s="392">
        <f t="shared" si="0"/>
        <v>8.8150107039415282E-3</v>
      </c>
      <c r="F1270" s="395"/>
      <c r="G1270" s="381"/>
      <c r="H1270" s="381"/>
      <c r="I1270" s="381"/>
      <c r="J1270" s="381"/>
      <c r="K1270" s="381"/>
      <c r="L1270" s="381"/>
      <c r="M1270" s="381"/>
      <c r="N1270" s="381"/>
      <c r="O1270" s="381"/>
      <c r="P1270" s="381"/>
      <c r="Q1270" s="381"/>
      <c r="R1270" s="381"/>
      <c r="S1270" s="381"/>
    </row>
    <row r="1271" spans="1:19" ht="12.75" customHeight="1">
      <c r="A1271" s="381"/>
      <c r="B1271" s="389">
        <v>44130</v>
      </c>
      <c r="C1271" s="390">
        <v>3207.04</v>
      </c>
      <c r="D1271" s="395"/>
      <c r="E1271" s="392">
        <f t="shared" si="0"/>
        <v>8.2386718262394965E-4</v>
      </c>
      <c r="F1271" s="395"/>
      <c r="G1271" s="381"/>
      <c r="H1271" s="381"/>
      <c r="I1271" s="381"/>
      <c r="J1271" s="381"/>
      <c r="K1271" s="381"/>
      <c r="L1271" s="381"/>
      <c r="M1271" s="381"/>
      <c r="N1271" s="381"/>
      <c r="O1271" s="381"/>
      <c r="P1271" s="381"/>
      <c r="Q1271" s="381"/>
      <c r="R1271" s="381"/>
      <c r="S1271" s="381"/>
    </row>
    <row r="1272" spans="1:19" ht="12.75" customHeight="1">
      <c r="A1272" s="381"/>
      <c r="B1272" s="389">
        <v>44131</v>
      </c>
      <c r="C1272" s="390">
        <v>3286.33</v>
      </c>
      <c r="D1272" s="395"/>
      <c r="E1272" s="392">
        <f t="shared" si="0"/>
        <v>2.4723732787866659E-2</v>
      </c>
      <c r="F1272" s="395"/>
      <c r="G1272" s="381"/>
      <c r="H1272" s="381"/>
      <c r="I1272" s="381"/>
      <c r="J1272" s="381"/>
      <c r="K1272" s="381"/>
      <c r="L1272" s="381"/>
      <c r="M1272" s="381"/>
      <c r="N1272" s="381"/>
      <c r="O1272" s="381"/>
      <c r="P1272" s="381"/>
      <c r="Q1272" s="381"/>
      <c r="R1272" s="381"/>
      <c r="S1272" s="381"/>
    </row>
    <row r="1273" spans="1:19" ht="12.75" customHeight="1">
      <c r="A1273" s="381"/>
      <c r="B1273" s="389">
        <v>44132</v>
      </c>
      <c r="C1273" s="390">
        <v>3162.78</v>
      </c>
      <c r="D1273" s="395"/>
      <c r="E1273" s="392">
        <f t="shared" si="0"/>
        <v>-3.7595128912799258E-2</v>
      </c>
      <c r="F1273" s="395"/>
      <c r="G1273" s="381"/>
      <c r="H1273" s="381"/>
      <c r="I1273" s="381"/>
      <c r="J1273" s="381"/>
      <c r="K1273" s="381"/>
      <c r="L1273" s="381"/>
      <c r="M1273" s="381"/>
      <c r="N1273" s="381"/>
      <c r="O1273" s="381"/>
      <c r="P1273" s="381"/>
      <c r="Q1273" s="381"/>
      <c r="R1273" s="381"/>
      <c r="S1273" s="381"/>
    </row>
    <row r="1274" spans="1:19" ht="12.75" customHeight="1">
      <c r="A1274" s="381"/>
      <c r="B1274" s="389">
        <v>44133</v>
      </c>
      <c r="C1274" s="390">
        <v>3211.01</v>
      </c>
      <c r="D1274" s="395"/>
      <c r="E1274" s="392">
        <f t="shared" si="0"/>
        <v>1.524924275479167E-2</v>
      </c>
      <c r="F1274" s="395"/>
      <c r="G1274" s="381"/>
      <c r="H1274" s="381"/>
      <c r="I1274" s="381"/>
      <c r="J1274" s="381"/>
      <c r="K1274" s="381"/>
      <c r="L1274" s="381"/>
      <c r="M1274" s="381"/>
      <c r="N1274" s="381"/>
      <c r="O1274" s="381"/>
      <c r="P1274" s="381"/>
      <c r="Q1274" s="381"/>
      <c r="R1274" s="381"/>
      <c r="S1274" s="381"/>
    </row>
    <row r="1275" spans="1:19" ht="12.75" customHeight="1">
      <c r="A1275" s="381"/>
      <c r="B1275" s="389">
        <v>44134</v>
      </c>
      <c r="C1275" s="390">
        <v>3036.15</v>
      </c>
      <c r="D1275" s="395"/>
      <c r="E1275" s="392">
        <f t="shared" si="0"/>
        <v>-5.4456385996929368E-2</v>
      </c>
      <c r="F1275" s="395"/>
      <c r="G1275" s="381"/>
      <c r="H1275" s="381"/>
      <c r="I1275" s="381"/>
      <c r="J1275" s="381"/>
      <c r="K1275" s="381"/>
      <c r="L1275" s="381"/>
      <c r="M1275" s="381"/>
      <c r="N1275" s="381"/>
      <c r="O1275" s="381"/>
      <c r="P1275" s="381"/>
      <c r="Q1275" s="381"/>
      <c r="R1275" s="381"/>
      <c r="S1275" s="381"/>
    </row>
    <row r="1276" spans="1:19" ht="12.75" customHeight="1">
      <c r="A1276" s="381"/>
      <c r="B1276" s="389">
        <v>44137</v>
      </c>
      <c r="C1276" s="390">
        <v>3004.48</v>
      </c>
      <c r="D1276" s="395"/>
      <c r="E1276" s="392">
        <f t="shared" si="0"/>
        <v>-1.043097343675381E-2</v>
      </c>
      <c r="F1276" s="395"/>
      <c r="G1276" s="381"/>
      <c r="H1276" s="381"/>
      <c r="I1276" s="381"/>
      <c r="J1276" s="381"/>
      <c r="K1276" s="381"/>
      <c r="L1276" s="381"/>
      <c r="M1276" s="381"/>
      <c r="N1276" s="381"/>
      <c r="O1276" s="381"/>
      <c r="P1276" s="381"/>
      <c r="Q1276" s="381"/>
      <c r="R1276" s="381"/>
      <c r="S1276" s="381"/>
    </row>
    <row r="1277" spans="1:19" ht="12.75" customHeight="1">
      <c r="A1277" s="381"/>
      <c r="B1277" s="389">
        <v>44138</v>
      </c>
      <c r="C1277" s="390">
        <v>3048.41</v>
      </c>
      <c r="D1277" s="395"/>
      <c r="E1277" s="392">
        <f t="shared" si="0"/>
        <v>1.4621498562147117E-2</v>
      </c>
      <c r="F1277" s="395"/>
      <c r="G1277" s="381"/>
      <c r="H1277" s="381"/>
      <c r="I1277" s="381"/>
      <c r="J1277" s="381"/>
      <c r="K1277" s="381"/>
      <c r="L1277" s="381"/>
      <c r="M1277" s="381"/>
      <c r="N1277" s="381"/>
      <c r="O1277" s="381"/>
      <c r="P1277" s="381"/>
      <c r="Q1277" s="381"/>
      <c r="R1277" s="381"/>
      <c r="S1277" s="381"/>
    </row>
    <row r="1278" spans="1:19" ht="12.75" customHeight="1">
      <c r="A1278" s="381"/>
      <c r="B1278" s="389">
        <v>44139</v>
      </c>
      <c r="C1278" s="390">
        <v>3241.16</v>
      </c>
      <c r="D1278" s="395"/>
      <c r="E1278" s="392">
        <f t="shared" si="0"/>
        <v>6.3229683671159664E-2</v>
      </c>
      <c r="F1278" s="395"/>
      <c r="G1278" s="381"/>
      <c r="H1278" s="381"/>
      <c r="I1278" s="381"/>
      <c r="J1278" s="381"/>
      <c r="K1278" s="381"/>
      <c r="L1278" s="381"/>
      <c r="M1278" s="381"/>
      <c r="N1278" s="381"/>
      <c r="O1278" s="381"/>
      <c r="P1278" s="381"/>
      <c r="Q1278" s="381"/>
      <c r="R1278" s="381"/>
      <c r="S1278" s="381"/>
    </row>
    <row r="1279" spans="1:19" ht="12.75" customHeight="1">
      <c r="A1279" s="381"/>
      <c r="B1279" s="389">
        <v>44140</v>
      </c>
      <c r="C1279" s="390">
        <v>3322</v>
      </c>
      <c r="D1279" s="395"/>
      <c r="E1279" s="392">
        <f t="shared" si="0"/>
        <v>2.4941687543965863E-2</v>
      </c>
      <c r="F1279" s="395"/>
      <c r="G1279" s="381"/>
      <c r="H1279" s="381"/>
      <c r="I1279" s="381"/>
      <c r="J1279" s="381"/>
      <c r="K1279" s="381"/>
      <c r="L1279" s="381"/>
      <c r="M1279" s="381"/>
      <c r="N1279" s="381"/>
      <c r="O1279" s="381"/>
      <c r="P1279" s="381"/>
      <c r="Q1279" s="381"/>
      <c r="R1279" s="381"/>
      <c r="S1279" s="381"/>
    </row>
    <row r="1280" spans="1:19" ht="12.75" customHeight="1">
      <c r="A1280" s="381"/>
      <c r="B1280" s="396">
        <v>44141</v>
      </c>
      <c r="C1280" s="390">
        <v>3311.37</v>
      </c>
      <c r="D1280" s="381"/>
      <c r="E1280" s="392">
        <f t="shared" si="0"/>
        <v>-3.199879590608079E-3</v>
      </c>
      <c r="F1280" s="381"/>
      <c r="G1280" s="381"/>
      <c r="H1280" s="381"/>
      <c r="I1280" s="381"/>
      <c r="J1280" s="381"/>
      <c r="K1280" s="381"/>
      <c r="L1280" s="381"/>
      <c r="M1280" s="381"/>
      <c r="N1280" s="381"/>
      <c r="O1280" s="381"/>
      <c r="P1280" s="381"/>
      <c r="Q1280" s="381"/>
      <c r="R1280" s="381"/>
      <c r="S1280" s="381"/>
    </row>
    <row r="1281" spans="1:19" ht="12.75" customHeight="1">
      <c r="A1281" s="381"/>
      <c r="B1281" s="396">
        <v>44144</v>
      </c>
      <c r="C1281" s="390">
        <v>3143.74</v>
      </c>
      <c r="D1281" s="381"/>
      <c r="E1281" s="392">
        <f t="shared" si="0"/>
        <v>-5.0622551995095688E-2</v>
      </c>
      <c r="F1281" s="381"/>
      <c r="G1281" s="381"/>
      <c r="H1281" s="381"/>
      <c r="I1281" s="381"/>
      <c r="J1281" s="381"/>
      <c r="K1281" s="381"/>
      <c r="L1281" s="381"/>
      <c r="M1281" s="381"/>
      <c r="N1281" s="381"/>
      <c r="O1281" s="381"/>
      <c r="P1281" s="381"/>
      <c r="Q1281" s="381"/>
      <c r="R1281" s="381"/>
      <c r="S1281" s="381"/>
    </row>
    <row r="1282" spans="1:19" ht="12.75" customHeight="1">
      <c r="A1282" s="381"/>
      <c r="B1282" s="396">
        <v>44145</v>
      </c>
      <c r="C1282" s="390">
        <v>3035.02</v>
      </c>
      <c r="D1282" s="381"/>
      <c r="E1282" s="392">
        <f t="shared" si="0"/>
        <v>-3.458301259009966E-2</v>
      </c>
      <c r="F1282" s="381"/>
      <c r="G1282" s="381"/>
      <c r="H1282" s="381"/>
      <c r="I1282" s="381"/>
      <c r="J1282" s="381"/>
      <c r="K1282" s="381"/>
      <c r="L1282" s="381"/>
      <c r="M1282" s="381"/>
      <c r="N1282" s="381"/>
      <c r="O1282" s="381"/>
      <c r="P1282" s="381"/>
      <c r="Q1282" s="381"/>
      <c r="R1282" s="381"/>
      <c r="S1282" s="381"/>
    </row>
    <row r="1283" spans="1:19" ht="12.75" customHeight="1">
      <c r="A1283" s="381"/>
      <c r="B1283" s="396">
        <v>44146</v>
      </c>
      <c r="C1283" s="390">
        <v>3137.39</v>
      </c>
      <c r="D1283" s="381"/>
      <c r="E1283" s="392">
        <f t="shared" si="0"/>
        <v>3.3729596510072346E-2</v>
      </c>
      <c r="F1283" s="381"/>
      <c r="G1283" s="381"/>
      <c r="H1283" s="381"/>
      <c r="I1283" s="381"/>
      <c r="J1283" s="381"/>
      <c r="K1283" s="381"/>
      <c r="L1283" s="381"/>
      <c r="M1283" s="381"/>
      <c r="N1283" s="381"/>
      <c r="O1283" s="381"/>
      <c r="P1283" s="381"/>
      <c r="Q1283" s="381"/>
      <c r="R1283" s="381"/>
      <c r="S1283" s="381"/>
    </row>
    <row r="1284" spans="1:19" ht="12.75" customHeight="1">
      <c r="A1284" s="381"/>
      <c r="B1284" s="396">
        <v>44147</v>
      </c>
      <c r="C1284" s="390">
        <v>3110.28</v>
      </c>
      <c r="D1284" s="381"/>
      <c r="E1284" s="392">
        <f t="shared" si="0"/>
        <v>-8.6409403995039158E-3</v>
      </c>
      <c r="F1284" s="381"/>
      <c r="G1284" s="381"/>
      <c r="H1284" s="381"/>
      <c r="I1284" s="381"/>
      <c r="J1284" s="381"/>
      <c r="K1284" s="381"/>
      <c r="L1284" s="381"/>
      <c r="M1284" s="381"/>
      <c r="N1284" s="381"/>
      <c r="O1284" s="381"/>
      <c r="P1284" s="381"/>
      <c r="Q1284" s="381"/>
      <c r="R1284" s="381"/>
      <c r="S1284" s="381"/>
    </row>
    <row r="1285" spans="1:19" ht="12.75" customHeight="1">
      <c r="A1285" s="381"/>
      <c r="B1285" s="396">
        <v>44148</v>
      </c>
      <c r="C1285" s="390">
        <v>3128.81</v>
      </c>
      <c r="D1285" s="381"/>
      <c r="E1285" s="392">
        <f t="shared" si="0"/>
        <v>5.9576629756805666E-3</v>
      </c>
      <c r="F1285" s="381"/>
      <c r="G1285" s="381"/>
      <c r="H1285" s="381"/>
      <c r="I1285" s="381"/>
      <c r="J1285" s="381"/>
      <c r="K1285" s="381"/>
      <c r="L1285" s="381"/>
      <c r="M1285" s="381"/>
      <c r="N1285" s="381"/>
      <c r="O1285" s="381"/>
      <c r="P1285" s="381"/>
      <c r="Q1285" s="381"/>
      <c r="R1285" s="381"/>
      <c r="S1285" s="381"/>
    </row>
    <row r="1286" spans="1:19" ht="12.75" customHeight="1">
      <c r="A1286" s="381"/>
      <c r="B1286" s="396">
        <v>44151</v>
      </c>
      <c r="C1286" s="390">
        <v>3131.06</v>
      </c>
      <c r="D1286" s="381"/>
      <c r="E1286" s="392">
        <f t="shared" si="0"/>
        <v>7.1912324493972335E-4</v>
      </c>
      <c r="F1286" s="381"/>
      <c r="G1286" s="381"/>
      <c r="H1286" s="381"/>
      <c r="I1286" s="381"/>
      <c r="J1286" s="381"/>
      <c r="K1286" s="381"/>
      <c r="L1286" s="381"/>
      <c r="M1286" s="381"/>
      <c r="N1286" s="381"/>
      <c r="O1286" s="381"/>
      <c r="P1286" s="381"/>
      <c r="Q1286" s="381"/>
      <c r="R1286" s="381"/>
      <c r="S1286" s="381"/>
    </row>
    <row r="1287" spans="1:19" ht="12.75" customHeight="1">
      <c r="A1287" s="381"/>
      <c r="B1287" s="396">
        <v>44152</v>
      </c>
      <c r="C1287" s="390">
        <v>3135.66</v>
      </c>
      <c r="D1287" s="381"/>
      <c r="E1287" s="392">
        <f t="shared" si="0"/>
        <v>1.4691510223374671E-3</v>
      </c>
      <c r="F1287" s="381"/>
      <c r="G1287" s="381"/>
      <c r="H1287" s="381"/>
      <c r="I1287" s="381"/>
      <c r="J1287" s="381"/>
      <c r="K1287" s="381"/>
      <c r="L1287" s="381"/>
      <c r="M1287" s="381"/>
      <c r="N1287" s="381"/>
      <c r="O1287" s="381"/>
      <c r="P1287" s="381"/>
      <c r="Q1287" s="381"/>
      <c r="R1287" s="381"/>
      <c r="S1287" s="381"/>
    </row>
    <row r="1288" spans="1:19" ht="12.75" customHeight="1">
      <c r="A1288" s="381"/>
      <c r="B1288" s="396">
        <v>44153</v>
      </c>
      <c r="C1288" s="390">
        <v>3105.46</v>
      </c>
      <c r="D1288" s="381"/>
      <c r="E1288" s="392">
        <f t="shared" si="0"/>
        <v>-9.6311462339666587E-3</v>
      </c>
      <c r="F1288" s="381"/>
      <c r="G1288" s="381"/>
      <c r="H1288" s="381"/>
      <c r="I1288" s="381"/>
      <c r="J1288" s="381"/>
      <c r="K1288" s="381"/>
      <c r="L1288" s="381"/>
      <c r="M1288" s="381"/>
      <c r="N1288" s="381"/>
      <c r="O1288" s="381"/>
      <c r="P1288" s="381"/>
      <c r="Q1288" s="381"/>
      <c r="R1288" s="381"/>
      <c r="S1288" s="381"/>
    </row>
    <row r="1289" spans="1:19" ht="12.75" customHeight="1">
      <c r="A1289" s="381"/>
      <c r="B1289" s="396">
        <v>44154</v>
      </c>
      <c r="C1289" s="390">
        <v>3117.02</v>
      </c>
      <c r="D1289" s="381"/>
      <c r="E1289" s="392">
        <f t="shared" si="0"/>
        <v>3.722475897290467E-3</v>
      </c>
      <c r="F1289" s="381"/>
      <c r="G1289" s="381"/>
      <c r="H1289" s="381"/>
      <c r="I1289" s="381"/>
      <c r="J1289" s="381"/>
      <c r="K1289" s="381"/>
      <c r="L1289" s="381"/>
      <c r="M1289" s="381"/>
      <c r="N1289" s="381"/>
      <c r="O1289" s="381"/>
      <c r="P1289" s="381"/>
      <c r="Q1289" s="381"/>
      <c r="R1289" s="381"/>
      <c r="S1289" s="381"/>
    </row>
    <row r="1290" spans="1:19" ht="12.75" customHeight="1">
      <c r="A1290" s="381"/>
      <c r="B1290" s="396">
        <v>44155</v>
      </c>
      <c r="C1290" s="390">
        <v>3099.4</v>
      </c>
      <c r="D1290" s="381"/>
      <c r="E1290" s="392">
        <f t="shared" si="0"/>
        <v>-5.6528350796594129E-3</v>
      </c>
      <c r="F1290" s="381"/>
      <c r="G1290" s="381"/>
      <c r="H1290" s="381"/>
      <c r="I1290" s="381"/>
      <c r="J1290" s="381"/>
      <c r="K1290" s="381"/>
      <c r="L1290" s="381"/>
      <c r="M1290" s="381"/>
      <c r="N1290" s="381"/>
      <c r="O1290" s="381"/>
      <c r="P1290" s="381"/>
      <c r="Q1290" s="381"/>
      <c r="R1290" s="381"/>
      <c r="S1290" s="381"/>
    </row>
    <row r="1291" spans="1:19" ht="12.75" customHeight="1">
      <c r="A1291" s="381"/>
      <c r="B1291" s="396">
        <v>44158</v>
      </c>
      <c r="C1291" s="390">
        <v>3098.39</v>
      </c>
      <c r="D1291" s="381"/>
      <c r="E1291" s="392">
        <f t="shared" si="0"/>
        <v>-3.2586952313362616E-4</v>
      </c>
      <c r="F1291" s="381"/>
      <c r="G1291" s="381"/>
      <c r="H1291" s="381"/>
      <c r="I1291" s="381"/>
      <c r="J1291" s="381"/>
      <c r="K1291" s="381"/>
      <c r="L1291" s="381"/>
      <c r="M1291" s="381"/>
      <c r="N1291" s="381"/>
      <c r="O1291" s="381"/>
      <c r="P1291" s="381"/>
      <c r="Q1291" s="381"/>
      <c r="R1291" s="381"/>
      <c r="S1291" s="381"/>
    </row>
    <row r="1292" spans="1:19" ht="12.75" customHeight="1">
      <c r="A1292" s="381"/>
      <c r="B1292" s="396">
        <v>44159</v>
      </c>
      <c r="C1292" s="390">
        <v>3118.06</v>
      </c>
      <c r="D1292" s="381"/>
      <c r="E1292" s="392">
        <f t="shared" si="0"/>
        <v>6.348458392907208E-3</v>
      </c>
      <c r="F1292" s="381"/>
      <c r="G1292" s="381"/>
      <c r="H1292" s="381"/>
      <c r="I1292" s="381"/>
      <c r="J1292" s="381"/>
      <c r="K1292" s="381"/>
      <c r="L1292" s="381"/>
      <c r="M1292" s="381"/>
      <c r="N1292" s="381"/>
      <c r="O1292" s="381"/>
      <c r="P1292" s="381"/>
      <c r="Q1292" s="381"/>
      <c r="R1292" s="381"/>
      <c r="S1292" s="381"/>
    </row>
    <row r="1293" spans="1:19" ht="12.75" customHeight="1">
      <c r="A1293" s="381"/>
      <c r="B1293" s="396">
        <v>44160</v>
      </c>
      <c r="C1293" s="390">
        <v>3185.07</v>
      </c>
      <c r="D1293" s="381"/>
      <c r="E1293" s="392">
        <f t="shared" si="0"/>
        <v>2.1490927050794584E-2</v>
      </c>
      <c r="F1293" s="381"/>
      <c r="G1293" s="381"/>
      <c r="H1293" s="381"/>
      <c r="I1293" s="381"/>
      <c r="J1293" s="381"/>
      <c r="K1293" s="381"/>
      <c r="L1293" s="381"/>
      <c r="M1293" s="381"/>
      <c r="N1293" s="381"/>
      <c r="O1293" s="381"/>
      <c r="P1293" s="381"/>
      <c r="Q1293" s="381"/>
      <c r="R1293" s="381"/>
      <c r="S1293" s="381"/>
    </row>
    <row r="1294" spans="1:19" ht="12.75" customHeight="1">
      <c r="A1294" s="381"/>
      <c r="B1294" s="396">
        <v>44162</v>
      </c>
      <c r="C1294" s="390">
        <v>3195.34</v>
      </c>
      <c r="D1294" s="381"/>
      <c r="E1294" s="392">
        <f t="shared" si="0"/>
        <v>3.2244189295682624E-3</v>
      </c>
      <c r="F1294" s="381"/>
      <c r="G1294" s="381"/>
      <c r="H1294" s="381"/>
      <c r="I1294" s="381"/>
      <c r="J1294" s="381"/>
      <c r="K1294" s="381"/>
      <c r="L1294" s="381"/>
      <c r="M1294" s="381"/>
      <c r="N1294" s="381"/>
      <c r="O1294" s="381"/>
      <c r="P1294" s="381"/>
      <c r="Q1294" s="381"/>
      <c r="R1294" s="381"/>
      <c r="S1294" s="381"/>
    </row>
    <row r="1295" spans="1:19" ht="12.75" customHeight="1">
      <c r="A1295" s="381"/>
      <c r="B1295" s="396">
        <v>44165</v>
      </c>
      <c r="C1295" s="390">
        <v>3168.04</v>
      </c>
      <c r="D1295" s="381"/>
      <c r="E1295" s="392">
        <f t="shared" si="0"/>
        <v>-8.5436917511125809E-3</v>
      </c>
      <c r="F1295" s="381"/>
      <c r="G1295" s="381"/>
      <c r="H1295" s="381"/>
      <c r="I1295" s="381"/>
      <c r="J1295" s="381"/>
      <c r="K1295" s="381"/>
      <c r="L1295" s="381"/>
      <c r="M1295" s="381"/>
      <c r="N1295" s="381"/>
      <c r="O1295" s="381"/>
      <c r="P1295" s="381"/>
      <c r="Q1295" s="381"/>
      <c r="R1295" s="381"/>
      <c r="S1295" s="381"/>
    </row>
    <row r="1296" spans="1:19" ht="12.75" customHeight="1">
      <c r="A1296" s="381"/>
      <c r="B1296" s="396">
        <v>44166</v>
      </c>
      <c r="C1296" s="390">
        <v>3220.08</v>
      </c>
      <c r="D1296" s="381"/>
      <c r="E1296" s="392">
        <f t="shared" si="0"/>
        <v>1.6426560270703661E-2</v>
      </c>
      <c r="F1296" s="381"/>
      <c r="G1296" s="381"/>
      <c r="H1296" s="381"/>
      <c r="I1296" s="381"/>
      <c r="J1296" s="381"/>
      <c r="K1296" s="381"/>
      <c r="L1296" s="381"/>
      <c r="M1296" s="381"/>
      <c r="N1296" s="381"/>
      <c r="O1296" s="381"/>
      <c r="P1296" s="381"/>
      <c r="Q1296" s="381"/>
      <c r="R1296" s="381"/>
      <c r="S1296" s="381"/>
    </row>
    <row r="1297" spans="1:19" ht="12.75" customHeight="1">
      <c r="A1297" s="381"/>
      <c r="B1297" s="396">
        <v>44167</v>
      </c>
      <c r="C1297" s="390">
        <v>3203.53</v>
      </c>
      <c r="D1297" s="381"/>
      <c r="E1297" s="392">
        <f t="shared" si="0"/>
        <v>-5.1396238602766653E-3</v>
      </c>
      <c r="F1297" s="381"/>
      <c r="G1297" s="381"/>
      <c r="H1297" s="381"/>
      <c r="I1297" s="381"/>
      <c r="J1297" s="381"/>
      <c r="K1297" s="381"/>
      <c r="L1297" s="381"/>
      <c r="M1297" s="381"/>
      <c r="N1297" s="381"/>
      <c r="O1297" s="381"/>
      <c r="P1297" s="381"/>
      <c r="Q1297" s="381"/>
      <c r="R1297" s="381"/>
      <c r="S1297" s="381"/>
    </row>
    <row r="1298" spans="1:19" ht="12.75" customHeight="1">
      <c r="A1298" s="381"/>
      <c r="B1298" s="396">
        <v>44168</v>
      </c>
      <c r="C1298" s="390">
        <v>3186.73</v>
      </c>
      <c r="D1298" s="381"/>
      <c r="E1298" s="392">
        <f t="shared" si="0"/>
        <v>-5.2442149753553213E-3</v>
      </c>
      <c r="F1298" s="381"/>
      <c r="G1298" s="381"/>
      <c r="H1298" s="381"/>
      <c r="I1298" s="381"/>
      <c r="J1298" s="381"/>
      <c r="K1298" s="381"/>
      <c r="L1298" s="381"/>
      <c r="M1298" s="381"/>
      <c r="N1298" s="381"/>
      <c r="O1298" s="381"/>
      <c r="P1298" s="381"/>
      <c r="Q1298" s="381"/>
      <c r="R1298" s="381"/>
      <c r="S1298" s="381"/>
    </row>
    <row r="1299" spans="1:19" ht="12.75" customHeight="1">
      <c r="A1299" s="381"/>
      <c r="B1299" s="396">
        <v>44169</v>
      </c>
      <c r="C1299" s="390">
        <v>3162.58</v>
      </c>
      <c r="D1299" s="381"/>
      <c r="E1299" s="392">
        <f t="shared" si="0"/>
        <v>-7.5783012680710193E-3</v>
      </c>
      <c r="F1299" s="381"/>
      <c r="G1299" s="381"/>
      <c r="H1299" s="381"/>
      <c r="I1299" s="381"/>
      <c r="J1299" s="381"/>
      <c r="K1299" s="381"/>
      <c r="L1299" s="381"/>
      <c r="M1299" s="381"/>
      <c r="N1299" s="381"/>
      <c r="O1299" s="381"/>
      <c r="P1299" s="381"/>
      <c r="Q1299" s="381"/>
      <c r="R1299" s="381"/>
      <c r="S1299" s="381"/>
    </row>
    <row r="1300" spans="1:19" ht="12.75" customHeight="1">
      <c r="A1300" s="381"/>
      <c r="B1300" s="396">
        <v>44172</v>
      </c>
      <c r="C1300" s="390">
        <v>3158</v>
      </c>
      <c r="D1300" s="381"/>
      <c r="E1300" s="392">
        <f t="shared" si="0"/>
        <v>-1.4481847099520051E-3</v>
      </c>
      <c r="F1300" s="381"/>
      <c r="G1300" s="381"/>
      <c r="H1300" s="381"/>
      <c r="I1300" s="381"/>
      <c r="J1300" s="381"/>
      <c r="K1300" s="381"/>
      <c r="L1300" s="381"/>
      <c r="M1300" s="381"/>
      <c r="N1300" s="381"/>
      <c r="O1300" s="381"/>
      <c r="P1300" s="381"/>
      <c r="Q1300" s="381"/>
      <c r="R1300" s="381"/>
      <c r="S1300" s="381"/>
    </row>
    <row r="1301" spans="1:19" ht="12.75" customHeight="1">
      <c r="A1301" s="381"/>
      <c r="B1301" s="396">
        <v>44173</v>
      </c>
      <c r="C1301" s="390">
        <v>3177.29</v>
      </c>
      <c r="D1301" s="381"/>
      <c r="E1301" s="392">
        <f t="shared" si="0"/>
        <v>6.108296390120227E-3</v>
      </c>
      <c r="F1301" s="381"/>
      <c r="G1301" s="381"/>
      <c r="H1301" s="381"/>
      <c r="I1301" s="381"/>
      <c r="J1301" s="381"/>
      <c r="K1301" s="381"/>
      <c r="L1301" s="381"/>
      <c r="M1301" s="381"/>
      <c r="N1301" s="381"/>
      <c r="O1301" s="381"/>
      <c r="P1301" s="381"/>
      <c r="Q1301" s="381"/>
      <c r="R1301" s="381"/>
      <c r="S1301" s="381"/>
    </row>
    <row r="1302" spans="1:19" ht="12.75" customHeight="1">
      <c r="A1302" s="381"/>
      <c r="B1302" s="396">
        <v>44174</v>
      </c>
      <c r="C1302" s="390">
        <v>3104.2</v>
      </c>
      <c r="D1302" s="381"/>
      <c r="E1302" s="392">
        <f t="shared" si="0"/>
        <v>-2.3003880665598664E-2</v>
      </c>
      <c r="F1302" s="381"/>
      <c r="G1302" s="381"/>
      <c r="H1302" s="381"/>
      <c r="I1302" s="381"/>
      <c r="J1302" s="381"/>
      <c r="K1302" s="381"/>
      <c r="L1302" s="381"/>
      <c r="M1302" s="381"/>
      <c r="N1302" s="381"/>
      <c r="O1302" s="381"/>
      <c r="P1302" s="381"/>
      <c r="Q1302" s="381"/>
      <c r="R1302" s="381"/>
      <c r="S1302" s="381"/>
    </row>
    <row r="1303" spans="1:19" ht="12.75" customHeight="1">
      <c r="A1303" s="381"/>
      <c r="B1303" s="396">
        <v>44175</v>
      </c>
      <c r="C1303" s="390">
        <v>3101.49</v>
      </c>
      <c r="D1303" s="381"/>
      <c r="E1303" s="392">
        <f t="shared" si="0"/>
        <v>-8.7301075961598862E-4</v>
      </c>
      <c r="F1303" s="381"/>
      <c r="G1303" s="381"/>
      <c r="H1303" s="381"/>
      <c r="I1303" s="381"/>
      <c r="J1303" s="381"/>
      <c r="K1303" s="381"/>
      <c r="L1303" s="381"/>
      <c r="M1303" s="381"/>
      <c r="N1303" s="381"/>
      <c r="O1303" s="381"/>
      <c r="P1303" s="381"/>
      <c r="Q1303" s="381"/>
      <c r="R1303" s="381"/>
      <c r="S1303" s="381"/>
    </row>
    <row r="1304" spans="1:19" ht="12.75" customHeight="1">
      <c r="A1304" s="381"/>
      <c r="B1304" s="396">
        <v>44176</v>
      </c>
      <c r="C1304" s="390">
        <v>3116.42</v>
      </c>
      <c r="D1304" s="381"/>
      <c r="E1304" s="392">
        <f t="shared" si="0"/>
        <v>4.8138152952290625E-3</v>
      </c>
      <c r="F1304" s="381"/>
      <c r="G1304" s="381"/>
      <c r="H1304" s="381"/>
      <c r="I1304" s="381"/>
      <c r="J1304" s="381"/>
      <c r="K1304" s="381"/>
      <c r="L1304" s="381"/>
      <c r="M1304" s="381"/>
      <c r="N1304" s="381"/>
      <c r="O1304" s="381"/>
      <c r="P1304" s="381"/>
      <c r="Q1304" s="381"/>
      <c r="R1304" s="381"/>
      <c r="S1304" s="381"/>
    </row>
    <row r="1305" spans="1:19" ht="12.75" customHeight="1">
      <c r="A1305" s="381"/>
      <c r="B1305" s="396">
        <v>44179</v>
      </c>
      <c r="C1305" s="390">
        <v>3156.97</v>
      </c>
      <c r="D1305" s="381"/>
      <c r="E1305" s="392">
        <f t="shared" si="0"/>
        <v>1.3011724992138429E-2</v>
      </c>
      <c r="F1305" s="381"/>
      <c r="G1305" s="381"/>
      <c r="H1305" s="381"/>
      <c r="I1305" s="381"/>
      <c r="J1305" s="381"/>
      <c r="K1305" s="381"/>
      <c r="L1305" s="381"/>
      <c r="M1305" s="381"/>
      <c r="N1305" s="381"/>
      <c r="O1305" s="381"/>
      <c r="P1305" s="381"/>
      <c r="Q1305" s="381"/>
      <c r="R1305" s="381"/>
      <c r="S1305" s="381"/>
    </row>
    <row r="1306" spans="1:19" ht="12.75" customHeight="1">
      <c r="A1306" s="381"/>
      <c r="B1306" s="396">
        <v>44180</v>
      </c>
      <c r="C1306" s="390">
        <v>3165.12</v>
      </c>
      <c r="D1306" s="381"/>
      <c r="E1306" s="392">
        <f t="shared" si="0"/>
        <v>2.5815893087359765E-3</v>
      </c>
      <c r="F1306" s="381"/>
      <c r="G1306" s="381"/>
      <c r="H1306" s="381"/>
      <c r="I1306" s="381"/>
      <c r="J1306" s="381"/>
      <c r="K1306" s="381"/>
      <c r="L1306" s="381"/>
      <c r="M1306" s="381"/>
      <c r="N1306" s="381"/>
      <c r="O1306" s="381"/>
      <c r="P1306" s="381"/>
      <c r="Q1306" s="381"/>
      <c r="R1306" s="381"/>
      <c r="S1306" s="381"/>
    </row>
    <row r="1307" spans="1:19" ht="12.75" customHeight="1">
      <c r="A1307" s="381"/>
      <c r="B1307" s="396">
        <v>44181</v>
      </c>
      <c r="C1307" s="390">
        <v>3240.96</v>
      </c>
      <c r="D1307" s="381"/>
      <c r="E1307" s="392">
        <f t="shared" si="0"/>
        <v>2.3961176827418829E-2</v>
      </c>
      <c r="F1307" s="381"/>
      <c r="G1307" s="381"/>
      <c r="H1307" s="381"/>
      <c r="I1307" s="381"/>
      <c r="J1307" s="381"/>
      <c r="K1307" s="381"/>
      <c r="L1307" s="381"/>
      <c r="M1307" s="381"/>
      <c r="N1307" s="381"/>
      <c r="O1307" s="381"/>
      <c r="P1307" s="381"/>
      <c r="Q1307" s="381"/>
      <c r="R1307" s="381"/>
      <c r="S1307" s="381"/>
    </row>
    <row r="1308" spans="1:19" ht="12.75" customHeight="1">
      <c r="A1308" s="381"/>
      <c r="B1308" s="396">
        <v>44182</v>
      </c>
      <c r="C1308" s="390">
        <v>3236.08</v>
      </c>
      <c r="D1308" s="381"/>
      <c r="E1308" s="392">
        <f t="shared" si="0"/>
        <v>-1.5057266982623219E-3</v>
      </c>
      <c r="F1308" s="381"/>
      <c r="G1308" s="381"/>
      <c r="H1308" s="381"/>
      <c r="I1308" s="381"/>
      <c r="J1308" s="381"/>
      <c r="K1308" s="381"/>
      <c r="L1308" s="381"/>
      <c r="M1308" s="381"/>
      <c r="N1308" s="381"/>
      <c r="O1308" s="381"/>
      <c r="P1308" s="381"/>
      <c r="Q1308" s="381"/>
      <c r="R1308" s="381"/>
      <c r="S1308" s="381"/>
    </row>
    <row r="1309" spans="1:19" ht="12.75" customHeight="1">
      <c r="A1309" s="381"/>
      <c r="B1309" s="396">
        <v>44183</v>
      </c>
      <c r="C1309" s="390">
        <v>3201.65</v>
      </c>
      <c r="D1309" s="381"/>
      <c r="E1309" s="392">
        <f t="shared" si="0"/>
        <v>-1.0639415589231316E-2</v>
      </c>
      <c r="F1309" s="381"/>
      <c r="G1309" s="381"/>
      <c r="H1309" s="381"/>
      <c r="I1309" s="381"/>
      <c r="J1309" s="381"/>
      <c r="K1309" s="381"/>
      <c r="L1309" s="381"/>
      <c r="M1309" s="381"/>
      <c r="N1309" s="381"/>
      <c r="O1309" s="381"/>
      <c r="P1309" s="381"/>
      <c r="Q1309" s="381"/>
      <c r="R1309" s="381"/>
      <c r="S1309" s="381"/>
    </row>
    <row r="1310" spans="1:19" ht="12.75" customHeight="1">
      <c r="A1310" s="381"/>
      <c r="B1310" s="396">
        <v>44186</v>
      </c>
      <c r="C1310" s="390">
        <v>3206.18</v>
      </c>
      <c r="D1310" s="381"/>
      <c r="E1310" s="392">
        <f t="shared" si="0"/>
        <v>1.4148954445363238E-3</v>
      </c>
      <c r="F1310" s="381"/>
      <c r="G1310" s="381"/>
      <c r="H1310" s="381"/>
      <c r="I1310" s="381"/>
      <c r="J1310" s="381"/>
      <c r="K1310" s="381"/>
      <c r="L1310" s="381"/>
      <c r="M1310" s="381"/>
      <c r="N1310" s="381"/>
      <c r="O1310" s="381"/>
      <c r="P1310" s="381"/>
      <c r="Q1310" s="381"/>
      <c r="R1310" s="381"/>
      <c r="S1310" s="381"/>
    </row>
    <row r="1311" spans="1:19" ht="12.75" customHeight="1">
      <c r="A1311" s="381"/>
      <c r="B1311" s="396">
        <v>44187</v>
      </c>
      <c r="C1311" s="390">
        <v>3206.52</v>
      </c>
      <c r="D1311" s="381"/>
      <c r="E1311" s="392">
        <f t="shared" si="0"/>
        <v>1.060452002070722E-4</v>
      </c>
      <c r="F1311" s="381"/>
      <c r="G1311" s="381"/>
      <c r="H1311" s="381"/>
      <c r="I1311" s="381"/>
      <c r="J1311" s="381"/>
      <c r="K1311" s="381"/>
      <c r="L1311" s="381"/>
      <c r="M1311" s="381"/>
      <c r="N1311" s="381"/>
      <c r="O1311" s="381"/>
      <c r="P1311" s="381"/>
      <c r="Q1311" s="381"/>
      <c r="R1311" s="381"/>
      <c r="S1311" s="381"/>
    </row>
    <row r="1312" spans="1:19" ht="12.75" customHeight="1">
      <c r="A1312" s="381"/>
      <c r="B1312" s="396">
        <v>44188</v>
      </c>
      <c r="C1312" s="390">
        <v>3185.27</v>
      </c>
      <c r="D1312" s="381"/>
      <c r="E1312" s="392">
        <f t="shared" si="0"/>
        <v>-6.6271222384391981E-3</v>
      </c>
      <c r="F1312" s="381"/>
      <c r="G1312" s="381"/>
      <c r="H1312" s="381"/>
      <c r="I1312" s="381"/>
      <c r="J1312" s="381"/>
      <c r="K1312" s="381"/>
      <c r="L1312" s="381"/>
      <c r="M1312" s="381"/>
      <c r="N1312" s="381"/>
      <c r="O1312" s="381"/>
      <c r="P1312" s="381"/>
      <c r="Q1312" s="381"/>
      <c r="R1312" s="381"/>
      <c r="S1312" s="381"/>
    </row>
    <row r="1313" spans="1:19" ht="12.75" customHeight="1">
      <c r="A1313" s="381"/>
      <c r="B1313" s="396">
        <v>44189</v>
      </c>
      <c r="C1313" s="390">
        <v>3172.69</v>
      </c>
      <c r="D1313" s="381"/>
      <c r="E1313" s="392">
        <f t="shared" si="0"/>
        <v>-3.9494297186737359E-3</v>
      </c>
      <c r="F1313" s="381"/>
      <c r="G1313" s="381"/>
      <c r="H1313" s="381"/>
      <c r="I1313" s="381"/>
      <c r="J1313" s="381"/>
      <c r="K1313" s="381"/>
      <c r="L1313" s="381"/>
      <c r="M1313" s="381"/>
      <c r="N1313" s="381"/>
      <c r="O1313" s="381"/>
      <c r="P1313" s="381"/>
      <c r="Q1313" s="381"/>
      <c r="R1313" s="381"/>
      <c r="S1313" s="381"/>
    </row>
    <row r="1314" spans="1:19" ht="12.75" customHeight="1">
      <c r="A1314" s="381"/>
      <c r="B1314" s="396">
        <v>44193</v>
      </c>
      <c r="C1314" s="390">
        <v>3283.96</v>
      </c>
      <c r="D1314" s="381"/>
      <c r="E1314" s="392">
        <f t="shared" si="0"/>
        <v>3.5071185650032088E-2</v>
      </c>
      <c r="F1314" s="381"/>
      <c r="G1314" s="381"/>
      <c r="H1314" s="381"/>
      <c r="I1314" s="381"/>
      <c r="J1314" s="381"/>
      <c r="K1314" s="381"/>
      <c r="L1314" s="381"/>
      <c r="M1314" s="381"/>
      <c r="N1314" s="381"/>
      <c r="O1314" s="381"/>
      <c r="P1314" s="381"/>
      <c r="Q1314" s="381"/>
      <c r="R1314" s="381"/>
      <c r="S1314" s="381"/>
    </row>
    <row r="1315" spans="1:19" ht="12.75" customHeight="1">
      <c r="A1315" s="381"/>
      <c r="B1315" s="396">
        <v>44194</v>
      </c>
      <c r="C1315" s="390">
        <v>3322</v>
      </c>
      <c r="D1315" s="381"/>
      <c r="E1315" s="392">
        <f t="shared" si="0"/>
        <v>1.1583575926625178E-2</v>
      </c>
      <c r="F1315" s="381"/>
      <c r="G1315" s="381"/>
      <c r="H1315" s="381"/>
      <c r="I1315" s="381"/>
      <c r="J1315" s="381"/>
      <c r="K1315" s="381"/>
      <c r="L1315" s="381"/>
      <c r="M1315" s="381"/>
      <c r="N1315" s="381"/>
      <c r="O1315" s="381"/>
      <c r="P1315" s="381"/>
      <c r="Q1315" s="381"/>
      <c r="R1315" s="381"/>
      <c r="S1315" s="381"/>
    </row>
    <row r="1316" spans="1:19" ht="12.75" customHeight="1">
      <c r="A1316" s="381"/>
      <c r="B1316" s="396">
        <v>44195</v>
      </c>
      <c r="C1316" s="390">
        <v>3285.85</v>
      </c>
      <c r="D1316" s="381"/>
      <c r="E1316" s="392">
        <f t="shared" si="0"/>
        <v>-1.0881998795906123E-2</v>
      </c>
      <c r="F1316" s="381"/>
      <c r="G1316" s="381"/>
      <c r="H1316" s="381"/>
      <c r="I1316" s="381"/>
      <c r="J1316" s="381"/>
      <c r="K1316" s="381"/>
      <c r="L1316" s="381"/>
      <c r="M1316" s="381"/>
      <c r="N1316" s="381"/>
      <c r="O1316" s="381"/>
      <c r="P1316" s="381"/>
      <c r="Q1316" s="381"/>
      <c r="R1316" s="381"/>
      <c r="S1316" s="381"/>
    </row>
    <row r="1317" spans="1:19" ht="12.75" customHeight="1">
      <c r="A1317" s="381"/>
      <c r="B1317" s="396">
        <v>44196</v>
      </c>
      <c r="C1317" s="390">
        <v>3256.93</v>
      </c>
      <c r="D1317" s="381"/>
      <c r="E1317" s="392">
        <f t="shared" si="0"/>
        <v>-8.8013755953558759E-3</v>
      </c>
      <c r="F1317" s="381"/>
      <c r="G1317" s="381"/>
      <c r="H1317" s="381"/>
      <c r="I1317" s="381"/>
      <c r="J1317" s="381"/>
      <c r="K1317" s="381"/>
      <c r="L1317" s="381"/>
      <c r="M1317" s="381"/>
      <c r="N1317" s="381"/>
      <c r="O1317" s="381"/>
      <c r="P1317" s="381"/>
      <c r="Q1317" s="381"/>
      <c r="R1317" s="381"/>
      <c r="S1317" s="381"/>
    </row>
    <row r="1318" spans="1:19" ht="12.75" customHeight="1">
      <c r="A1318" s="381"/>
      <c r="B1318" s="396">
        <v>44200</v>
      </c>
      <c r="C1318" s="390">
        <v>3186.63</v>
      </c>
      <c r="D1318" s="381"/>
      <c r="E1318" s="392">
        <f t="shared" si="0"/>
        <v>-2.158474391528209E-2</v>
      </c>
      <c r="F1318" s="381"/>
      <c r="G1318" s="381"/>
      <c r="H1318" s="381"/>
      <c r="I1318" s="381"/>
      <c r="J1318" s="381"/>
      <c r="K1318" s="381"/>
      <c r="L1318" s="381"/>
      <c r="M1318" s="381"/>
      <c r="N1318" s="381"/>
      <c r="O1318" s="381"/>
      <c r="P1318" s="381"/>
      <c r="Q1318" s="381"/>
      <c r="R1318" s="381"/>
      <c r="S1318" s="381"/>
    </row>
    <row r="1319" spans="1:19" ht="12.75" customHeight="1">
      <c r="A1319" s="381"/>
      <c r="B1319" s="396">
        <v>44201</v>
      </c>
      <c r="C1319" s="390">
        <v>3218.51</v>
      </c>
      <c r="D1319" s="381"/>
      <c r="E1319" s="392">
        <f t="shared" si="0"/>
        <v>1.0004299212647894E-2</v>
      </c>
      <c r="F1319" s="381"/>
      <c r="G1319" s="381"/>
      <c r="H1319" s="381"/>
      <c r="I1319" s="381"/>
      <c r="J1319" s="381"/>
      <c r="K1319" s="381"/>
      <c r="L1319" s="381"/>
      <c r="M1319" s="381"/>
      <c r="N1319" s="381"/>
      <c r="O1319" s="381"/>
      <c r="P1319" s="381"/>
      <c r="Q1319" s="381"/>
      <c r="R1319" s="381"/>
      <c r="S1319" s="381"/>
    </row>
    <row r="1320" spans="1:19" ht="12.75" customHeight="1">
      <c r="A1320" s="381"/>
      <c r="B1320" s="396">
        <v>44202</v>
      </c>
      <c r="C1320" s="390">
        <v>3138.38</v>
      </c>
      <c r="D1320" s="381"/>
      <c r="E1320" s="392">
        <f t="shared" si="0"/>
        <v>-2.4896613650415955E-2</v>
      </c>
      <c r="F1320" s="381"/>
      <c r="G1320" s="381"/>
      <c r="H1320" s="381"/>
      <c r="I1320" s="381"/>
      <c r="J1320" s="381"/>
      <c r="K1320" s="381"/>
      <c r="L1320" s="381"/>
      <c r="M1320" s="381"/>
      <c r="N1320" s="381"/>
      <c r="O1320" s="381"/>
      <c r="P1320" s="381"/>
      <c r="Q1320" s="381"/>
      <c r="R1320" s="381"/>
      <c r="S1320" s="381"/>
    </row>
    <row r="1321" spans="1:19" ht="12.75" customHeight="1">
      <c r="A1321" s="381"/>
      <c r="B1321" s="396">
        <v>44203</v>
      </c>
      <c r="C1321" s="390">
        <v>3162.16</v>
      </c>
      <c r="D1321" s="381"/>
      <c r="E1321" s="392">
        <f t="shared" si="0"/>
        <v>7.5771576418406372E-3</v>
      </c>
      <c r="F1321" s="381"/>
      <c r="G1321" s="381"/>
      <c r="H1321" s="381"/>
      <c r="I1321" s="381"/>
      <c r="J1321" s="381"/>
      <c r="K1321" s="381"/>
      <c r="L1321" s="381"/>
      <c r="M1321" s="381"/>
      <c r="N1321" s="381"/>
      <c r="O1321" s="381"/>
      <c r="P1321" s="381"/>
      <c r="Q1321" s="381"/>
      <c r="R1321" s="381"/>
      <c r="S1321" s="381"/>
    </row>
    <row r="1322" spans="1:19" ht="12.75" customHeight="1">
      <c r="A1322" s="381"/>
      <c r="B1322" s="396">
        <v>44204</v>
      </c>
      <c r="C1322" s="390">
        <v>3182.7</v>
      </c>
      <c r="D1322" s="381"/>
      <c r="E1322" s="392">
        <f t="shared" si="0"/>
        <v>6.495559996964051E-3</v>
      </c>
      <c r="F1322" s="381"/>
      <c r="G1322" s="381"/>
      <c r="H1322" s="381"/>
      <c r="I1322" s="381"/>
      <c r="J1322" s="381"/>
      <c r="K1322" s="381"/>
      <c r="L1322" s="381"/>
      <c r="M1322" s="381"/>
      <c r="N1322" s="381"/>
      <c r="O1322" s="381"/>
      <c r="P1322" s="381"/>
      <c r="Q1322" s="381"/>
      <c r="R1322" s="381"/>
      <c r="S1322" s="381"/>
    </row>
    <row r="1323" spans="1:19" ht="12.75" customHeight="1">
      <c r="A1323" s="381"/>
      <c r="B1323" s="396">
        <v>44207</v>
      </c>
      <c r="C1323" s="390">
        <v>3114.21</v>
      </c>
      <c r="D1323" s="381"/>
      <c r="E1323" s="392">
        <f t="shared" si="0"/>
        <v>-2.1519464605523564E-2</v>
      </c>
      <c r="F1323" s="381"/>
      <c r="G1323" s="381"/>
      <c r="H1323" s="381"/>
      <c r="I1323" s="381"/>
      <c r="J1323" s="381"/>
      <c r="K1323" s="381"/>
      <c r="L1323" s="381"/>
      <c r="M1323" s="381"/>
      <c r="N1323" s="381"/>
      <c r="O1323" s="381"/>
      <c r="P1323" s="381"/>
      <c r="Q1323" s="381"/>
      <c r="R1323" s="381"/>
      <c r="S1323" s="381"/>
    </row>
    <row r="1324" spans="1:19" ht="12.75" customHeight="1">
      <c r="A1324" s="381"/>
      <c r="B1324" s="396">
        <v>44208</v>
      </c>
      <c r="C1324" s="390">
        <v>3120.83</v>
      </c>
      <c r="D1324" s="381"/>
      <c r="E1324" s="392">
        <f t="shared" si="0"/>
        <v>2.1257397542233658E-3</v>
      </c>
      <c r="F1324" s="381"/>
      <c r="G1324" s="381"/>
      <c r="H1324" s="381"/>
      <c r="I1324" s="381"/>
      <c r="J1324" s="381"/>
      <c r="K1324" s="381"/>
      <c r="L1324" s="381"/>
      <c r="M1324" s="381"/>
      <c r="N1324" s="381"/>
      <c r="O1324" s="381"/>
      <c r="P1324" s="381"/>
      <c r="Q1324" s="381"/>
      <c r="R1324" s="381"/>
      <c r="S1324" s="381"/>
    </row>
    <row r="1325" spans="1:19" ht="12.75" customHeight="1">
      <c r="A1325" s="381"/>
      <c r="B1325" s="396">
        <v>44209</v>
      </c>
      <c r="C1325" s="390">
        <v>3165.89</v>
      </c>
      <c r="D1325" s="381"/>
      <c r="E1325" s="392">
        <f t="shared" si="0"/>
        <v>1.4438466689951079E-2</v>
      </c>
      <c r="F1325" s="381"/>
      <c r="G1325" s="381"/>
      <c r="H1325" s="381"/>
      <c r="I1325" s="381"/>
      <c r="J1325" s="381"/>
      <c r="K1325" s="381"/>
      <c r="L1325" s="381"/>
      <c r="M1325" s="381"/>
      <c r="N1325" s="381"/>
      <c r="O1325" s="381"/>
      <c r="P1325" s="381"/>
      <c r="Q1325" s="381"/>
      <c r="R1325" s="381"/>
      <c r="S1325" s="381"/>
    </row>
    <row r="1326" spans="1:19" ht="12.75" customHeight="1">
      <c r="A1326" s="381"/>
      <c r="B1326" s="396">
        <v>44210</v>
      </c>
      <c r="C1326" s="390">
        <v>3127.47</v>
      </c>
      <c r="D1326" s="381"/>
      <c r="E1326" s="392">
        <f t="shared" si="0"/>
        <v>-1.2135607996487607E-2</v>
      </c>
      <c r="F1326" s="381"/>
      <c r="G1326" s="381"/>
      <c r="H1326" s="381"/>
      <c r="I1326" s="381"/>
      <c r="J1326" s="381"/>
      <c r="K1326" s="381"/>
      <c r="L1326" s="381"/>
      <c r="M1326" s="381"/>
      <c r="N1326" s="381"/>
      <c r="O1326" s="381"/>
      <c r="P1326" s="381"/>
      <c r="Q1326" s="381"/>
      <c r="R1326" s="381"/>
      <c r="S1326" s="381"/>
    </row>
    <row r="1327" spans="1:19" ht="12.75" customHeight="1">
      <c r="A1327" s="381"/>
      <c r="B1327" s="396">
        <v>44211</v>
      </c>
      <c r="C1327" s="390">
        <v>3104.25</v>
      </c>
      <c r="D1327" s="381"/>
      <c r="E1327" s="392">
        <f t="shared" si="0"/>
        <v>-7.4245316501836411E-3</v>
      </c>
      <c r="F1327" s="381"/>
      <c r="G1327" s="381"/>
      <c r="H1327" s="381"/>
      <c r="I1327" s="381"/>
      <c r="J1327" s="381"/>
      <c r="K1327" s="381"/>
      <c r="L1327" s="381"/>
      <c r="M1327" s="381"/>
      <c r="N1327" s="381"/>
      <c r="O1327" s="381"/>
      <c r="P1327" s="381"/>
      <c r="Q1327" s="381"/>
      <c r="R1327" s="381"/>
      <c r="S1327" s="381"/>
    </row>
    <row r="1328" spans="1:19" ht="12.75" customHeight="1">
      <c r="A1328" s="381"/>
      <c r="B1328" s="396">
        <v>44215</v>
      </c>
      <c r="C1328" s="390">
        <v>3120.76</v>
      </c>
      <c r="D1328" s="381"/>
      <c r="E1328" s="392">
        <f t="shared" si="0"/>
        <v>5.3185149391963282E-3</v>
      </c>
      <c r="F1328" s="381"/>
      <c r="G1328" s="381"/>
      <c r="H1328" s="381"/>
      <c r="I1328" s="381"/>
      <c r="J1328" s="381"/>
      <c r="K1328" s="381"/>
      <c r="L1328" s="381"/>
      <c r="M1328" s="381"/>
      <c r="N1328" s="381"/>
      <c r="O1328" s="381"/>
      <c r="P1328" s="381"/>
      <c r="Q1328" s="381"/>
      <c r="R1328" s="381"/>
      <c r="S1328" s="381"/>
    </row>
    <row r="1329" spans="1:19" ht="12.75" customHeight="1">
      <c r="A1329" s="381"/>
      <c r="B1329" s="396">
        <v>44216</v>
      </c>
      <c r="C1329" s="390">
        <v>3263.38</v>
      </c>
      <c r="D1329" s="381"/>
      <c r="E1329" s="392">
        <f t="shared" si="0"/>
        <v>4.5700406311283137E-2</v>
      </c>
      <c r="F1329" s="381"/>
      <c r="G1329" s="381"/>
      <c r="H1329" s="381"/>
      <c r="I1329" s="381"/>
      <c r="J1329" s="381"/>
      <c r="K1329" s="381"/>
      <c r="L1329" s="381"/>
      <c r="M1329" s="381"/>
      <c r="N1329" s="381"/>
      <c r="O1329" s="381"/>
      <c r="P1329" s="381"/>
      <c r="Q1329" s="381"/>
      <c r="R1329" s="381"/>
      <c r="S1329" s="381"/>
    </row>
    <row r="1330" spans="1:19" ht="12.75" customHeight="1">
      <c r="A1330" s="381"/>
      <c r="B1330" s="396">
        <v>44217</v>
      </c>
      <c r="C1330" s="390">
        <v>3306.99</v>
      </c>
      <c r="D1330" s="381"/>
      <c r="E1330" s="392">
        <f t="shared" si="0"/>
        <v>1.3363445262273954E-2</v>
      </c>
      <c r="F1330" s="381"/>
      <c r="G1330" s="381"/>
      <c r="H1330" s="381"/>
      <c r="I1330" s="381"/>
      <c r="J1330" s="381"/>
      <c r="K1330" s="381"/>
      <c r="L1330" s="381"/>
      <c r="M1330" s="381"/>
      <c r="N1330" s="381"/>
      <c r="O1330" s="381"/>
      <c r="P1330" s="381"/>
      <c r="Q1330" s="381"/>
      <c r="R1330" s="381"/>
      <c r="S1330" s="381"/>
    </row>
    <row r="1331" spans="1:19" ht="12.75" customHeight="1">
      <c r="A1331" s="381"/>
      <c r="B1331" s="396">
        <v>44218</v>
      </c>
      <c r="C1331" s="390">
        <v>3292.23</v>
      </c>
      <c r="D1331" s="381"/>
      <c r="E1331" s="392">
        <f t="shared" si="0"/>
        <v>-4.4632732484827242E-3</v>
      </c>
      <c r="F1331" s="381"/>
      <c r="G1331" s="381"/>
      <c r="H1331" s="381"/>
      <c r="I1331" s="381"/>
      <c r="J1331" s="381"/>
      <c r="K1331" s="381"/>
      <c r="L1331" s="381"/>
      <c r="M1331" s="381"/>
      <c r="N1331" s="381"/>
      <c r="O1331" s="381"/>
      <c r="P1331" s="381"/>
      <c r="Q1331" s="381"/>
      <c r="R1331" s="381"/>
      <c r="S1331" s="381"/>
    </row>
    <row r="1332" spans="1:19" ht="12.75" customHeight="1">
      <c r="A1332" s="381"/>
      <c r="B1332" s="396">
        <v>44221</v>
      </c>
      <c r="C1332" s="390">
        <v>3294</v>
      </c>
      <c r="D1332" s="381"/>
      <c r="E1332" s="392">
        <f t="shared" si="0"/>
        <v>5.3762950948144095E-4</v>
      </c>
      <c r="F1332" s="381"/>
      <c r="G1332" s="381"/>
      <c r="H1332" s="381"/>
      <c r="I1332" s="381"/>
      <c r="J1332" s="381"/>
      <c r="K1332" s="381"/>
      <c r="L1332" s="381"/>
      <c r="M1332" s="381"/>
      <c r="N1332" s="381"/>
      <c r="O1332" s="381"/>
      <c r="P1332" s="381"/>
      <c r="Q1332" s="381"/>
      <c r="R1332" s="381"/>
      <c r="S1332" s="381"/>
    </row>
    <row r="1333" spans="1:19" ht="12.75" customHeight="1">
      <c r="A1333" s="381"/>
      <c r="B1333" s="396">
        <v>44222</v>
      </c>
      <c r="C1333" s="390">
        <v>3326.13</v>
      </c>
      <c r="D1333" s="381"/>
      <c r="E1333" s="392">
        <f t="shared" si="0"/>
        <v>9.7540983606556608E-3</v>
      </c>
      <c r="F1333" s="381"/>
      <c r="G1333" s="381"/>
      <c r="H1333" s="381"/>
      <c r="I1333" s="381"/>
      <c r="J1333" s="381"/>
      <c r="K1333" s="381"/>
      <c r="L1333" s="381"/>
      <c r="M1333" s="381"/>
      <c r="N1333" s="381"/>
      <c r="O1333" s="381"/>
      <c r="P1333" s="381"/>
      <c r="Q1333" s="381"/>
      <c r="R1333" s="381"/>
      <c r="S1333" s="381"/>
    </row>
    <row r="1334" spans="1:19" ht="12.75" customHeight="1">
      <c r="A1334" s="381"/>
      <c r="B1334" s="396">
        <v>44223</v>
      </c>
      <c r="C1334" s="390">
        <v>3232.58</v>
      </c>
      <c r="D1334" s="381"/>
      <c r="E1334" s="392">
        <f t="shared" si="0"/>
        <v>-2.8125779810169838E-2</v>
      </c>
      <c r="F1334" s="381"/>
      <c r="G1334" s="381"/>
      <c r="H1334" s="381"/>
      <c r="I1334" s="381"/>
      <c r="J1334" s="381"/>
      <c r="K1334" s="381"/>
      <c r="L1334" s="381"/>
      <c r="M1334" s="381"/>
      <c r="N1334" s="381"/>
      <c r="O1334" s="381"/>
      <c r="P1334" s="381"/>
      <c r="Q1334" s="381"/>
      <c r="R1334" s="381"/>
      <c r="S1334" s="381"/>
    </row>
    <row r="1335" spans="1:19" ht="12.75" customHeight="1">
      <c r="A1335" s="381"/>
      <c r="B1335" s="396">
        <v>44224</v>
      </c>
      <c r="C1335" s="390">
        <v>3237.62</v>
      </c>
      <c r="D1335" s="381"/>
      <c r="E1335" s="392">
        <f t="shared" si="0"/>
        <v>1.5591261469167783E-3</v>
      </c>
      <c r="F1335" s="381"/>
      <c r="G1335" s="381"/>
      <c r="H1335" s="381"/>
      <c r="I1335" s="381"/>
      <c r="J1335" s="381"/>
      <c r="K1335" s="381"/>
      <c r="L1335" s="381"/>
      <c r="M1335" s="381"/>
      <c r="N1335" s="381"/>
      <c r="O1335" s="381"/>
      <c r="P1335" s="381"/>
      <c r="Q1335" s="381"/>
      <c r="R1335" s="381"/>
      <c r="S1335" s="381"/>
    </row>
    <row r="1336" spans="1:19" ht="12.75" customHeight="1">
      <c r="A1336" s="381"/>
      <c r="B1336" s="396">
        <v>44225</v>
      </c>
      <c r="C1336" s="390">
        <v>3206.2</v>
      </c>
      <c r="D1336" s="381"/>
      <c r="E1336" s="392">
        <f t="shared" si="0"/>
        <v>-9.7046595956289394E-3</v>
      </c>
      <c r="F1336" s="381"/>
      <c r="G1336" s="381"/>
      <c r="H1336" s="381"/>
      <c r="I1336" s="381"/>
      <c r="J1336" s="381"/>
      <c r="K1336" s="381"/>
      <c r="L1336" s="381"/>
      <c r="M1336" s="381"/>
      <c r="N1336" s="381"/>
      <c r="O1336" s="381"/>
      <c r="P1336" s="381"/>
      <c r="Q1336" s="381"/>
      <c r="R1336" s="381"/>
      <c r="S1336" s="381"/>
    </row>
    <row r="1337" spans="1:19" ht="12.75" customHeight="1">
      <c r="A1337" s="381"/>
      <c r="B1337" s="396">
        <v>44228</v>
      </c>
      <c r="C1337" s="390">
        <v>3342.88</v>
      </c>
      <c r="D1337" s="381"/>
      <c r="E1337" s="392">
        <f t="shared" si="0"/>
        <v>4.2629904559915222E-2</v>
      </c>
      <c r="F1337" s="381"/>
      <c r="G1337" s="381"/>
      <c r="H1337" s="381"/>
      <c r="I1337" s="381"/>
      <c r="J1337" s="381"/>
      <c r="K1337" s="381"/>
      <c r="L1337" s="381"/>
      <c r="M1337" s="381"/>
      <c r="N1337" s="381"/>
      <c r="O1337" s="381"/>
      <c r="P1337" s="381"/>
      <c r="Q1337" s="381"/>
      <c r="R1337" s="381"/>
      <c r="S1337" s="381"/>
    </row>
    <row r="1338" spans="1:19" ht="12.75" customHeight="1">
      <c r="A1338" s="381"/>
      <c r="B1338" s="396">
        <v>44229</v>
      </c>
      <c r="C1338" s="390">
        <v>3380</v>
      </c>
      <c r="D1338" s="381"/>
      <c r="E1338" s="392">
        <f t="shared" si="0"/>
        <v>1.1104197578136077E-2</v>
      </c>
      <c r="F1338" s="381"/>
      <c r="G1338" s="381"/>
      <c r="H1338" s="381"/>
      <c r="I1338" s="381"/>
      <c r="J1338" s="381"/>
      <c r="K1338" s="381"/>
      <c r="L1338" s="381"/>
      <c r="M1338" s="381"/>
      <c r="N1338" s="381"/>
      <c r="O1338" s="381"/>
      <c r="P1338" s="381"/>
      <c r="Q1338" s="381"/>
      <c r="R1338" s="381"/>
      <c r="S1338" s="381"/>
    </row>
    <row r="1339" spans="1:19" ht="12.75" customHeight="1">
      <c r="A1339" s="381"/>
      <c r="B1339" s="396">
        <v>44230</v>
      </c>
      <c r="C1339" s="390">
        <v>3312.53</v>
      </c>
      <c r="D1339" s="381"/>
      <c r="E1339" s="392">
        <f t="shared" si="0"/>
        <v>-1.9961538461538364E-2</v>
      </c>
      <c r="F1339" s="381"/>
      <c r="G1339" s="381"/>
      <c r="H1339" s="381"/>
      <c r="I1339" s="381"/>
      <c r="J1339" s="381"/>
      <c r="K1339" s="381"/>
      <c r="L1339" s="381"/>
      <c r="M1339" s="381"/>
      <c r="N1339" s="381"/>
      <c r="O1339" s="381"/>
      <c r="P1339" s="381"/>
      <c r="Q1339" s="381"/>
      <c r="R1339" s="381"/>
      <c r="S1339" s="381"/>
    </row>
    <row r="1340" spans="1:19" ht="12.75" customHeight="1">
      <c r="A1340" s="381"/>
      <c r="B1340" s="396">
        <v>44231</v>
      </c>
      <c r="C1340" s="390">
        <v>3331</v>
      </c>
      <c r="D1340" s="381"/>
      <c r="E1340" s="392">
        <f t="shared" si="0"/>
        <v>5.5757985588054115E-3</v>
      </c>
      <c r="F1340" s="381"/>
      <c r="G1340" s="381"/>
      <c r="H1340" s="381"/>
      <c r="I1340" s="381"/>
      <c r="J1340" s="381"/>
      <c r="K1340" s="381"/>
      <c r="L1340" s="381"/>
      <c r="M1340" s="381"/>
      <c r="N1340" s="381"/>
      <c r="O1340" s="381"/>
      <c r="P1340" s="381"/>
      <c r="Q1340" s="381"/>
      <c r="R1340" s="381"/>
      <c r="S1340" s="381"/>
    </row>
    <row r="1341" spans="1:19" ht="12.75" customHeight="1">
      <c r="A1341" s="381"/>
      <c r="B1341" s="396">
        <v>44232</v>
      </c>
      <c r="C1341" s="390">
        <v>3352.15</v>
      </c>
      <c r="D1341" s="381"/>
      <c r="E1341" s="392">
        <f t="shared" si="0"/>
        <v>6.3494446112279945E-3</v>
      </c>
      <c r="F1341" s="381"/>
      <c r="G1341" s="381"/>
      <c r="H1341" s="381"/>
      <c r="I1341" s="381"/>
      <c r="J1341" s="381"/>
      <c r="K1341" s="381"/>
      <c r="L1341" s="381"/>
      <c r="M1341" s="381"/>
      <c r="N1341" s="381"/>
      <c r="O1341" s="381"/>
      <c r="P1341" s="381"/>
      <c r="Q1341" s="381"/>
      <c r="R1341" s="381"/>
      <c r="S1341" s="381"/>
    </row>
    <row r="1342" spans="1:19" ht="12.75" customHeight="1">
      <c r="A1342" s="381"/>
      <c r="B1342" s="396">
        <v>44235</v>
      </c>
      <c r="C1342" s="390">
        <v>3322.94</v>
      </c>
      <c r="D1342" s="381"/>
      <c r="E1342" s="392">
        <f t="shared" si="0"/>
        <v>-8.7138105395044851E-3</v>
      </c>
      <c r="F1342" s="381"/>
      <c r="G1342" s="381"/>
      <c r="H1342" s="381"/>
      <c r="I1342" s="381"/>
      <c r="J1342" s="381"/>
      <c r="K1342" s="381"/>
      <c r="L1342" s="381"/>
      <c r="M1342" s="381"/>
      <c r="N1342" s="381"/>
      <c r="O1342" s="381"/>
      <c r="P1342" s="381"/>
      <c r="Q1342" s="381"/>
      <c r="R1342" s="381"/>
      <c r="S1342" s="381"/>
    </row>
    <row r="1343" spans="1:19" ht="12.75" customHeight="1">
      <c r="A1343" s="381"/>
      <c r="B1343" s="396">
        <v>44236</v>
      </c>
      <c r="C1343" s="390">
        <v>3305</v>
      </c>
      <c r="D1343" s="381"/>
      <c r="E1343" s="392">
        <f t="shared" si="0"/>
        <v>-5.3988335630495987E-3</v>
      </c>
      <c r="F1343" s="381"/>
      <c r="G1343" s="381"/>
      <c r="H1343" s="381"/>
      <c r="I1343" s="381"/>
      <c r="J1343" s="381"/>
      <c r="K1343" s="381"/>
      <c r="L1343" s="381"/>
      <c r="M1343" s="381"/>
      <c r="N1343" s="381"/>
      <c r="O1343" s="381"/>
      <c r="P1343" s="381"/>
      <c r="Q1343" s="381"/>
      <c r="R1343" s="381"/>
      <c r="S1343" s="381"/>
    </row>
    <row r="1344" spans="1:19" ht="12.75" customHeight="1">
      <c r="A1344" s="381"/>
      <c r="B1344" s="396">
        <v>44237</v>
      </c>
      <c r="C1344" s="390">
        <v>3286.58</v>
      </c>
      <c r="D1344" s="381"/>
      <c r="E1344" s="392">
        <f t="shared" si="0"/>
        <v>-5.5733736762481056E-3</v>
      </c>
      <c r="F1344" s="381"/>
      <c r="G1344" s="381"/>
      <c r="H1344" s="381"/>
      <c r="I1344" s="381"/>
      <c r="J1344" s="381"/>
      <c r="K1344" s="381"/>
      <c r="L1344" s="381"/>
      <c r="M1344" s="381"/>
      <c r="N1344" s="381"/>
      <c r="O1344" s="381"/>
      <c r="P1344" s="381"/>
      <c r="Q1344" s="381"/>
      <c r="R1344" s="381"/>
      <c r="S1344" s="381"/>
    </row>
    <row r="1345" spans="1:19" ht="12.75" customHeight="1">
      <c r="A1345" s="381"/>
      <c r="B1345" s="396">
        <v>44238</v>
      </c>
      <c r="C1345" s="390">
        <v>3262.13</v>
      </c>
      <c r="D1345" s="381"/>
      <c r="E1345" s="392">
        <f t="shared" si="0"/>
        <v>-7.4393442423430489E-3</v>
      </c>
      <c r="F1345" s="381"/>
      <c r="G1345" s="381"/>
      <c r="H1345" s="381"/>
      <c r="I1345" s="381"/>
      <c r="J1345" s="381"/>
      <c r="K1345" s="381"/>
      <c r="L1345" s="381"/>
      <c r="M1345" s="381"/>
      <c r="N1345" s="381"/>
      <c r="O1345" s="381"/>
      <c r="P1345" s="381"/>
      <c r="Q1345" s="381"/>
      <c r="R1345" s="381"/>
      <c r="S1345" s="381"/>
    </row>
    <row r="1346" spans="1:19" ht="12.75" customHeight="1">
      <c r="A1346" s="381"/>
      <c r="B1346" s="396">
        <v>44239</v>
      </c>
      <c r="C1346" s="390">
        <v>3277.71</v>
      </c>
      <c r="D1346" s="381"/>
      <c r="E1346" s="392">
        <f t="shared" si="0"/>
        <v>4.7760205755136287E-3</v>
      </c>
      <c r="F1346" s="381"/>
      <c r="G1346" s="381"/>
      <c r="H1346" s="381"/>
      <c r="I1346" s="381"/>
      <c r="J1346" s="381"/>
      <c r="K1346" s="381"/>
      <c r="L1346" s="381"/>
      <c r="M1346" s="381"/>
      <c r="N1346" s="381"/>
      <c r="O1346" s="381"/>
      <c r="P1346" s="381"/>
      <c r="Q1346" s="381"/>
      <c r="R1346" s="381"/>
      <c r="S1346" s="381"/>
    </row>
    <row r="1347" spans="1:19" ht="12.75" customHeight="1">
      <c r="A1347" s="381"/>
      <c r="B1347" s="396">
        <v>44243</v>
      </c>
      <c r="C1347" s="390">
        <v>3268.95</v>
      </c>
      <c r="D1347" s="381"/>
      <c r="E1347" s="392">
        <f t="shared" si="0"/>
        <v>-2.6725976367647508E-3</v>
      </c>
      <c r="F1347" s="381"/>
      <c r="G1347" s="381"/>
      <c r="H1347" s="381"/>
      <c r="I1347" s="381"/>
      <c r="J1347" s="381"/>
      <c r="K1347" s="381"/>
      <c r="L1347" s="381"/>
      <c r="M1347" s="381"/>
      <c r="N1347" s="381"/>
      <c r="O1347" s="381"/>
      <c r="P1347" s="381"/>
      <c r="Q1347" s="381"/>
      <c r="R1347" s="381"/>
      <c r="S1347" s="381"/>
    </row>
    <row r="1348" spans="1:19" ht="12.75" customHeight="1">
      <c r="A1348" s="381"/>
      <c r="B1348" s="396">
        <v>44244</v>
      </c>
      <c r="C1348" s="390">
        <v>3308.64</v>
      </c>
      <c r="D1348" s="381"/>
      <c r="E1348" s="392">
        <f t="shared" si="0"/>
        <v>1.2141513329968268E-2</v>
      </c>
      <c r="F1348" s="381"/>
      <c r="G1348" s="381"/>
      <c r="H1348" s="381"/>
      <c r="I1348" s="381"/>
      <c r="J1348" s="381"/>
      <c r="K1348" s="381"/>
      <c r="L1348" s="381"/>
      <c r="M1348" s="381"/>
      <c r="N1348" s="381"/>
      <c r="O1348" s="381"/>
      <c r="P1348" s="381"/>
      <c r="Q1348" s="381"/>
      <c r="R1348" s="381"/>
      <c r="S1348" s="381"/>
    </row>
    <row r="1349" spans="1:19" ht="12.75" customHeight="1">
      <c r="A1349" s="381"/>
      <c r="B1349" s="396">
        <v>44245</v>
      </c>
      <c r="C1349" s="390">
        <v>3328.23</v>
      </c>
      <c r="D1349" s="381"/>
      <c r="E1349" s="392">
        <f t="shared" si="0"/>
        <v>5.9208617437980227E-3</v>
      </c>
      <c r="F1349" s="381"/>
      <c r="G1349" s="381"/>
      <c r="H1349" s="381"/>
      <c r="I1349" s="381"/>
      <c r="J1349" s="381"/>
      <c r="K1349" s="381"/>
      <c r="L1349" s="381"/>
      <c r="M1349" s="381"/>
      <c r="N1349" s="381"/>
      <c r="O1349" s="381"/>
      <c r="P1349" s="381"/>
      <c r="Q1349" s="381"/>
      <c r="R1349" s="381"/>
      <c r="S1349" s="381"/>
    </row>
    <row r="1350" spans="1:19" ht="12.75" customHeight="1">
      <c r="A1350" s="381"/>
      <c r="B1350" s="396">
        <v>44246</v>
      </c>
      <c r="C1350" s="390">
        <v>3249.9</v>
      </c>
      <c r="D1350" s="381"/>
      <c r="E1350" s="392">
        <f t="shared" si="0"/>
        <v>-2.3535032134197387E-2</v>
      </c>
      <c r="F1350" s="381"/>
      <c r="G1350" s="381"/>
      <c r="H1350" s="381"/>
      <c r="I1350" s="381"/>
      <c r="J1350" s="381"/>
      <c r="K1350" s="381"/>
      <c r="L1350" s="381"/>
      <c r="M1350" s="381"/>
      <c r="N1350" s="381"/>
      <c r="O1350" s="381"/>
      <c r="P1350" s="381"/>
      <c r="Q1350" s="381"/>
      <c r="R1350" s="381"/>
      <c r="S1350" s="381"/>
    </row>
    <row r="1351" spans="1:19" ht="12.75" customHeight="1">
      <c r="A1351" s="381"/>
      <c r="B1351" s="396">
        <v>44249</v>
      </c>
      <c r="C1351" s="390">
        <v>3180.74</v>
      </c>
      <c r="D1351" s="381"/>
      <c r="E1351" s="392">
        <f t="shared" si="0"/>
        <v>-2.1280654789378239E-2</v>
      </c>
      <c r="F1351" s="381"/>
      <c r="G1351" s="381"/>
      <c r="H1351" s="381"/>
      <c r="I1351" s="381"/>
      <c r="J1351" s="381"/>
      <c r="K1351" s="381"/>
      <c r="L1351" s="381"/>
      <c r="M1351" s="381"/>
      <c r="N1351" s="381"/>
      <c r="O1351" s="381"/>
      <c r="P1351" s="381"/>
      <c r="Q1351" s="381"/>
      <c r="R1351" s="381"/>
      <c r="S1351" s="381"/>
    </row>
    <row r="1352" spans="1:19" ht="12.75" customHeight="1">
      <c r="A1352" s="381"/>
      <c r="B1352" s="396">
        <v>44250</v>
      </c>
      <c r="C1352" s="390">
        <v>3194.5</v>
      </c>
      <c r="D1352" s="381"/>
      <c r="E1352" s="392">
        <f t="shared" si="0"/>
        <v>4.3260373372235872E-3</v>
      </c>
      <c r="F1352" s="381"/>
      <c r="G1352" s="381"/>
      <c r="H1352" s="381"/>
      <c r="I1352" s="381"/>
      <c r="J1352" s="381"/>
      <c r="K1352" s="381"/>
      <c r="L1352" s="381"/>
      <c r="M1352" s="381"/>
      <c r="N1352" s="381"/>
      <c r="O1352" s="381"/>
      <c r="P1352" s="381"/>
      <c r="Q1352" s="381"/>
      <c r="R1352" s="381"/>
      <c r="S1352" s="381"/>
    </row>
    <row r="1353" spans="1:19" ht="12.75" customHeight="1">
      <c r="A1353" s="381"/>
      <c r="B1353" s="396">
        <v>44251</v>
      </c>
      <c r="C1353" s="390">
        <v>3159.53</v>
      </c>
      <c r="D1353" s="381"/>
      <c r="E1353" s="392">
        <f t="shared" si="0"/>
        <v>-1.0946940053216392E-2</v>
      </c>
      <c r="F1353" s="381"/>
      <c r="G1353" s="381"/>
      <c r="H1353" s="381"/>
      <c r="I1353" s="381"/>
      <c r="J1353" s="381"/>
      <c r="K1353" s="381"/>
      <c r="L1353" s="381"/>
      <c r="M1353" s="381"/>
      <c r="N1353" s="381"/>
      <c r="O1353" s="381"/>
      <c r="P1353" s="381"/>
      <c r="Q1353" s="381"/>
      <c r="R1353" s="381"/>
      <c r="S1353" s="381"/>
    </row>
    <row r="1354" spans="1:19" ht="12.75" customHeight="1">
      <c r="A1354" s="381"/>
      <c r="B1354" s="396">
        <v>44252</v>
      </c>
      <c r="C1354" s="390">
        <v>3057.16</v>
      </c>
      <c r="D1354" s="381"/>
      <c r="E1354" s="392">
        <f t="shared" si="0"/>
        <v>-3.2400388665402846E-2</v>
      </c>
      <c r="F1354" s="381"/>
      <c r="G1354" s="381"/>
      <c r="H1354" s="381"/>
      <c r="I1354" s="381"/>
      <c r="J1354" s="381"/>
      <c r="K1354" s="381"/>
      <c r="L1354" s="381"/>
      <c r="M1354" s="381"/>
      <c r="N1354" s="381"/>
      <c r="O1354" s="381"/>
      <c r="P1354" s="381"/>
      <c r="Q1354" s="381"/>
      <c r="R1354" s="381"/>
      <c r="S1354" s="381"/>
    </row>
    <row r="1355" spans="1:19" ht="12.75" customHeight="1">
      <c r="A1355" s="381"/>
      <c r="B1355" s="396">
        <v>44253</v>
      </c>
      <c r="C1355" s="390">
        <v>3092.93</v>
      </c>
      <c r="D1355" s="381"/>
      <c r="E1355" s="392">
        <f t="shared" si="0"/>
        <v>1.1700401679990646E-2</v>
      </c>
      <c r="F1355" s="381"/>
      <c r="G1355" s="381"/>
      <c r="H1355" s="381"/>
      <c r="I1355" s="381"/>
      <c r="J1355" s="381"/>
      <c r="K1355" s="381"/>
      <c r="L1355" s="381"/>
      <c r="M1355" s="381"/>
      <c r="N1355" s="381"/>
      <c r="O1355" s="381"/>
      <c r="P1355" s="381"/>
      <c r="Q1355" s="381"/>
      <c r="R1355" s="381"/>
      <c r="S1355" s="381"/>
    </row>
    <row r="1356" spans="1:19" ht="12.75" customHeight="1">
      <c r="A1356" s="381"/>
      <c r="B1356" s="396">
        <v>44256</v>
      </c>
      <c r="C1356" s="390">
        <v>3146.14</v>
      </c>
      <c r="D1356" s="381"/>
      <c r="E1356" s="392">
        <f t="shared" si="0"/>
        <v>1.72037517822905E-2</v>
      </c>
      <c r="F1356" s="381"/>
      <c r="G1356" s="381"/>
      <c r="H1356" s="381"/>
      <c r="I1356" s="381"/>
      <c r="J1356" s="381"/>
      <c r="K1356" s="381"/>
      <c r="L1356" s="381"/>
      <c r="M1356" s="381"/>
      <c r="N1356" s="381"/>
      <c r="O1356" s="381"/>
      <c r="P1356" s="381"/>
      <c r="Q1356" s="381"/>
      <c r="R1356" s="381"/>
      <c r="S1356" s="381"/>
    </row>
    <row r="1357" spans="1:19" ht="12.75" customHeight="1">
      <c r="A1357" s="381"/>
      <c r="B1357" s="396">
        <v>44257</v>
      </c>
      <c r="C1357" s="390">
        <v>3094.53</v>
      </c>
      <c r="D1357" s="381"/>
      <c r="E1357" s="381"/>
      <c r="F1357" s="381"/>
      <c r="G1357" s="381"/>
      <c r="H1357" s="381"/>
      <c r="I1357" s="381"/>
      <c r="J1357" s="381"/>
      <c r="K1357" s="381"/>
      <c r="L1357" s="381"/>
      <c r="M1357" s="381"/>
      <c r="N1357" s="381"/>
      <c r="O1357" s="381"/>
      <c r="P1357" s="381"/>
      <c r="Q1357" s="381"/>
      <c r="R1357" s="381"/>
      <c r="S1357" s="381"/>
    </row>
    <row r="1358" spans="1:19" ht="12.75" customHeight="1">
      <c r="A1358" s="381"/>
      <c r="B1358" s="396">
        <v>44258</v>
      </c>
      <c r="C1358" s="390">
        <v>3005</v>
      </c>
      <c r="D1358" s="381"/>
      <c r="E1358" s="381"/>
      <c r="F1358" s="381"/>
      <c r="G1358" s="381"/>
      <c r="H1358" s="381"/>
      <c r="I1358" s="381"/>
      <c r="J1358" s="381"/>
      <c r="K1358" s="381"/>
      <c r="L1358" s="381"/>
      <c r="M1358" s="381"/>
      <c r="N1358" s="381"/>
      <c r="O1358" s="381"/>
      <c r="P1358" s="381"/>
      <c r="Q1358" s="381"/>
      <c r="R1358" s="381"/>
      <c r="S1358" s="381"/>
    </row>
    <row r="1359" spans="1:19" ht="12.75" customHeight="1">
      <c r="A1359" s="381"/>
      <c r="B1359" s="396">
        <v>44259</v>
      </c>
      <c r="C1359" s="390">
        <v>2977.57</v>
      </c>
      <c r="D1359" s="381"/>
      <c r="E1359" s="381"/>
      <c r="F1359" s="381"/>
      <c r="G1359" s="381"/>
      <c r="H1359" s="381"/>
      <c r="I1359" s="381"/>
      <c r="J1359" s="381"/>
      <c r="K1359" s="381"/>
      <c r="L1359" s="381"/>
      <c r="M1359" s="381"/>
      <c r="N1359" s="381"/>
      <c r="O1359" s="381"/>
      <c r="P1359" s="381"/>
      <c r="Q1359" s="381"/>
      <c r="R1359" s="381"/>
      <c r="S1359" s="381"/>
    </row>
    <row r="1360" spans="1:19" ht="12.75" customHeight="1">
      <c r="A1360" s="381"/>
      <c r="B1360" s="396">
        <v>44260</v>
      </c>
      <c r="C1360" s="390">
        <v>3000.46</v>
      </c>
      <c r="D1360" s="381"/>
      <c r="E1360" s="381"/>
      <c r="F1360" s="381"/>
      <c r="G1360" s="381"/>
      <c r="H1360" s="381"/>
      <c r="I1360" s="381"/>
      <c r="J1360" s="381"/>
      <c r="K1360" s="381"/>
      <c r="L1360" s="381"/>
      <c r="M1360" s="381"/>
      <c r="N1360" s="381"/>
      <c r="O1360" s="381"/>
      <c r="P1360" s="381"/>
      <c r="Q1360" s="381"/>
      <c r="R1360" s="381"/>
      <c r="S1360" s="381"/>
    </row>
    <row r="1361" spans="1:19" ht="12.75" customHeight="1">
      <c r="A1361" s="381"/>
      <c r="B1361" s="396">
        <v>44263</v>
      </c>
      <c r="C1361" s="390">
        <v>2951.95</v>
      </c>
      <c r="D1361" s="381"/>
      <c r="E1361" s="381"/>
      <c r="F1361" s="381"/>
      <c r="G1361" s="381"/>
      <c r="H1361" s="381"/>
      <c r="I1361" s="381"/>
      <c r="J1361" s="381"/>
      <c r="K1361" s="381"/>
      <c r="L1361" s="381"/>
      <c r="M1361" s="381"/>
      <c r="N1361" s="381"/>
      <c r="O1361" s="381"/>
      <c r="P1361" s="381"/>
      <c r="Q1361" s="381"/>
      <c r="R1361" s="381"/>
      <c r="S1361" s="381"/>
    </row>
    <row r="1362" spans="1:19" ht="12.75" customHeight="1">
      <c r="A1362" s="381"/>
      <c r="B1362" s="396">
        <v>44264</v>
      </c>
      <c r="C1362" s="390">
        <v>3062.85</v>
      </c>
      <c r="D1362" s="381"/>
      <c r="E1362" s="381"/>
      <c r="F1362" s="381"/>
      <c r="G1362" s="381"/>
      <c r="H1362" s="381"/>
      <c r="I1362" s="381"/>
      <c r="J1362" s="381"/>
      <c r="K1362" s="381"/>
      <c r="L1362" s="381"/>
      <c r="M1362" s="381"/>
      <c r="N1362" s="381"/>
      <c r="O1362" s="381"/>
      <c r="P1362" s="381"/>
      <c r="Q1362" s="381"/>
      <c r="R1362" s="381"/>
      <c r="S1362" s="381"/>
    </row>
    <row r="1363" spans="1:19" ht="12.75" customHeight="1">
      <c r="A1363" s="381"/>
      <c r="B1363" s="396">
        <v>44265</v>
      </c>
      <c r="C1363" s="390">
        <v>3057.64</v>
      </c>
      <c r="D1363" s="381"/>
      <c r="E1363" s="381"/>
      <c r="F1363" s="381"/>
      <c r="G1363" s="381"/>
      <c r="H1363" s="381"/>
      <c r="I1363" s="381"/>
      <c r="J1363" s="381"/>
      <c r="K1363" s="381"/>
      <c r="L1363" s="381"/>
      <c r="M1363" s="381"/>
      <c r="N1363" s="381"/>
      <c r="O1363" s="381"/>
      <c r="P1363" s="381"/>
      <c r="Q1363" s="381"/>
      <c r="R1363" s="381"/>
      <c r="S1363" s="381"/>
    </row>
    <row r="1364" spans="1:19" ht="12.75" customHeight="1">
      <c r="A1364" s="381"/>
      <c r="B1364" s="396">
        <v>44266</v>
      </c>
      <c r="C1364" s="390">
        <v>3113.59</v>
      </c>
      <c r="D1364" s="381"/>
      <c r="E1364" s="381"/>
      <c r="F1364" s="381"/>
      <c r="G1364" s="381"/>
      <c r="H1364" s="381"/>
      <c r="I1364" s="381"/>
      <c r="J1364" s="381"/>
      <c r="K1364" s="381"/>
      <c r="L1364" s="381"/>
      <c r="M1364" s="381"/>
      <c r="N1364" s="381"/>
      <c r="O1364" s="381"/>
      <c r="P1364" s="381"/>
      <c r="Q1364" s="381"/>
      <c r="R1364" s="381"/>
      <c r="S1364" s="381"/>
    </row>
    <row r="1365" spans="1:19" ht="12.75" customHeight="1">
      <c r="A1365" s="381"/>
      <c r="B1365" s="396">
        <v>44267</v>
      </c>
      <c r="C1365" s="390">
        <v>3089.49</v>
      </c>
      <c r="D1365" s="381"/>
      <c r="E1365" s="381"/>
      <c r="F1365" s="381"/>
      <c r="G1365" s="381"/>
      <c r="H1365" s="381"/>
      <c r="I1365" s="381"/>
      <c r="J1365" s="381"/>
      <c r="K1365" s="381"/>
      <c r="L1365" s="381"/>
      <c r="M1365" s="381"/>
      <c r="N1365" s="381"/>
      <c r="O1365" s="381"/>
      <c r="P1365" s="381"/>
      <c r="Q1365" s="381"/>
      <c r="R1365" s="381"/>
      <c r="S1365" s="381"/>
    </row>
    <row r="1366" spans="1:19" ht="12.75" customHeight="1">
      <c r="A1366" s="381"/>
      <c r="B1366" s="396">
        <v>44270</v>
      </c>
      <c r="C1366" s="390">
        <v>3081.68</v>
      </c>
      <c r="D1366" s="381"/>
      <c r="E1366" s="381"/>
      <c r="F1366" s="381"/>
      <c r="G1366" s="381"/>
      <c r="H1366" s="381"/>
      <c r="I1366" s="381"/>
      <c r="J1366" s="381"/>
      <c r="K1366" s="381"/>
      <c r="L1366" s="381"/>
      <c r="M1366" s="381"/>
      <c r="N1366" s="381"/>
      <c r="O1366" s="381"/>
      <c r="P1366" s="381"/>
      <c r="Q1366" s="381"/>
      <c r="R1366" s="381"/>
      <c r="S1366" s="381"/>
    </row>
    <row r="1367" spans="1:19" ht="12.75" customHeight="1">
      <c r="A1367" s="381"/>
      <c r="B1367" s="396">
        <v>44271</v>
      </c>
      <c r="C1367" s="390">
        <v>3091.86</v>
      </c>
      <c r="D1367" s="381"/>
      <c r="E1367" s="381"/>
      <c r="F1367" s="381"/>
      <c r="G1367" s="381"/>
      <c r="H1367" s="381"/>
      <c r="I1367" s="381"/>
      <c r="J1367" s="381"/>
      <c r="K1367" s="381"/>
      <c r="L1367" s="381"/>
      <c r="M1367" s="381"/>
      <c r="N1367" s="381"/>
      <c r="O1367" s="381"/>
      <c r="P1367" s="381"/>
      <c r="Q1367" s="381"/>
      <c r="R1367" s="381"/>
      <c r="S1367" s="381"/>
    </row>
    <row r="1368" spans="1:19" ht="12.75" customHeight="1">
      <c r="A1368" s="381"/>
      <c r="B1368" s="396">
        <v>44272</v>
      </c>
      <c r="C1368" s="390">
        <v>3135.73</v>
      </c>
      <c r="D1368" s="381"/>
      <c r="E1368" s="381"/>
      <c r="F1368" s="381"/>
      <c r="G1368" s="381"/>
      <c r="H1368" s="381"/>
      <c r="I1368" s="381"/>
      <c r="J1368" s="381"/>
      <c r="K1368" s="381"/>
      <c r="L1368" s="381"/>
      <c r="M1368" s="381"/>
      <c r="N1368" s="381"/>
      <c r="O1368" s="381"/>
      <c r="P1368" s="381"/>
      <c r="Q1368" s="381"/>
      <c r="R1368" s="381"/>
      <c r="S1368" s="381"/>
    </row>
    <row r="1369" spans="1:19" ht="12.75" customHeight="1">
      <c r="A1369" s="381"/>
      <c r="B1369" s="396">
        <v>44273</v>
      </c>
      <c r="C1369" s="390">
        <v>3027.99</v>
      </c>
      <c r="D1369" s="381"/>
      <c r="E1369" s="381"/>
      <c r="F1369" s="381"/>
      <c r="G1369" s="381"/>
      <c r="H1369" s="381"/>
      <c r="I1369" s="381"/>
      <c r="J1369" s="381"/>
      <c r="K1369" s="381"/>
      <c r="L1369" s="381"/>
      <c r="M1369" s="381"/>
      <c r="N1369" s="381"/>
      <c r="O1369" s="381"/>
      <c r="P1369" s="381"/>
      <c r="Q1369" s="381"/>
      <c r="R1369" s="381"/>
      <c r="S1369" s="381"/>
    </row>
    <row r="1370" spans="1:19" ht="12.75" customHeight="1">
      <c r="A1370" s="381"/>
      <c r="B1370" s="396">
        <v>44274</v>
      </c>
      <c r="C1370" s="390">
        <v>3074.96</v>
      </c>
      <c r="D1370" s="381"/>
      <c r="E1370" s="381"/>
      <c r="F1370" s="381"/>
      <c r="G1370" s="381"/>
      <c r="H1370" s="381"/>
      <c r="I1370" s="381"/>
      <c r="J1370" s="381"/>
      <c r="K1370" s="381"/>
      <c r="L1370" s="381"/>
      <c r="M1370" s="381"/>
      <c r="N1370" s="381"/>
      <c r="O1370" s="381"/>
      <c r="P1370" s="381"/>
      <c r="Q1370" s="381"/>
      <c r="R1370" s="381"/>
      <c r="S1370" s="381"/>
    </row>
    <row r="1371" spans="1:19" ht="12.75" customHeight="1">
      <c r="A1371" s="381"/>
      <c r="B1371" s="381"/>
      <c r="C1371" s="381"/>
      <c r="D1371" s="381"/>
      <c r="E1371" s="381"/>
      <c r="F1371" s="381"/>
      <c r="G1371" s="381"/>
      <c r="H1371" s="381"/>
      <c r="I1371" s="381"/>
      <c r="J1371" s="381"/>
      <c r="K1371" s="381"/>
      <c r="L1371" s="381"/>
      <c r="M1371" s="381"/>
      <c r="N1371" s="381"/>
      <c r="O1371" s="381"/>
      <c r="P1371" s="381"/>
      <c r="Q1371" s="381"/>
      <c r="R1371" s="381"/>
      <c r="S1371" s="381"/>
    </row>
    <row r="1372" spans="1:19" ht="12.75" customHeight="1">
      <c r="A1372" s="381"/>
      <c r="B1372" s="381"/>
      <c r="C1372" s="381"/>
      <c r="D1372" s="381"/>
      <c r="E1372" s="381"/>
      <c r="F1372" s="381"/>
      <c r="G1372" s="381"/>
      <c r="H1372" s="381"/>
      <c r="I1372" s="381"/>
      <c r="J1372" s="381"/>
      <c r="K1372" s="381"/>
      <c r="L1372" s="381"/>
      <c r="M1372" s="381"/>
      <c r="N1372" s="381"/>
      <c r="O1372" s="381"/>
      <c r="P1372" s="381"/>
      <c r="Q1372" s="381"/>
      <c r="R1372" s="381"/>
      <c r="S1372" s="381"/>
    </row>
    <row r="1373" spans="1:19" ht="12.75" customHeight="1">
      <c r="A1373" s="381"/>
      <c r="B1373" s="381"/>
      <c r="C1373" s="381"/>
      <c r="D1373" s="381"/>
      <c r="E1373" s="381"/>
      <c r="F1373" s="381"/>
      <c r="G1373" s="381"/>
      <c r="H1373" s="381"/>
      <c r="I1373" s="381"/>
      <c r="J1373" s="381"/>
      <c r="K1373" s="381"/>
      <c r="L1373" s="381"/>
      <c r="M1373" s="381"/>
      <c r="N1373" s="381"/>
      <c r="O1373" s="381"/>
      <c r="P1373" s="381"/>
      <c r="Q1373" s="381"/>
      <c r="R1373" s="381"/>
      <c r="S1373" s="381"/>
    </row>
    <row r="1374" spans="1:19" ht="12.75" customHeight="1">
      <c r="A1374" s="381"/>
      <c r="B1374" s="381"/>
      <c r="C1374" s="381"/>
      <c r="D1374" s="381"/>
      <c r="E1374" s="381"/>
      <c r="F1374" s="381"/>
      <c r="G1374" s="381"/>
      <c r="H1374" s="381"/>
      <c r="I1374" s="381"/>
      <c r="J1374" s="381"/>
      <c r="K1374" s="381"/>
      <c r="L1374" s="381"/>
      <c r="M1374" s="381"/>
      <c r="N1374" s="381"/>
      <c r="O1374" s="381"/>
      <c r="P1374" s="381"/>
      <c r="Q1374" s="381"/>
      <c r="R1374" s="381"/>
      <c r="S1374" s="381"/>
    </row>
    <row r="1375" spans="1:19" ht="12.75" customHeight="1">
      <c r="A1375" s="381"/>
      <c r="B1375" s="381"/>
      <c r="C1375" s="381"/>
      <c r="D1375" s="381"/>
      <c r="E1375" s="381"/>
      <c r="F1375" s="381"/>
      <c r="G1375" s="381"/>
      <c r="H1375" s="381"/>
      <c r="I1375" s="381"/>
      <c r="J1375" s="381"/>
      <c r="K1375" s="381"/>
      <c r="L1375" s="381"/>
      <c r="M1375" s="381"/>
      <c r="N1375" s="381"/>
      <c r="O1375" s="381"/>
      <c r="P1375" s="381"/>
      <c r="Q1375" s="381"/>
      <c r="R1375" s="381"/>
      <c r="S1375" s="381"/>
    </row>
    <row r="1376" spans="1:19" ht="12.75" customHeight="1">
      <c r="A1376" s="381"/>
      <c r="B1376" s="381"/>
      <c r="C1376" s="381"/>
      <c r="D1376" s="381"/>
      <c r="E1376" s="381"/>
      <c r="F1376" s="381"/>
      <c r="G1376" s="381"/>
      <c r="H1376" s="381"/>
      <c r="I1376" s="381"/>
      <c r="J1376" s="381"/>
      <c r="K1376" s="381"/>
      <c r="L1376" s="381"/>
      <c r="M1376" s="381"/>
      <c r="N1376" s="381"/>
      <c r="O1376" s="381"/>
      <c r="P1376" s="381"/>
      <c r="Q1376" s="381"/>
      <c r="R1376" s="381"/>
      <c r="S1376" s="381"/>
    </row>
    <row r="1377" spans="1:19" ht="12.75" customHeight="1">
      <c r="A1377" s="381"/>
      <c r="B1377" s="381"/>
      <c r="C1377" s="397"/>
      <c r="D1377" s="381"/>
      <c r="E1377" s="381"/>
      <c r="F1377" s="381"/>
      <c r="G1377" s="381"/>
      <c r="H1377" s="381"/>
      <c r="I1377" s="381"/>
      <c r="J1377" s="381"/>
      <c r="K1377" s="381"/>
      <c r="L1377" s="381"/>
      <c r="M1377" s="381"/>
      <c r="N1377" s="381"/>
      <c r="O1377" s="381"/>
      <c r="P1377" s="381"/>
      <c r="Q1377" s="381"/>
      <c r="R1377" s="381"/>
      <c r="S1377" s="381"/>
    </row>
    <row r="1378" spans="1:19" ht="12.75" customHeight="1">
      <c r="A1378" s="381"/>
      <c r="B1378" s="381"/>
      <c r="C1378" s="397"/>
      <c r="D1378" s="381"/>
      <c r="E1378" s="381"/>
      <c r="F1378" s="381"/>
      <c r="G1378" s="381"/>
      <c r="H1378" s="381"/>
      <c r="I1378" s="381"/>
      <c r="J1378" s="381"/>
      <c r="K1378" s="381"/>
      <c r="L1378" s="381"/>
      <c r="M1378" s="381"/>
      <c r="N1378" s="381"/>
      <c r="O1378" s="381"/>
      <c r="P1378" s="381"/>
      <c r="Q1378" s="381"/>
      <c r="R1378" s="381"/>
      <c r="S1378" s="381"/>
    </row>
  </sheetData>
  <pageMargins left="0.75" right="0.75" top="1" bottom="1" header="0" footer="0"/>
  <pageSetup paperSize="9" orientation="portrait"/>
  <rowBreaks count="2" manualBreakCount="2">
    <brk id="97" man="1"/>
    <brk id="217" man="1"/>
  </rowBreaks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T1366"/>
  <sheetViews>
    <sheetView topLeftCell="B1" zoomScale="64" workbookViewId="0">
      <selection activeCell="H33" sqref="H33"/>
    </sheetView>
  </sheetViews>
  <sheetFormatPr defaultColWidth="12.5703125" defaultRowHeight="15" customHeight="1"/>
  <cols>
    <col min="1" max="1" width="10.7109375" customWidth="1"/>
    <col min="2" max="2" width="9.5703125" customWidth="1"/>
    <col min="3" max="3" width="11.5703125" customWidth="1"/>
    <col min="4" max="8" width="8.7109375" customWidth="1"/>
    <col min="9" max="9" width="16.7109375" customWidth="1"/>
    <col min="10" max="20" width="8.7109375" customWidth="1"/>
  </cols>
  <sheetData>
    <row r="1" spans="1:20" ht="16.5">
      <c r="A1" s="1208" t="s">
        <v>686</v>
      </c>
      <c r="B1" s="1209" t="s">
        <v>912</v>
      </c>
      <c r="C1" s="1209" t="s">
        <v>913</v>
      </c>
      <c r="D1" s="1208" t="s">
        <v>914</v>
      </c>
      <c r="E1" s="1207"/>
      <c r="F1" s="1207"/>
      <c r="G1" s="1209" t="s">
        <v>915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16.5">
      <c r="A2" s="1207"/>
      <c r="B2" s="1207"/>
      <c r="C2" s="1207"/>
      <c r="D2" s="398">
        <v>2</v>
      </c>
      <c r="E2" s="398">
        <v>3</v>
      </c>
      <c r="F2" s="398">
        <v>4</v>
      </c>
      <c r="G2" s="1207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16.5">
      <c r="A3" s="399">
        <v>42559</v>
      </c>
      <c r="B3" s="400">
        <v>5.0000000000000001E-3</v>
      </c>
      <c r="C3" s="401">
        <f t="shared" ref="C3:C1260" si="0">_xlfn.RANK.AVG(B3,$B$3:$B$1260,1)/1258</f>
        <v>0.60492845786963434</v>
      </c>
      <c r="D3" s="402">
        <f t="shared" ref="D3:F3" si="1">ROUNDDOWN($C3*D$2,0) - IF(MOD($C3*D$2,1)=0,1,0) + 1</f>
        <v>2</v>
      </c>
      <c r="E3" s="402">
        <f t="shared" si="1"/>
        <v>2</v>
      </c>
      <c r="F3" s="402">
        <f t="shared" si="1"/>
        <v>3</v>
      </c>
      <c r="G3" s="2"/>
      <c r="H3" s="15">
        <v>1</v>
      </c>
      <c r="I3" s="2" t="s">
        <v>916</v>
      </c>
      <c r="J3" s="403">
        <v>1</v>
      </c>
      <c r="K3" s="403">
        <v>2</v>
      </c>
      <c r="L3" s="403"/>
      <c r="M3" s="403"/>
      <c r="N3" s="2"/>
      <c r="O3" s="2" t="s">
        <v>917</v>
      </c>
      <c r="P3" s="403">
        <v>1</v>
      </c>
      <c r="Q3" s="403">
        <v>2</v>
      </c>
      <c r="R3" s="403"/>
      <c r="S3" s="403"/>
      <c r="T3" s="2"/>
    </row>
    <row r="4" spans="1:20" ht="16.5">
      <c r="A4" s="399">
        <v>42559</v>
      </c>
      <c r="B4" s="400">
        <v>3.9143633168239322E-3</v>
      </c>
      <c r="C4" s="401">
        <f t="shared" si="0"/>
        <v>0.57233704292527821</v>
      </c>
      <c r="D4" s="402">
        <f t="shared" ref="D4:F4" si="2">ROUNDDOWN($C4*D$2,0) - IF(MOD($C4*D$2,1)=0,1,0) + 1</f>
        <v>2</v>
      </c>
      <c r="E4" s="402">
        <f t="shared" si="2"/>
        <v>2</v>
      </c>
      <c r="F4" s="402">
        <f t="shared" si="2"/>
        <v>3</v>
      </c>
      <c r="G4" s="401">
        <f t="shared" ref="G4:G1260" si="3">IF(F3=1,B4,0)</f>
        <v>0</v>
      </c>
      <c r="H4" s="2"/>
      <c r="I4" s="403">
        <v>1</v>
      </c>
      <c r="J4" s="403">
        <f t="shared" ref="J4:K4" si="4">COUNTIFS($D$3:$D$1259,$I4,$D$4:$D$1260,J$3)</f>
        <v>319</v>
      </c>
      <c r="K4" s="403">
        <f t="shared" si="4"/>
        <v>309</v>
      </c>
      <c r="L4" s="403"/>
      <c r="M4" s="403"/>
      <c r="N4" s="2"/>
      <c r="O4" s="403">
        <v>1</v>
      </c>
      <c r="P4" s="404">
        <f t="shared" ref="P4:Q4" si="5">AVERAGE($J4:$M4)</f>
        <v>314</v>
      </c>
      <c r="Q4" s="404">
        <f t="shared" si="5"/>
        <v>314</v>
      </c>
      <c r="R4" s="403"/>
      <c r="S4" s="403"/>
      <c r="T4" s="403"/>
    </row>
    <row r="5" spans="1:20" ht="16.5">
      <c r="A5" s="399">
        <v>42559</v>
      </c>
      <c r="B5" s="400">
        <v>-4.8380679557572526E-3</v>
      </c>
      <c r="C5" s="401">
        <f t="shared" si="0"/>
        <v>0.29968203497615264</v>
      </c>
      <c r="D5" s="402">
        <f t="shared" ref="D5:F5" si="6">ROUNDDOWN($C5*D$2,0) - IF(MOD($C5*D$2,1)=0,1,0) + 1</f>
        <v>1</v>
      </c>
      <c r="E5" s="402">
        <f t="shared" si="6"/>
        <v>1</v>
      </c>
      <c r="F5" s="402">
        <f t="shared" si="6"/>
        <v>2</v>
      </c>
      <c r="G5" s="401">
        <f t="shared" si="3"/>
        <v>0</v>
      </c>
      <c r="H5" s="2"/>
      <c r="I5" s="403">
        <v>2</v>
      </c>
      <c r="J5" s="403">
        <f t="shared" ref="J5:K5" si="7">COUNTIFS($D$3:$D$1259,$I5,$D$4:$D$1260,J$3)</f>
        <v>310</v>
      </c>
      <c r="K5" s="403">
        <f t="shared" si="7"/>
        <v>319</v>
      </c>
      <c r="L5" s="403"/>
      <c r="M5" s="403"/>
      <c r="N5" s="2"/>
      <c r="O5" s="403">
        <v>2</v>
      </c>
      <c r="P5" s="404">
        <f t="shared" ref="P5:Q5" si="8">AVERAGE($J5:$M5)</f>
        <v>314.5</v>
      </c>
      <c r="Q5" s="404">
        <f t="shared" si="8"/>
        <v>314.5</v>
      </c>
      <c r="R5" s="403"/>
      <c r="S5" s="403"/>
      <c r="T5" s="403"/>
    </row>
    <row r="6" spans="1:20" ht="16.5">
      <c r="A6" s="399">
        <v>42559</v>
      </c>
      <c r="B6" s="400">
        <v>2.5011594249252589E-2</v>
      </c>
      <c r="C6" s="401">
        <f t="shared" si="0"/>
        <v>0.9268680445151033</v>
      </c>
      <c r="D6" s="402">
        <f t="shared" ref="D6:F6" si="9">ROUNDDOWN($C6*D$2,0) - IF(MOD($C6*D$2,1)=0,1,0) + 1</f>
        <v>2</v>
      </c>
      <c r="E6" s="402">
        <f t="shared" si="9"/>
        <v>3</v>
      </c>
      <c r="F6" s="402">
        <f t="shared" si="9"/>
        <v>4</v>
      </c>
      <c r="G6" s="401">
        <f t="shared" si="3"/>
        <v>0</v>
      </c>
      <c r="H6" s="2"/>
      <c r="I6" s="403"/>
      <c r="J6" s="403"/>
      <c r="K6" s="403"/>
      <c r="L6" s="403"/>
      <c r="M6" s="403"/>
      <c r="N6" s="403"/>
      <c r="O6" s="403"/>
      <c r="P6" s="403"/>
      <c r="Q6" s="403"/>
      <c r="R6" s="403"/>
      <c r="S6" s="403"/>
      <c r="T6" s="2"/>
    </row>
    <row r="7" spans="1:20" ht="16.5">
      <c r="A7" s="399">
        <v>42559</v>
      </c>
      <c r="B7" s="400">
        <v>2.2934706295342666E-2</v>
      </c>
      <c r="C7" s="401">
        <f t="shared" si="0"/>
        <v>0.9157392686804452</v>
      </c>
      <c r="D7" s="402">
        <f t="shared" ref="D7:F7" si="10">ROUNDDOWN($C7*D$2,0) - IF(MOD($C7*D$2,1)=0,1,0) + 1</f>
        <v>2</v>
      </c>
      <c r="E7" s="402">
        <f t="shared" si="10"/>
        <v>3</v>
      </c>
      <c r="F7" s="402">
        <f t="shared" si="10"/>
        <v>4</v>
      </c>
      <c r="G7" s="401">
        <f t="shared" si="3"/>
        <v>0</v>
      </c>
      <c r="H7" s="2"/>
      <c r="I7" s="403"/>
      <c r="J7" s="403" t="s">
        <v>918</v>
      </c>
      <c r="K7" s="405">
        <f t="array" ref="K7">SUM((J4:K5-P4:Q5)^2/P4:Q5)</f>
        <v>0.28801150344799653</v>
      </c>
      <c r="L7" s="403" t="s">
        <v>919</v>
      </c>
      <c r="M7" s="406">
        <f>_xlfn.CHISQ.DIST.RT(K7,(2-1)*(2-1))</f>
        <v>0.59149763245865206</v>
      </c>
      <c r="N7" s="403"/>
      <c r="O7" s="403"/>
      <c r="P7" s="403"/>
      <c r="Q7" s="403"/>
      <c r="R7" s="403"/>
      <c r="S7" s="403"/>
      <c r="T7" s="2"/>
    </row>
    <row r="8" spans="1:20" ht="16.5">
      <c r="A8" s="399">
        <v>42559</v>
      </c>
      <c r="B8" s="400">
        <v>5.6737588652482351E-3</v>
      </c>
      <c r="C8" s="401">
        <f t="shared" si="0"/>
        <v>0.62400635930047699</v>
      </c>
      <c r="D8" s="402">
        <f t="shared" ref="D8:F8" si="11">ROUNDDOWN($C8*D$2,0) - IF(MOD($C8*D$2,1)=0,1,0) + 1</f>
        <v>2</v>
      </c>
      <c r="E8" s="402">
        <f t="shared" si="11"/>
        <v>2</v>
      </c>
      <c r="F8" s="402">
        <f t="shared" si="11"/>
        <v>3</v>
      </c>
      <c r="G8" s="401">
        <f t="shared" si="3"/>
        <v>0</v>
      </c>
      <c r="H8" s="2"/>
      <c r="I8" s="403"/>
      <c r="J8" s="403"/>
      <c r="K8" s="403"/>
      <c r="L8" s="403"/>
      <c r="M8" s="403"/>
      <c r="N8" s="403"/>
      <c r="O8" s="403"/>
      <c r="P8" s="403"/>
      <c r="Q8" s="403"/>
      <c r="R8" s="403"/>
      <c r="S8" s="403"/>
      <c r="T8" s="2"/>
    </row>
    <row r="9" spans="1:20" ht="16.5">
      <c r="A9" s="399">
        <v>42559</v>
      </c>
      <c r="B9" s="400">
        <v>-5.8844048106525548E-3</v>
      </c>
      <c r="C9" s="401">
        <f t="shared" si="0"/>
        <v>0.27186009538950717</v>
      </c>
      <c r="D9" s="402">
        <f t="shared" ref="D9:F9" si="12">ROUNDDOWN($C9*D$2,0) - IF(MOD($C9*D$2,1)=0,1,0) + 1</f>
        <v>1</v>
      </c>
      <c r="E9" s="402">
        <f t="shared" si="12"/>
        <v>1</v>
      </c>
      <c r="F9" s="402">
        <f t="shared" si="12"/>
        <v>2</v>
      </c>
      <c r="G9" s="401">
        <f t="shared" si="3"/>
        <v>0</v>
      </c>
      <c r="H9" s="15">
        <v>2</v>
      </c>
      <c r="I9" s="2" t="s">
        <v>916</v>
      </c>
      <c r="J9" s="403">
        <v>1</v>
      </c>
      <c r="K9" s="403">
        <v>2</v>
      </c>
      <c r="L9" s="403">
        <v>3</v>
      </c>
      <c r="M9" s="403"/>
      <c r="N9" s="2"/>
      <c r="O9" s="2" t="s">
        <v>917</v>
      </c>
      <c r="P9" s="403">
        <v>1</v>
      </c>
      <c r="Q9" s="403">
        <v>2</v>
      </c>
      <c r="R9" s="403">
        <v>3</v>
      </c>
      <c r="S9" s="403"/>
      <c r="T9" s="2"/>
    </row>
    <row r="10" spans="1:20" ht="16.5">
      <c r="A10" s="399">
        <v>42559</v>
      </c>
      <c r="B10" s="400">
        <v>6.3921646401927656E-3</v>
      </c>
      <c r="C10" s="401">
        <f t="shared" si="0"/>
        <v>0.64467408585055641</v>
      </c>
      <c r="D10" s="402">
        <f t="shared" ref="D10:F10" si="13">ROUNDDOWN($C10*D$2,0) - IF(MOD($C10*D$2,1)=0,1,0) + 1</f>
        <v>2</v>
      </c>
      <c r="E10" s="402">
        <f t="shared" si="13"/>
        <v>2</v>
      </c>
      <c r="F10" s="402">
        <f t="shared" si="13"/>
        <v>3</v>
      </c>
      <c r="G10" s="401">
        <f t="shared" si="3"/>
        <v>0</v>
      </c>
      <c r="H10" s="2"/>
      <c r="I10" s="403">
        <v>1</v>
      </c>
      <c r="J10" s="407">
        <f t="shared" ref="J10:L10" si="14">COUNTIFS($E$3:$E$1259,$I10,$E$4:$E$1260,J$9)</f>
        <v>155</v>
      </c>
      <c r="K10" s="403">
        <f t="shared" si="14"/>
        <v>116</v>
      </c>
      <c r="L10" s="398">
        <f t="shared" si="14"/>
        <v>147</v>
      </c>
      <c r="M10" s="403"/>
      <c r="N10" s="2"/>
      <c r="O10" s="403">
        <v>1</v>
      </c>
      <c r="P10" s="404">
        <f t="shared" ref="P10:R10" si="15">AVERAGE($J10:$M10)</f>
        <v>139.33333333333334</v>
      </c>
      <c r="Q10" s="404">
        <f t="shared" si="15"/>
        <v>139.33333333333334</v>
      </c>
      <c r="R10" s="404">
        <f t="shared" si="15"/>
        <v>139.33333333333334</v>
      </c>
      <c r="S10" s="403"/>
      <c r="T10" s="2"/>
    </row>
    <row r="11" spans="1:20" ht="16.5">
      <c r="A11" s="399">
        <v>42559</v>
      </c>
      <c r="B11" s="400">
        <v>2.0570579674993983E-2</v>
      </c>
      <c r="C11" s="401">
        <f t="shared" si="0"/>
        <v>0.9022257551669316</v>
      </c>
      <c r="D11" s="402">
        <f t="shared" ref="D11:F11" si="16">ROUNDDOWN($C11*D$2,0) - IF(MOD($C11*D$2,1)=0,1,0) + 1</f>
        <v>2</v>
      </c>
      <c r="E11" s="402">
        <f t="shared" si="16"/>
        <v>3</v>
      </c>
      <c r="F11" s="402">
        <f t="shared" si="16"/>
        <v>4</v>
      </c>
      <c r="G11" s="401">
        <f t="shared" si="3"/>
        <v>0</v>
      </c>
      <c r="H11" s="2"/>
      <c r="I11" s="403">
        <v>2</v>
      </c>
      <c r="J11" s="403">
        <f t="shared" ref="J11:L11" si="17">COUNTIFS($E$3:$E$1259,$I11,$E$4:$E$1260,J$9)</f>
        <v>127</v>
      </c>
      <c r="K11" s="403">
        <f t="shared" si="17"/>
        <v>148</v>
      </c>
      <c r="L11" s="403">
        <f t="shared" si="17"/>
        <v>144</v>
      </c>
      <c r="M11" s="403"/>
      <c r="N11" s="2"/>
      <c r="O11" s="403">
        <v>2</v>
      </c>
      <c r="P11" s="404">
        <f t="shared" ref="P11:R11" si="18">AVERAGE($J11:$M11)</f>
        <v>139.66666666666666</v>
      </c>
      <c r="Q11" s="404">
        <f t="shared" si="18"/>
        <v>139.66666666666666</v>
      </c>
      <c r="R11" s="404">
        <f t="shared" si="18"/>
        <v>139.66666666666666</v>
      </c>
      <c r="S11" s="403"/>
      <c r="T11" s="2"/>
    </row>
    <row r="12" spans="1:20" ht="16.5">
      <c r="A12" s="399">
        <v>42559</v>
      </c>
      <c r="B12" s="400">
        <v>-1.1362792424804979E-2</v>
      </c>
      <c r="C12" s="401">
        <f t="shared" si="0"/>
        <v>0.17488076311605724</v>
      </c>
      <c r="D12" s="402">
        <f t="shared" ref="D12:F12" si="19">ROUNDDOWN($C12*D$2,0) - IF(MOD($C12*D$2,1)=0,1,0) + 1</f>
        <v>1</v>
      </c>
      <c r="E12" s="402">
        <f t="shared" si="19"/>
        <v>1</v>
      </c>
      <c r="F12" s="402">
        <f t="shared" si="19"/>
        <v>1</v>
      </c>
      <c r="G12" s="401">
        <f t="shared" si="3"/>
        <v>0</v>
      </c>
      <c r="H12" s="2"/>
      <c r="I12" s="403">
        <v>3</v>
      </c>
      <c r="J12" s="403">
        <f t="shared" ref="J12:L12" si="20">COUNTIFS($E$3:$E$1259,$I12,$E$4:$E$1260,J$9)</f>
        <v>137</v>
      </c>
      <c r="K12" s="403">
        <f t="shared" si="20"/>
        <v>154</v>
      </c>
      <c r="L12" s="403">
        <f t="shared" si="20"/>
        <v>129</v>
      </c>
      <c r="M12" s="403"/>
      <c r="N12" s="2"/>
      <c r="O12" s="403">
        <v>3</v>
      </c>
      <c r="P12" s="404">
        <f t="shared" ref="P12:R12" si="21">AVERAGE($J12:$M12)</f>
        <v>140</v>
      </c>
      <c r="Q12" s="404">
        <f t="shared" si="21"/>
        <v>140</v>
      </c>
      <c r="R12" s="404">
        <f t="shared" si="21"/>
        <v>140</v>
      </c>
      <c r="S12" s="403"/>
      <c r="T12" s="2"/>
    </row>
    <row r="13" spans="1:20" ht="16.5">
      <c r="A13" s="399">
        <v>42559</v>
      </c>
      <c r="B13" s="400">
        <v>-3.4930889423076872E-2</v>
      </c>
      <c r="C13" s="401">
        <f t="shared" si="0"/>
        <v>3.5771065182829888E-2</v>
      </c>
      <c r="D13" s="402">
        <f t="shared" ref="D13:F13" si="22">ROUNDDOWN($C13*D$2,0) - IF(MOD($C13*D$2,1)=0,1,0) + 1</f>
        <v>1</v>
      </c>
      <c r="E13" s="402">
        <f t="shared" si="22"/>
        <v>1</v>
      </c>
      <c r="F13" s="402">
        <f t="shared" si="22"/>
        <v>1</v>
      </c>
      <c r="G13" s="401">
        <f t="shared" si="3"/>
        <v>-3.4930889423076872E-2</v>
      </c>
      <c r="H13" s="2"/>
      <c r="I13" s="403"/>
      <c r="J13" s="403"/>
      <c r="K13" s="403"/>
      <c r="L13" s="403"/>
      <c r="M13" s="403"/>
      <c r="N13" s="403"/>
      <c r="O13" s="403"/>
      <c r="P13" s="403"/>
      <c r="Q13" s="403"/>
      <c r="R13" s="403"/>
      <c r="S13" s="403"/>
      <c r="T13" s="2"/>
    </row>
    <row r="14" spans="1:20" ht="16.5">
      <c r="A14" s="399">
        <v>42559</v>
      </c>
      <c r="B14" s="400">
        <v>8.5000389195919457E-3</v>
      </c>
      <c r="C14" s="401">
        <f t="shared" si="0"/>
        <v>0.70190779014308424</v>
      </c>
      <c r="D14" s="402">
        <f t="shared" ref="D14:F14" si="23">ROUNDDOWN($C14*D$2,0) - IF(MOD($C14*D$2,1)=0,1,0) + 1</f>
        <v>2</v>
      </c>
      <c r="E14" s="402">
        <f t="shared" si="23"/>
        <v>3</v>
      </c>
      <c r="F14" s="402">
        <f t="shared" si="23"/>
        <v>3</v>
      </c>
      <c r="G14" s="401">
        <f t="shared" si="3"/>
        <v>8.5000389195919457E-3</v>
      </c>
      <c r="H14" s="2"/>
      <c r="I14" s="403"/>
      <c r="J14" s="403" t="s">
        <v>918</v>
      </c>
      <c r="K14" s="405">
        <f t="array" ref="K14">SUM((J10:L12-P10:R12)^2/P10:R12)</f>
        <v>10.199910113752596</v>
      </c>
      <c r="L14" s="403" t="s">
        <v>919</v>
      </c>
      <c r="M14" s="406">
        <f>_xlfn.CHISQ.DIST.RT(K14,(3-1)*(3-1))</f>
        <v>3.7191551509749725E-2</v>
      </c>
      <c r="N14" s="403"/>
      <c r="O14" s="403"/>
      <c r="P14" s="403"/>
      <c r="Q14" s="403"/>
      <c r="R14" s="403"/>
      <c r="S14" s="403"/>
      <c r="T14" s="2"/>
    </row>
    <row r="15" spans="1:20" ht="16.5">
      <c r="A15" s="399">
        <v>42559</v>
      </c>
      <c r="B15" s="400">
        <v>-6.9619178462820841E-3</v>
      </c>
      <c r="C15" s="401">
        <f t="shared" si="0"/>
        <v>0.246422893481717</v>
      </c>
      <c r="D15" s="402">
        <f t="shared" ref="D15:F15" si="24">ROUNDDOWN($C15*D$2,0) - IF(MOD($C15*D$2,1)=0,1,0) + 1</f>
        <v>1</v>
      </c>
      <c r="E15" s="402">
        <f t="shared" si="24"/>
        <v>1</v>
      </c>
      <c r="F15" s="402">
        <f t="shared" si="24"/>
        <v>1</v>
      </c>
      <c r="G15" s="401">
        <f t="shared" si="3"/>
        <v>0</v>
      </c>
      <c r="H15" s="2"/>
      <c r="I15" s="403"/>
      <c r="J15" s="403"/>
      <c r="K15" s="403"/>
      <c r="L15" s="403"/>
      <c r="M15" s="403"/>
      <c r="N15" s="403"/>
      <c r="O15" s="403"/>
      <c r="P15" s="403"/>
      <c r="Q15" s="403"/>
      <c r="R15" s="403"/>
      <c r="S15" s="403"/>
      <c r="T15" s="2"/>
    </row>
    <row r="16" spans="1:20" ht="16.5">
      <c r="A16" s="399">
        <v>42559</v>
      </c>
      <c r="B16" s="400">
        <v>3.146277009171472E-2</v>
      </c>
      <c r="C16" s="401">
        <f t="shared" si="0"/>
        <v>0.95627980922098565</v>
      </c>
      <c r="D16" s="402">
        <f t="shared" ref="D16:F16" si="25">ROUNDDOWN($C16*D$2,0) - IF(MOD($C16*D$2,1)=0,1,0) + 1</f>
        <v>2</v>
      </c>
      <c r="E16" s="402">
        <f t="shared" si="25"/>
        <v>3</v>
      </c>
      <c r="F16" s="402">
        <f t="shared" si="25"/>
        <v>4</v>
      </c>
      <c r="G16" s="401">
        <f t="shared" si="3"/>
        <v>3.146277009171472E-2</v>
      </c>
      <c r="H16" s="15">
        <v>3</v>
      </c>
      <c r="I16" s="2" t="s">
        <v>916</v>
      </c>
      <c r="J16" s="403">
        <v>1</v>
      </c>
      <c r="K16" s="403">
        <v>2</v>
      </c>
      <c r="L16" s="403">
        <v>3</v>
      </c>
      <c r="M16" s="403">
        <v>4</v>
      </c>
      <c r="N16" s="403"/>
      <c r="O16" s="2" t="s">
        <v>917</v>
      </c>
      <c r="P16" s="403">
        <v>1</v>
      </c>
      <c r="Q16" s="403">
        <v>2</v>
      </c>
      <c r="R16" s="403">
        <v>3</v>
      </c>
      <c r="S16" s="403">
        <v>4</v>
      </c>
      <c r="T16" s="2"/>
    </row>
    <row r="17" spans="1:20" ht="16.5">
      <c r="A17" s="399">
        <v>42327</v>
      </c>
      <c r="B17" s="400">
        <v>-3.4210446996413291E-3</v>
      </c>
      <c r="C17" s="401">
        <f t="shared" si="0"/>
        <v>0.34976152623211448</v>
      </c>
      <c r="D17" s="402">
        <f t="shared" ref="D17:F17" si="26">ROUNDDOWN($C17*D$2,0) - IF(MOD($C17*D$2,1)=0,1,0) + 1</f>
        <v>1</v>
      </c>
      <c r="E17" s="402">
        <f t="shared" si="26"/>
        <v>2</v>
      </c>
      <c r="F17" s="402">
        <f t="shared" si="26"/>
        <v>2</v>
      </c>
      <c r="G17" s="401">
        <f t="shared" si="3"/>
        <v>0</v>
      </c>
      <c r="H17" s="2"/>
      <c r="I17" s="403">
        <v>1</v>
      </c>
      <c r="J17" s="403">
        <f t="shared" ref="J17:M17" si="27">COUNTIFS($F$3:$F$1259,$I17,$F$4:$F$1260,J$16)</f>
        <v>90</v>
      </c>
      <c r="K17" s="403">
        <f t="shared" si="27"/>
        <v>64</v>
      </c>
      <c r="L17" s="403">
        <f t="shared" si="27"/>
        <v>73</v>
      </c>
      <c r="M17" s="403">
        <f t="shared" si="27"/>
        <v>86</v>
      </c>
      <c r="N17" s="403"/>
      <c r="O17" s="403">
        <v>1</v>
      </c>
      <c r="P17" s="404">
        <f t="shared" ref="P17:S17" si="28">AVERAGE($J17:$M17)</f>
        <v>78.25</v>
      </c>
      <c r="Q17" s="404">
        <f t="shared" si="28"/>
        <v>78.25</v>
      </c>
      <c r="R17" s="404">
        <f t="shared" si="28"/>
        <v>78.25</v>
      </c>
      <c r="S17" s="404">
        <f t="shared" si="28"/>
        <v>78.25</v>
      </c>
      <c r="T17" s="2"/>
    </row>
    <row r="18" spans="1:20" ht="16.5">
      <c r="A18" s="399">
        <v>42328</v>
      </c>
      <c r="B18" s="400">
        <v>1.0857894657250622E-2</v>
      </c>
      <c r="C18" s="401">
        <f t="shared" si="0"/>
        <v>0.75834658187599369</v>
      </c>
      <c r="D18" s="402">
        <f t="shared" ref="D18:F18" si="29">ROUNDDOWN($C18*D$2,0) - IF(MOD($C18*D$2,1)=0,1,0) + 1</f>
        <v>2</v>
      </c>
      <c r="E18" s="402">
        <f t="shared" si="29"/>
        <v>3</v>
      </c>
      <c r="F18" s="402">
        <f t="shared" si="29"/>
        <v>4</v>
      </c>
      <c r="G18" s="401">
        <f t="shared" si="3"/>
        <v>0</v>
      </c>
      <c r="H18" s="2"/>
      <c r="I18" s="403">
        <v>2</v>
      </c>
      <c r="J18" s="403">
        <f t="shared" ref="J18:M18" si="30">COUNTIFS($F$3:$F$1259,$I18,$F$4:$F$1260,J$16)</f>
        <v>83</v>
      </c>
      <c r="K18" s="403">
        <f t="shared" si="30"/>
        <v>82</v>
      </c>
      <c r="L18" s="403">
        <f t="shared" si="30"/>
        <v>74</v>
      </c>
      <c r="M18" s="403">
        <f t="shared" si="30"/>
        <v>76</v>
      </c>
      <c r="N18" s="403"/>
      <c r="O18" s="403">
        <v>2</v>
      </c>
      <c r="P18" s="404">
        <f t="shared" ref="P18:S18" si="31">AVERAGE($J18:$M18)</f>
        <v>78.75</v>
      </c>
      <c r="Q18" s="404">
        <f t="shared" si="31"/>
        <v>78.75</v>
      </c>
      <c r="R18" s="404">
        <f t="shared" si="31"/>
        <v>78.75</v>
      </c>
      <c r="S18" s="404">
        <f t="shared" si="31"/>
        <v>78.75</v>
      </c>
      <c r="T18" s="2"/>
    </row>
    <row r="19" spans="1:20" ht="16.5">
      <c r="A19" s="399">
        <v>42331</v>
      </c>
      <c r="B19" s="400">
        <v>1.5767821078614741E-2</v>
      </c>
      <c r="C19" s="401">
        <f t="shared" si="0"/>
        <v>0.85214626391096981</v>
      </c>
      <c r="D19" s="402">
        <f t="shared" ref="D19:F19" si="32">ROUNDDOWN($C19*D$2,0) - IF(MOD($C19*D$2,1)=0,1,0) + 1</f>
        <v>2</v>
      </c>
      <c r="E19" s="402">
        <f t="shared" si="32"/>
        <v>3</v>
      </c>
      <c r="F19" s="402">
        <f t="shared" si="32"/>
        <v>4</v>
      </c>
      <c r="G19" s="401">
        <f t="shared" si="3"/>
        <v>0</v>
      </c>
      <c r="H19" s="2"/>
      <c r="I19" s="403">
        <v>3</v>
      </c>
      <c r="J19" s="403">
        <f t="shared" ref="J19:M19" si="33">COUNTIFS($F$3:$F$1259,$I19,$F$4:$F$1260,J$16)</f>
        <v>59</v>
      </c>
      <c r="K19" s="403">
        <f t="shared" si="33"/>
        <v>88</v>
      </c>
      <c r="L19" s="403">
        <f t="shared" si="33"/>
        <v>93</v>
      </c>
      <c r="M19" s="403">
        <f t="shared" si="33"/>
        <v>74</v>
      </c>
      <c r="N19" s="403"/>
      <c r="O19" s="403">
        <v>3</v>
      </c>
      <c r="P19" s="404">
        <f t="shared" ref="P19:S19" si="34">AVERAGE($J19:$M19)</f>
        <v>78.5</v>
      </c>
      <c r="Q19" s="404">
        <f t="shared" si="34"/>
        <v>78.5</v>
      </c>
      <c r="R19" s="404">
        <f t="shared" si="34"/>
        <v>78.5</v>
      </c>
      <c r="S19" s="404">
        <f t="shared" si="34"/>
        <v>78.5</v>
      </c>
      <c r="T19" s="2"/>
    </row>
    <row r="20" spans="1:20" ht="16.5">
      <c r="A20" s="399">
        <v>42332</v>
      </c>
      <c r="B20" s="400">
        <v>-1.1546561805033995E-2</v>
      </c>
      <c r="C20" s="401">
        <f t="shared" si="0"/>
        <v>0.17170111287758347</v>
      </c>
      <c r="D20" s="402">
        <f t="shared" ref="D20:F20" si="35">ROUNDDOWN($C20*D$2,0) - IF(MOD($C20*D$2,1)=0,1,0) + 1</f>
        <v>1</v>
      </c>
      <c r="E20" s="402">
        <f t="shared" si="35"/>
        <v>1</v>
      </c>
      <c r="F20" s="402">
        <f t="shared" si="35"/>
        <v>1</v>
      </c>
      <c r="G20" s="401">
        <f t="shared" si="3"/>
        <v>0</v>
      </c>
      <c r="H20" s="2"/>
      <c r="I20" s="403">
        <v>4</v>
      </c>
      <c r="J20" s="403">
        <f t="shared" ref="J20:M20" si="36">COUNTIFS($F$3:$F$1259,$I20,$F$4:$F$1260,J$16)</f>
        <v>82</v>
      </c>
      <c r="K20" s="403">
        <f t="shared" si="36"/>
        <v>81</v>
      </c>
      <c r="L20" s="403">
        <f t="shared" si="36"/>
        <v>73</v>
      </c>
      <c r="M20" s="403">
        <f t="shared" si="36"/>
        <v>79</v>
      </c>
      <c r="N20" s="403"/>
      <c r="O20" s="403">
        <v>4</v>
      </c>
      <c r="P20" s="404">
        <f t="shared" ref="P20:S20" si="37">AVERAGE($J20:$M20)</f>
        <v>78.75</v>
      </c>
      <c r="Q20" s="404">
        <f t="shared" si="37"/>
        <v>78.75</v>
      </c>
      <c r="R20" s="404">
        <f t="shared" si="37"/>
        <v>78.75</v>
      </c>
      <c r="S20" s="404">
        <f t="shared" si="37"/>
        <v>78.75</v>
      </c>
      <c r="T20" s="2"/>
    </row>
    <row r="21" spans="1:20" ht="15.75" customHeight="1">
      <c r="A21" s="399">
        <v>42333</v>
      </c>
      <c r="B21" s="400">
        <v>6.2430157192878699E-3</v>
      </c>
      <c r="C21" s="401">
        <f t="shared" si="0"/>
        <v>0.63831478537360886</v>
      </c>
      <c r="D21" s="402">
        <f t="shared" ref="D21:F21" si="38">ROUNDDOWN($C21*D$2,0) - IF(MOD($C21*D$2,1)=0,1,0) + 1</f>
        <v>2</v>
      </c>
      <c r="E21" s="402">
        <f t="shared" si="38"/>
        <v>2</v>
      </c>
      <c r="F21" s="402">
        <f t="shared" si="38"/>
        <v>3</v>
      </c>
      <c r="G21" s="401">
        <f t="shared" si="3"/>
        <v>6.2430157192878699E-3</v>
      </c>
      <c r="H21" s="2"/>
      <c r="I21" s="403"/>
      <c r="J21" s="403"/>
      <c r="K21" s="403"/>
      <c r="L21" s="403"/>
      <c r="M21" s="403"/>
      <c r="N21" s="403"/>
      <c r="O21" s="403"/>
      <c r="P21" s="403"/>
      <c r="Q21" s="403"/>
      <c r="R21" s="403"/>
      <c r="S21" s="403"/>
      <c r="T21" s="2"/>
    </row>
    <row r="22" spans="1:20" ht="15.75" customHeight="1">
      <c r="A22" s="399">
        <v>42335</v>
      </c>
      <c r="B22" s="400">
        <v>-3.0799301092783171E-3</v>
      </c>
      <c r="C22" s="401">
        <f t="shared" si="0"/>
        <v>0.36248012718600953</v>
      </c>
      <c r="D22" s="402">
        <f t="shared" ref="D22:F22" si="39">ROUNDDOWN($C22*D$2,0) - IF(MOD($C22*D$2,1)=0,1,0) + 1</f>
        <v>1</v>
      </c>
      <c r="E22" s="402">
        <f t="shared" si="39"/>
        <v>2</v>
      </c>
      <c r="F22" s="402">
        <f t="shared" si="39"/>
        <v>2</v>
      </c>
      <c r="G22" s="401">
        <f t="shared" si="3"/>
        <v>0</v>
      </c>
      <c r="H22" s="2"/>
      <c r="I22" s="403"/>
      <c r="J22" s="403" t="s">
        <v>918</v>
      </c>
      <c r="K22" s="405">
        <f t="array" ref="K22">SUM((J17:M20-P17:S20)^2/P17:S20)</f>
        <v>15.77424889764891</v>
      </c>
      <c r="L22" s="403" t="s">
        <v>919</v>
      </c>
      <c r="M22" s="406">
        <f>_xlfn.CHISQ.DIST.RT(K22,(4-1)*(4-1))</f>
        <v>7.1748161401244806E-2</v>
      </c>
      <c r="N22" s="403"/>
      <c r="O22" s="403"/>
      <c r="P22" s="403"/>
      <c r="Q22" s="403"/>
      <c r="R22" s="403"/>
      <c r="S22" s="403"/>
      <c r="T22" s="2"/>
    </row>
    <row r="23" spans="1:20" ht="15.75" customHeight="1">
      <c r="A23" s="399">
        <v>42338</v>
      </c>
      <c r="B23" s="400">
        <v>-1.2565724979948345E-2</v>
      </c>
      <c r="C23" s="401">
        <f t="shared" si="0"/>
        <v>0.15580286168521462</v>
      </c>
      <c r="D23" s="402">
        <f t="shared" ref="D23:F23" si="40">ROUNDDOWN($C23*D$2,0) - IF(MOD($C23*D$2,1)=0,1,0) + 1</f>
        <v>1</v>
      </c>
      <c r="E23" s="402">
        <f t="shared" si="40"/>
        <v>1</v>
      </c>
      <c r="F23" s="402">
        <f t="shared" si="40"/>
        <v>1</v>
      </c>
      <c r="G23" s="401">
        <f t="shared" si="3"/>
        <v>0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15.75" customHeight="1">
      <c r="A24" s="399">
        <v>42339</v>
      </c>
      <c r="B24" s="400">
        <v>2.145006016847173E-2</v>
      </c>
      <c r="C24" s="401">
        <f t="shared" si="0"/>
        <v>0.90858505564387915</v>
      </c>
      <c r="D24" s="402">
        <f t="shared" ref="D24:F24" si="41">ROUNDDOWN($C24*D$2,0) - IF(MOD($C24*D$2,1)=0,1,0) + 1</f>
        <v>2</v>
      </c>
      <c r="E24" s="402">
        <f t="shared" si="41"/>
        <v>3</v>
      </c>
      <c r="F24" s="402">
        <f t="shared" si="41"/>
        <v>4</v>
      </c>
      <c r="G24" s="401">
        <f t="shared" si="3"/>
        <v>2.145006016847173E-2</v>
      </c>
      <c r="H24" s="2"/>
      <c r="I24" s="408" t="s">
        <v>920</v>
      </c>
      <c r="J24" s="409" t="s">
        <v>691</v>
      </c>
      <c r="K24" s="410" t="s">
        <v>921</v>
      </c>
      <c r="L24" s="2"/>
      <c r="M24" s="2"/>
      <c r="N24" s="2"/>
      <c r="O24" s="2"/>
      <c r="P24" s="2"/>
      <c r="Q24" s="2"/>
      <c r="R24" s="2"/>
      <c r="S24" s="2"/>
      <c r="T24" s="2"/>
    </row>
    <row r="25" spans="1:20" ht="15.75" customHeight="1">
      <c r="A25" s="399">
        <v>42340</v>
      </c>
      <c r="B25" s="400">
        <v>-4.4915029599740253E-3</v>
      </c>
      <c r="C25" s="401">
        <f t="shared" si="0"/>
        <v>0.31240063593004769</v>
      </c>
      <c r="D25" s="402">
        <f t="shared" ref="D25:F25" si="42">ROUNDDOWN($C25*D$2,0) - IF(MOD($C25*D$2,1)=0,1,0) + 1</f>
        <v>1</v>
      </c>
      <c r="E25" s="402">
        <f t="shared" si="42"/>
        <v>1</v>
      </c>
      <c r="F25" s="402">
        <f t="shared" si="42"/>
        <v>2</v>
      </c>
      <c r="G25" s="401">
        <f t="shared" si="3"/>
        <v>0</v>
      </c>
      <c r="H25" s="2"/>
      <c r="I25" s="411" t="s">
        <v>922</v>
      </c>
      <c r="J25" s="412">
        <f t="array" ref="J25">PRODUCT(1+B3:B1260)^(1/5) - 1</f>
        <v>0.39909241030641862</v>
      </c>
      <c r="K25" s="413">
        <f>_xlfn.STDEV.S(B3:B1260)*SQRT(252)</f>
        <v>0.30097315583338324</v>
      </c>
      <c r="L25" s="2"/>
      <c r="M25" s="2" t="s">
        <v>923</v>
      </c>
      <c r="N25" s="2" t="s">
        <v>924</v>
      </c>
      <c r="O25" s="2"/>
      <c r="P25" s="2"/>
      <c r="Q25" s="2"/>
      <c r="R25" s="2"/>
      <c r="S25" s="2"/>
      <c r="T25" s="2"/>
    </row>
    <row r="26" spans="1:20" ht="15.75" customHeight="1">
      <c r="A26" s="399">
        <v>42341</v>
      </c>
      <c r="B26" s="400">
        <v>-1.4437656247688668E-2</v>
      </c>
      <c r="C26" s="401">
        <f t="shared" si="0"/>
        <v>0.13831478537360889</v>
      </c>
      <c r="D26" s="402">
        <f t="shared" ref="D26:F26" si="43">ROUNDDOWN($C26*D$2,0) - IF(MOD($C26*D$2,1)=0,1,0) + 1</f>
        <v>1</v>
      </c>
      <c r="E26" s="402">
        <f t="shared" si="43"/>
        <v>1</v>
      </c>
      <c r="F26" s="402">
        <f t="shared" si="43"/>
        <v>1</v>
      </c>
      <c r="G26" s="401">
        <f t="shared" si="3"/>
        <v>0</v>
      </c>
      <c r="H26" s="2"/>
      <c r="I26" s="411" t="s">
        <v>925</v>
      </c>
      <c r="J26" s="414">
        <f t="array" ref="J26">PRODUCT(1+G4:G1260)^(1/5) - 1</f>
        <v>8.9747635679862992E-2</v>
      </c>
      <c r="K26" s="415">
        <f>_xlfn.STDEV.S(G4:G1260)*SQRT(252)</f>
        <v>0.18414941047183775</v>
      </c>
      <c r="L26" s="2"/>
      <c r="M26" s="2" t="s">
        <v>926</v>
      </c>
      <c r="N26" s="2"/>
      <c r="O26" s="2"/>
      <c r="P26" s="2"/>
      <c r="Q26" s="2"/>
      <c r="R26" s="2"/>
      <c r="S26" s="2"/>
      <c r="T26" s="2"/>
    </row>
    <row r="27" spans="1:20" ht="15.75" customHeight="1">
      <c r="A27" s="399">
        <v>42342</v>
      </c>
      <c r="B27" s="400">
        <v>9.5909943714822532E-3</v>
      </c>
      <c r="C27" s="401">
        <f t="shared" si="0"/>
        <v>0.7313195548489666</v>
      </c>
      <c r="D27" s="402">
        <f t="shared" ref="D27:F27" si="44">ROUNDDOWN($C27*D$2,0) - IF(MOD($C27*D$2,1)=0,1,0) + 1</f>
        <v>2</v>
      </c>
      <c r="E27" s="402">
        <f t="shared" si="44"/>
        <v>3</v>
      </c>
      <c r="F27" s="402">
        <f t="shared" si="44"/>
        <v>3</v>
      </c>
      <c r="G27" s="401">
        <f t="shared" si="3"/>
        <v>9.5909943714822532E-3</v>
      </c>
      <c r="H27" s="2"/>
      <c r="I27" s="416"/>
      <c r="J27" s="416"/>
      <c r="K27" s="417"/>
      <c r="L27" s="2"/>
      <c r="M27" s="2">
        <f t="shared" ref="M27:M28" si="45">L9</f>
        <v>3</v>
      </c>
      <c r="N27" s="2" t="s">
        <v>927</v>
      </c>
      <c r="O27" s="2"/>
      <c r="P27" s="2"/>
      <c r="Q27" s="2"/>
      <c r="R27" s="2"/>
      <c r="S27" s="2"/>
      <c r="T27" s="2"/>
    </row>
    <row r="28" spans="1:20" ht="15.75" customHeight="1">
      <c r="A28" s="399">
        <v>42345</v>
      </c>
      <c r="B28" s="400">
        <v>-4.1775689819218975E-3</v>
      </c>
      <c r="C28" s="401">
        <f t="shared" si="0"/>
        <v>0.31955484896661368</v>
      </c>
      <c r="D28" s="402">
        <f t="shared" ref="D28:F28" si="46">ROUNDDOWN($C28*D$2,0) - IF(MOD($C28*D$2,1)=0,1,0) + 1</f>
        <v>1</v>
      </c>
      <c r="E28" s="402">
        <f t="shared" si="46"/>
        <v>1</v>
      </c>
      <c r="F28" s="402">
        <f t="shared" si="46"/>
        <v>2</v>
      </c>
      <c r="G28" s="401">
        <f t="shared" si="3"/>
        <v>0</v>
      </c>
      <c r="H28" s="2"/>
      <c r="I28" s="2"/>
      <c r="J28" s="2"/>
      <c r="K28" s="2"/>
      <c r="L28" s="2"/>
      <c r="M28" s="418">
        <f t="shared" si="45"/>
        <v>147</v>
      </c>
      <c r="N28" s="2" t="s">
        <v>928</v>
      </c>
      <c r="O28" s="2"/>
      <c r="P28" s="2"/>
      <c r="Q28" s="2"/>
      <c r="R28" s="2"/>
      <c r="S28" s="2"/>
      <c r="T28" s="2"/>
    </row>
    <row r="29" spans="1:20" ht="15.75" customHeight="1">
      <c r="A29" s="399">
        <v>42346</v>
      </c>
      <c r="B29" s="400">
        <v>1.1196870847827167E-2</v>
      </c>
      <c r="C29" s="401">
        <f t="shared" si="0"/>
        <v>0.76709062003179651</v>
      </c>
      <c r="D29" s="402">
        <f t="shared" ref="D29:F29" si="47">ROUNDDOWN($C29*D$2,0) - IF(MOD($C29*D$2,1)=0,1,0) + 1</f>
        <v>2</v>
      </c>
      <c r="E29" s="402">
        <f t="shared" si="47"/>
        <v>3</v>
      </c>
      <c r="F29" s="402">
        <f t="shared" si="47"/>
        <v>4</v>
      </c>
      <c r="G29" s="401">
        <f t="shared" si="3"/>
        <v>0</v>
      </c>
      <c r="H29" s="2"/>
      <c r="I29" s="15" t="s">
        <v>929</v>
      </c>
      <c r="J29" s="2"/>
      <c r="K29" s="2"/>
      <c r="L29" s="2"/>
      <c r="M29" s="419">
        <f>J10</f>
        <v>155</v>
      </c>
      <c r="N29" s="2" t="s">
        <v>930</v>
      </c>
      <c r="O29" s="2"/>
      <c r="P29" s="2"/>
      <c r="Q29" s="2"/>
      <c r="R29" s="2"/>
      <c r="S29" s="2"/>
      <c r="T29" s="2"/>
    </row>
    <row r="30" spans="1:20" ht="15.75" customHeight="1">
      <c r="A30" s="399">
        <v>42347</v>
      </c>
      <c r="B30" s="400">
        <v>-1.8513870639127239E-2</v>
      </c>
      <c r="C30" s="401">
        <f t="shared" si="0"/>
        <v>9.8569157392686804E-2</v>
      </c>
      <c r="D30" s="402">
        <f t="shared" ref="D30:F30" si="48">ROUNDDOWN($C30*D$2,0) - IF(MOD($C30*D$2,1)=0,1,0) + 1</f>
        <v>1</v>
      </c>
      <c r="E30" s="402">
        <f t="shared" si="48"/>
        <v>1</v>
      </c>
      <c r="F30" s="402">
        <f t="shared" si="48"/>
        <v>1</v>
      </c>
      <c r="G30" s="401">
        <f t="shared" si="3"/>
        <v>0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15.75" customHeight="1">
      <c r="A31" s="399">
        <v>42348</v>
      </c>
      <c r="B31" s="400">
        <v>-3.7154590171331048E-3</v>
      </c>
      <c r="C31" s="401">
        <f t="shared" si="0"/>
        <v>0.34181240063593005</v>
      </c>
      <c r="D31" s="402">
        <f t="shared" ref="D31:F31" si="49">ROUNDDOWN($C31*D$2,0) - IF(MOD($C31*D$2,1)=0,1,0) + 1</f>
        <v>1</v>
      </c>
      <c r="E31" s="402">
        <f t="shared" si="49"/>
        <v>2</v>
      </c>
      <c r="F31" s="402">
        <f t="shared" si="49"/>
        <v>2</v>
      </c>
      <c r="G31" s="401">
        <f t="shared" si="3"/>
        <v>-3.7154590171331048E-3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15.75" customHeight="1">
      <c r="A32" s="399">
        <v>42349</v>
      </c>
      <c r="B32" s="400">
        <v>-3.347324556105824E-2</v>
      </c>
      <c r="C32" s="401">
        <f t="shared" si="0"/>
        <v>3.8155802861685212E-2</v>
      </c>
      <c r="D32" s="402">
        <f t="shared" ref="D32:F32" si="50">ROUNDDOWN($C32*D$2,0) - IF(MOD($C32*D$2,1)=0,1,0) + 1</f>
        <v>1</v>
      </c>
      <c r="E32" s="402">
        <f t="shared" si="50"/>
        <v>1</v>
      </c>
      <c r="F32" s="402">
        <f t="shared" si="50"/>
        <v>1</v>
      </c>
      <c r="G32" s="401">
        <f t="shared" si="3"/>
        <v>0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15.75" customHeight="1">
      <c r="A33" s="399">
        <v>42352</v>
      </c>
      <c r="B33" s="400">
        <v>2.7743497617745749E-2</v>
      </c>
      <c r="C33" s="401">
        <f t="shared" si="0"/>
        <v>0.94276629570747217</v>
      </c>
      <c r="D33" s="402">
        <f t="shared" ref="D33:F33" si="51">ROUNDDOWN($C33*D$2,0) - IF(MOD($C33*D$2,1)=0,1,0) + 1</f>
        <v>2</v>
      </c>
      <c r="E33" s="402">
        <f t="shared" si="51"/>
        <v>3</v>
      </c>
      <c r="F33" s="402">
        <f t="shared" si="51"/>
        <v>4</v>
      </c>
      <c r="G33" s="401">
        <f t="shared" si="3"/>
        <v>2.7743497617745749E-2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5.75" customHeight="1">
      <c r="A34" s="399">
        <v>42353</v>
      </c>
      <c r="B34" s="400">
        <v>1.1095742578772771E-3</v>
      </c>
      <c r="C34" s="401">
        <f t="shared" si="0"/>
        <v>0.4872813990461049</v>
      </c>
      <c r="D34" s="402">
        <f t="shared" ref="D34:F34" si="52">ROUNDDOWN($C34*D$2,0) - IF(MOD($C34*D$2,1)=0,1,0) + 1</f>
        <v>1</v>
      </c>
      <c r="E34" s="402">
        <f t="shared" si="52"/>
        <v>2</v>
      </c>
      <c r="F34" s="402">
        <f t="shared" si="52"/>
        <v>2</v>
      </c>
      <c r="G34" s="401">
        <f t="shared" si="3"/>
        <v>0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5.75" customHeight="1">
      <c r="A35" s="399">
        <v>42354</v>
      </c>
      <c r="B35" s="400">
        <v>2.6008137981294865E-2</v>
      </c>
      <c r="C35" s="401">
        <f t="shared" si="0"/>
        <v>0.93402225755166934</v>
      </c>
      <c r="D35" s="402">
        <f t="shared" ref="D35:F35" si="53">ROUNDDOWN($C35*D$2,0) - IF(MOD($C35*D$2,1)=0,1,0) + 1</f>
        <v>2</v>
      </c>
      <c r="E35" s="402">
        <f t="shared" si="53"/>
        <v>3</v>
      </c>
      <c r="F35" s="402">
        <f t="shared" si="53"/>
        <v>4</v>
      </c>
      <c r="G35" s="401">
        <f t="shared" si="3"/>
        <v>0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5.75" customHeight="1">
      <c r="A36" s="399">
        <v>42355</v>
      </c>
      <c r="B36" s="400">
        <v>-7.5765423146928468E-3</v>
      </c>
      <c r="C36" s="401">
        <f t="shared" si="0"/>
        <v>0.22972972972972974</v>
      </c>
      <c r="D36" s="402">
        <f t="shared" ref="D36:F36" si="54">ROUNDDOWN($C36*D$2,0) - IF(MOD($C36*D$2,1)=0,1,0) + 1</f>
        <v>1</v>
      </c>
      <c r="E36" s="402">
        <f t="shared" si="54"/>
        <v>1</v>
      </c>
      <c r="F36" s="402">
        <f t="shared" si="54"/>
        <v>1</v>
      </c>
      <c r="G36" s="401">
        <f t="shared" si="3"/>
        <v>0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15.75" customHeight="1">
      <c r="A37" s="399">
        <v>42356</v>
      </c>
      <c r="B37" s="400">
        <v>-9.7070006709908396E-3</v>
      </c>
      <c r="C37" s="401">
        <f t="shared" si="0"/>
        <v>0.1915739268680445</v>
      </c>
      <c r="D37" s="402">
        <f t="shared" ref="D37:F37" si="55">ROUNDDOWN($C37*D$2,0) - IF(MOD($C37*D$2,1)=0,1,0) + 1</f>
        <v>1</v>
      </c>
      <c r="E37" s="402">
        <f t="shared" si="55"/>
        <v>1</v>
      </c>
      <c r="F37" s="402">
        <f t="shared" si="55"/>
        <v>1</v>
      </c>
      <c r="G37" s="401">
        <f t="shared" si="3"/>
        <v>-9.7070006709908396E-3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15.75" customHeight="1">
      <c r="A38" s="399">
        <v>42359</v>
      </c>
      <c r="B38" s="400">
        <v>5.5711145240455728E-4</v>
      </c>
      <c r="C38" s="401">
        <f t="shared" si="0"/>
        <v>0.46820349761526231</v>
      </c>
      <c r="D38" s="402">
        <f t="shared" ref="D38:F38" si="56">ROUNDDOWN($C38*D$2,0) - IF(MOD($C38*D$2,1)=0,1,0) + 1</f>
        <v>1</v>
      </c>
      <c r="E38" s="402">
        <f t="shared" si="56"/>
        <v>2</v>
      </c>
      <c r="F38" s="402">
        <f t="shared" si="56"/>
        <v>2</v>
      </c>
      <c r="G38" s="401">
        <f t="shared" si="3"/>
        <v>5.5711145240455728E-4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15.75" customHeight="1">
      <c r="A39" s="399">
        <v>42360</v>
      </c>
      <c r="B39" s="400">
        <v>-2.0466208183473888E-3</v>
      </c>
      <c r="C39" s="401">
        <f t="shared" si="0"/>
        <v>0.38632750397456278</v>
      </c>
      <c r="D39" s="402">
        <f t="shared" ref="D39:F39" si="57">ROUNDDOWN($C39*D$2,0) - IF(MOD($C39*D$2,1)=0,1,0) + 1</f>
        <v>1</v>
      </c>
      <c r="E39" s="402">
        <f t="shared" si="57"/>
        <v>2</v>
      </c>
      <c r="F39" s="402">
        <f t="shared" si="57"/>
        <v>2</v>
      </c>
      <c r="G39" s="401">
        <f t="shared" si="3"/>
        <v>0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15.75" customHeight="1">
      <c r="A40" s="399">
        <v>42361</v>
      </c>
      <c r="B40" s="400">
        <v>8.2937495287649377E-4</v>
      </c>
      <c r="C40" s="401">
        <f t="shared" si="0"/>
        <v>0.47694753577106519</v>
      </c>
      <c r="D40" s="402">
        <f t="shared" ref="D40:F40" si="58">ROUNDDOWN($C40*D$2,0) - IF(MOD($C40*D$2,1)=0,1,0) + 1</f>
        <v>1</v>
      </c>
      <c r="E40" s="402">
        <f t="shared" si="58"/>
        <v>2</v>
      </c>
      <c r="F40" s="402">
        <f t="shared" si="58"/>
        <v>2</v>
      </c>
      <c r="G40" s="401">
        <f t="shared" si="3"/>
        <v>0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15.75" customHeight="1">
      <c r="A41" s="399">
        <v>42362</v>
      </c>
      <c r="B41" s="400">
        <v>-1.3711014012356415E-3</v>
      </c>
      <c r="C41" s="401">
        <f t="shared" si="0"/>
        <v>0.4030206677265501</v>
      </c>
      <c r="D41" s="402">
        <f t="shared" ref="D41:F41" si="59">ROUNDDOWN($C41*D$2,0) - IF(MOD($C41*D$2,1)=0,1,0) + 1</f>
        <v>1</v>
      </c>
      <c r="E41" s="402">
        <f t="shared" si="59"/>
        <v>2</v>
      </c>
      <c r="F41" s="402">
        <f t="shared" si="59"/>
        <v>2</v>
      </c>
      <c r="G41" s="401">
        <f t="shared" si="3"/>
        <v>0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5.75" customHeight="1">
      <c r="A42" s="399">
        <v>42366</v>
      </c>
      <c r="B42" s="400">
        <v>1.8723879358469642E-2</v>
      </c>
      <c r="C42" s="401">
        <f t="shared" si="0"/>
        <v>0.88632750397456284</v>
      </c>
      <c r="D42" s="402">
        <f t="shared" ref="D42:F42" si="60">ROUNDDOWN($C42*D$2,0) - IF(MOD($C42*D$2,1)=0,1,0) + 1</f>
        <v>2</v>
      </c>
      <c r="E42" s="402">
        <f t="shared" si="60"/>
        <v>3</v>
      </c>
      <c r="F42" s="402">
        <f t="shared" si="60"/>
        <v>4</v>
      </c>
      <c r="G42" s="401">
        <f t="shared" si="3"/>
        <v>0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15.75" customHeight="1">
      <c r="A43" s="399">
        <v>42367</v>
      </c>
      <c r="B43" s="400">
        <v>2.7799170616113811E-2</v>
      </c>
      <c r="C43" s="401">
        <f t="shared" si="0"/>
        <v>0.94356120826709067</v>
      </c>
      <c r="D43" s="402">
        <f t="shared" ref="D43:F43" si="61">ROUNDDOWN($C43*D$2,0) - IF(MOD($C43*D$2,1)=0,1,0) + 1</f>
        <v>2</v>
      </c>
      <c r="E43" s="402">
        <f t="shared" si="61"/>
        <v>3</v>
      </c>
      <c r="F43" s="402">
        <f t="shared" si="61"/>
        <v>4</v>
      </c>
      <c r="G43" s="401">
        <f t="shared" si="3"/>
        <v>0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15.75" customHeight="1">
      <c r="A44" s="399">
        <v>42368</v>
      </c>
      <c r="B44" s="400">
        <v>-7.060823954926021E-3</v>
      </c>
      <c r="C44" s="401">
        <f t="shared" si="0"/>
        <v>0.24244833068362481</v>
      </c>
      <c r="D44" s="402">
        <f t="shared" ref="D44:F44" si="62">ROUNDDOWN($C44*D$2,0) - IF(MOD($C44*D$2,1)=0,1,0) + 1</f>
        <v>1</v>
      </c>
      <c r="E44" s="402">
        <f t="shared" si="62"/>
        <v>1</v>
      </c>
      <c r="F44" s="402">
        <f t="shared" si="62"/>
        <v>1</v>
      </c>
      <c r="G44" s="401">
        <f t="shared" si="3"/>
        <v>0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15.75" customHeight="1">
      <c r="A45" s="399">
        <v>42369</v>
      </c>
      <c r="B45" s="400">
        <v>-1.9127229454191985E-2</v>
      </c>
      <c r="C45" s="401">
        <f t="shared" si="0"/>
        <v>9.3799682034976156E-2</v>
      </c>
      <c r="D45" s="402">
        <f t="shared" ref="D45:F45" si="63">ROUNDDOWN($C45*D$2,0) - IF(MOD($C45*D$2,1)=0,1,0) + 1</f>
        <v>1</v>
      </c>
      <c r="E45" s="402">
        <f t="shared" si="63"/>
        <v>1</v>
      </c>
      <c r="F45" s="402">
        <f t="shared" si="63"/>
        <v>1</v>
      </c>
      <c r="G45" s="401">
        <f t="shared" si="3"/>
        <v>-1.9127229454191985E-2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15.75" customHeight="1">
      <c r="A46" s="399">
        <v>42373</v>
      </c>
      <c r="B46" s="400">
        <v>-5.7553743952418301E-2</v>
      </c>
      <c r="C46" s="401">
        <f t="shared" si="0"/>
        <v>8.744038155802861E-3</v>
      </c>
      <c r="D46" s="402">
        <f t="shared" ref="D46:F46" si="64">ROUNDDOWN($C46*D$2,0) - IF(MOD($C46*D$2,1)=0,1,0) + 1</f>
        <v>1</v>
      </c>
      <c r="E46" s="402">
        <f t="shared" si="64"/>
        <v>1</v>
      </c>
      <c r="F46" s="402">
        <f t="shared" si="64"/>
        <v>1</v>
      </c>
      <c r="G46" s="401">
        <f t="shared" si="3"/>
        <v>-5.7553743952418301E-2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15.75" customHeight="1">
      <c r="A47" s="399">
        <v>42374</v>
      </c>
      <c r="B47" s="400">
        <v>-5.0236267445329386E-3</v>
      </c>
      <c r="C47" s="401">
        <f t="shared" si="0"/>
        <v>0.29411764705882354</v>
      </c>
      <c r="D47" s="402">
        <f t="shared" ref="D47:F47" si="65">ROUNDDOWN($C47*D$2,0) - IF(MOD($C47*D$2,1)=0,1,0) + 1</f>
        <v>1</v>
      </c>
      <c r="E47" s="402">
        <f t="shared" si="65"/>
        <v>1</v>
      </c>
      <c r="F47" s="402">
        <f t="shared" si="65"/>
        <v>2</v>
      </c>
      <c r="G47" s="401">
        <f t="shared" si="3"/>
        <v>-5.0236267445329386E-3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15.75" customHeight="1">
      <c r="A48" s="399">
        <v>42375</v>
      </c>
      <c r="B48" s="400">
        <v>-1.7987030404392756E-3</v>
      </c>
      <c r="C48" s="401">
        <f t="shared" si="0"/>
        <v>0.39109697933227344</v>
      </c>
      <c r="D48" s="402">
        <f t="shared" ref="D48:F48" si="66">ROUNDDOWN($C48*D$2,0) - IF(MOD($C48*D$2,1)=0,1,0) + 1</f>
        <v>1</v>
      </c>
      <c r="E48" s="402">
        <f t="shared" si="66"/>
        <v>2</v>
      </c>
      <c r="F48" s="402">
        <f t="shared" si="66"/>
        <v>2</v>
      </c>
      <c r="G48" s="401">
        <f t="shared" si="3"/>
        <v>0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15.75" customHeight="1">
      <c r="A49" s="399">
        <v>42376</v>
      </c>
      <c r="B49" s="400">
        <v>-3.9057930925472051E-2</v>
      </c>
      <c r="C49" s="401">
        <f t="shared" si="0"/>
        <v>2.6232114467408585E-2</v>
      </c>
      <c r="D49" s="402">
        <f t="shared" ref="D49:F49" si="67">ROUNDDOWN($C49*D$2,0) - IF(MOD($C49*D$2,1)=0,1,0) + 1</f>
        <v>1</v>
      </c>
      <c r="E49" s="402">
        <f t="shared" si="67"/>
        <v>1</v>
      </c>
      <c r="F49" s="402">
        <f t="shared" si="67"/>
        <v>1</v>
      </c>
      <c r="G49" s="401">
        <f t="shared" si="3"/>
        <v>0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15.75" customHeight="1">
      <c r="A50" s="399">
        <v>42377</v>
      </c>
      <c r="B50" s="400">
        <v>-1.46396025923623E-3</v>
      </c>
      <c r="C50" s="401">
        <f t="shared" si="0"/>
        <v>0.39904610492845788</v>
      </c>
      <c r="D50" s="402">
        <f t="shared" ref="D50:F50" si="68">ROUNDDOWN($C50*D$2,0) - IF(MOD($C50*D$2,1)=0,1,0) + 1</f>
        <v>1</v>
      </c>
      <c r="E50" s="402">
        <f t="shared" si="68"/>
        <v>2</v>
      </c>
      <c r="F50" s="402">
        <f t="shared" si="68"/>
        <v>2</v>
      </c>
      <c r="G50" s="401">
        <f t="shared" si="3"/>
        <v>-1.46396025923623E-3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15.75" customHeight="1">
      <c r="A51" s="399">
        <v>42380</v>
      </c>
      <c r="B51" s="400">
        <v>1.7609752079730034E-2</v>
      </c>
      <c r="C51" s="401">
        <f t="shared" si="0"/>
        <v>0.87678855325914151</v>
      </c>
      <c r="D51" s="402">
        <f t="shared" ref="D51:F51" si="69">ROUNDDOWN($C51*D$2,0) - IF(MOD($C51*D$2,1)=0,1,0) + 1</f>
        <v>2</v>
      </c>
      <c r="E51" s="402">
        <f t="shared" si="69"/>
        <v>3</v>
      </c>
      <c r="F51" s="402">
        <f t="shared" si="69"/>
        <v>4</v>
      </c>
      <c r="G51" s="401">
        <f t="shared" si="3"/>
        <v>0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15.75" customHeight="1">
      <c r="A52" s="399">
        <v>42381</v>
      </c>
      <c r="B52" s="400">
        <v>2.4282060413760576E-4</v>
      </c>
      <c r="C52" s="401">
        <f t="shared" si="0"/>
        <v>0.45627980922098571</v>
      </c>
      <c r="D52" s="402">
        <f t="shared" ref="D52:F52" si="70">ROUNDDOWN($C52*D$2,0) - IF(MOD($C52*D$2,1)=0,1,0) + 1</f>
        <v>1</v>
      </c>
      <c r="E52" s="402">
        <f t="shared" si="70"/>
        <v>2</v>
      </c>
      <c r="F52" s="402">
        <f t="shared" si="70"/>
        <v>2</v>
      </c>
      <c r="G52" s="401">
        <f t="shared" si="3"/>
        <v>0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15.75" customHeight="1">
      <c r="A53" s="399">
        <v>42382</v>
      </c>
      <c r="B53" s="400">
        <v>-5.8392270468853757E-2</v>
      </c>
      <c r="C53" s="401">
        <f t="shared" si="0"/>
        <v>7.9491255961844191E-3</v>
      </c>
      <c r="D53" s="402">
        <f t="shared" ref="D53:F53" si="71">ROUNDDOWN($C53*D$2,0) - IF(MOD($C53*D$2,1)=0,1,0) + 1</f>
        <v>1</v>
      </c>
      <c r="E53" s="402">
        <f t="shared" si="71"/>
        <v>1</v>
      </c>
      <c r="F53" s="402">
        <f t="shared" si="71"/>
        <v>1</v>
      </c>
      <c r="G53" s="401">
        <f t="shared" si="3"/>
        <v>0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ht="15.75" customHeight="1">
      <c r="A54" s="399">
        <v>42383</v>
      </c>
      <c r="B54" s="400">
        <v>1.9233082965229187E-2</v>
      </c>
      <c r="C54" s="401">
        <f t="shared" si="0"/>
        <v>0.89189189189189189</v>
      </c>
      <c r="D54" s="402">
        <f t="shared" ref="D54:F54" si="72">ROUNDDOWN($C54*D$2,0) - IF(MOD($C54*D$2,1)=0,1,0) + 1</f>
        <v>2</v>
      </c>
      <c r="E54" s="402">
        <f t="shared" si="72"/>
        <v>3</v>
      </c>
      <c r="F54" s="402">
        <f t="shared" si="72"/>
        <v>4</v>
      </c>
      <c r="G54" s="401">
        <f t="shared" si="3"/>
        <v>1.9233082965229187E-2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ht="15.75" customHeight="1">
      <c r="A55" s="399">
        <v>42384</v>
      </c>
      <c r="B55" s="400">
        <v>-3.8482293423271585E-2</v>
      </c>
      <c r="C55" s="401">
        <f t="shared" si="0"/>
        <v>2.7027027027027029E-2</v>
      </c>
      <c r="D55" s="402">
        <f t="shared" ref="D55:F55" si="73">ROUNDDOWN($C55*D$2,0) - IF(MOD($C55*D$2,1)=0,1,0) + 1</f>
        <v>1</v>
      </c>
      <c r="E55" s="402">
        <f t="shared" si="73"/>
        <v>1</v>
      </c>
      <c r="F55" s="402">
        <f t="shared" si="73"/>
        <v>1</v>
      </c>
      <c r="G55" s="401">
        <f t="shared" si="3"/>
        <v>0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ht="15.75" customHeight="1">
      <c r="A56" s="399">
        <v>42388</v>
      </c>
      <c r="B56" s="400">
        <v>7.5414781297136191E-3</v>
      </c>
      <c r="C56" s="401">
        <f t="shared" si="0"/>
        <v>0.68044515103338632</v>
      </c>
      <c r="D56" s="402">
        <f t="shared" ref="D56:F56" si="74">ROUNDDOWN($C56*D$2,0) - IF(MOD($C56*D$2,1)=0,1,0) + 1</f>
        <v>2</v>
      </c>
      <c r="E56" s="402">
        <f t="shared" si="74"/>
        <v>3</v>
      </c>
      <c r="F56" s="402">
        <f t="shared" si="74"/>
        <v>3</v>
      </c>
      <c r="G56" s="401">
        <f t="shared" si="3"/>
        <v>7.5414781297136191E-3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ht="15.75" customHeight="1">
      <c r="A57" s="399">
        <v>42389</v>
      </c>
      <c r="B57" s="400">
        <v>-4.7173095669127418E-3</v>
      </c>
      <c r="C57" s="401">
        <f t="shared" si="0"/>
        <v>0.30365659777424481</v>
      </c>
      <c r="D57" s="402">
        <f t="shared" ref="D57:F57" si="75">ROUNDDOWN($C57*D$2,0) - IF(MOD($C57*D$2,1)=0,1,0) + 1</f>
        <v>1</v>
      </c>
      <c r="E57" s="402">
        <f t="shared" si="75"/>
        <v>1</v>
      </c>
      <c r="F57" s="402">
        <f t="shared" si="75"/>
        <v>2</v>
      </c>
      <c r="G57" s="401">
        <f t="shared" si="3"/>
        <v>0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15.75" customHeight="1">
      <c r="A58" s="399">
        <v>42390</v>
      </c>
      <c r="B58" s="400">
        <v>5.6841037480106493E-3</v>
      </c>
      <c r="C58" s="401">
        <f t="shared" si="0"/>
        <v>0.62559618441971387</v>
      </c>
      <c r="D58" s="402">
        <f t="shared" ref="D58:F58" si="76">ROUNDDOWN($C58*D$2,0) - IF(MOD($C58*D$2,1)=0,1,0) + 1</f>
        <v>2</v>
      </c>
      <c r="E58" s="402">
        <f t="shared" si="76"/>
        <v>2</v>
      </c>
      <c r="F58" s="402">
        <f t="shared" si="76"/>
        <v>3</v>
      </c>
      <c r="G58" s="401">
        <f t="shared" si="3"/>
        <v>0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ht="15.75" customHeight="1">
      <c r="A59" s="399">
        <v>42391</v>
      </c>
      <c r="B59" s="400">
        <v>3.7146534033598799E-2</v>
      </c>
      <c r="C59" s="401">
        <f t="shared" si="0"/>
        <v>0.96899841017488075</v>
      </c>
      <c r="D59" s="402">
        <f t="shared" ref="D59:F59" si="77">ROUNDDOWN($C59*D$2,0) - IF(MOD($C59*D$2,1)=0,1,0) + 1</f>
        <v>2</v>
      </c>
      <c r="E59" s="402">
        <f t="shared" si="77"/>
        <v>3</v>
      </c>
      <c r="F59" s="402">
        <f t="shared" si="77"/>
        <v>4</v>
      </c>
      <c r="G59" s="401">
        <f t="shared" si="3"/>
        <v>0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ht="15.75" customHeight="1">
      <c r="A60" s="399">
        <v>42394</v>
      </c>
      <c r="B60" s="400">
        <v>2.5151748884932879E-4</v>
      </c>
      <c r="C60" s="401">
        <f t="shared" si="0"/>
        <v>0.45707472178060415</v>
      </c>
      <c r="D60" s="402">
        <f t="shared" ref="D60:F60" si="78">ROUNDDOWN($C60*D$2,0) - IF(MOD($C60*D$2,1)=0,1,0) + 1</f>
        <v>1</v>
      </c>
      <c r="E60" s="402">
        <f t="shared" si="78"/>
        <v>2</v>
      </c>
      <c r="F60" s="402">
        <f t="shared" si="78"/>
        <v>2</v>
      </c>
      <c r="G60" s="401">
        <f t="shared" si="3"/>
        <v>0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ht="15.75" customHeight="1">
      <c r="A61" s="399">
        <v>42395</v>
      </c>
      <c r="B61" s="400">
        <v>7.9124268687240651E-3</v>
      </c>
      <c r="C61" s="401">
        <f t="shared" si="0"/>
        <v>0.68600953895071537</v>
      </c>
      <c r="D61" s="402">
        <f t="shared" ref="D61:F61" si="79">ROUNDDOWN($C61*D$2,0) - IF(MOD($C61*D$2,1)=0,1,0) + 1</f>
        <v>2</v>
      </c>
      <c r="E61" s="402">
        <f t="shared" si="79"/>
        <v>3</v>
      </c>
      <c r="F61" s="402">
        <f t="shared" si="79"/>
        <v>3</v>
      </c>
      <c r="G61" s="401">
        <f t="shared" si="3"/>
        <v>0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ht="15.75" customHeight="1">
      <c r="A62" s="399">
        <v>42396</v>
      </c>
      <c r="B62" s="400">
        <v>-2.9771309771309706E-2</v>
      </c>
      <c r="C62" s="401">
        <f t="shared" si="0"/>
        <v>5.1669316375198726E-2</v>
      </c>
      <c r="D62" s="402">
        <f t="shared" ref="D62:F62" si="80">ROUNDDOWN($C62*D$2,0) - IF(MOD($C62*D$2,1)=0,1,0) + 1</f>
        <v>1</v>
      </c>
      <c r="E62" s="402">
        <f t="shared" si="80"/>
        <v>1</v>
      </c>
      <c r="F62" s="402">
        <f t="shared" si="80"/>
        <v>1</v>
      </c>
      <c r="G62" s="401">
        <f t="shared" si="3"/>
        <v>0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15.75" customHeight="1">
      <c r="A63" s="399">
        <v>42397</v>
      </c>
      <c r="B63" s="400">
        <v>8.9140310276849322E-2</v>
      </c>
      <c r="C63" s="401">
        <f t="shared" si="0"/>
        <v>0.99761526232114472</v>
      </c>
      <c r="D63" s="402">
        <f t="shared" ref="D63:F63" si="81">ROUNDDOWN($C63*D$2,0) - IF(MOD($C63*D$2,1)=0,1,0) + 1</f>
        <v>2</v>
      </c>
      <c r="E63" s="402">
        <f t="shared" si="81"/>
        <v>3</v>
      </c>
      <c r="F63" s="402">
        <f t="shared" si="81"/>
        <v>4</v>
      </c>
      <c r="G63" s="401">
        <f t="shared" si="3"/>
        <v>8.9140310276849322E-2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15.75" customHeight="1">
      <c r="A64" s="399">
        <v>42398</v>
      </c>
      <c r="B64" s="400">
        <v>-7.6099787518690509E-2</v>
      </c>
      <c r="C64" s="401">
        <f t="shared" si="0"/>
        <v>2.3847376788553257E-3</v>
      </c>
      <c r="D64" s="402">
        <f t="shared" ref="D64:F64" si="82">ROUNDDOWN($C64*D$2,0) - IF(MOD($C64*D$2,1)=0,1,0) + 1</f>
        <v>1</v>
      </c>
      <c r="E64" s="402">
        <f t="shared" si="82"/>
        <v>1</v>
      </c>
      <c r="F64" s="402">
        <f t="shared" si="82"/>
        <v>1</v>
      </c>
      <c r="G64" s="401">
        <f t="shared" si="3"/>
        <v>0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15.75" customHeight="1">
      <c r="A65" s="399">
        <v>42401</v>
      </c>
      <c r="B65" s="400">
        <v>-2.0766609880749631E-2</v>
      </c>
      <c r="C65" s="401">
        <f t="shared" si="0"/>
        <v>8.6645468998410177E-2</v>
      </c>
      <c r="D65" s="402">
        <f t="shared" ref="D65:F65" si="83">ROUNDDOWN($C65*D$2,0) - IF(MOD($C65*D$2,1)=0,1,0) + 1</f>
        <v>1</v>
      </c>
      <c r="E65" s="402">
        <f t="shared" si="83"/>
        <v>1</v>
      </c>
      <c r="F65" s="402">
        <f t="shared" si="83"/>
        <v>1</v>
      </c>
      <c r="G65" s="401">
        <f t="shared" si="3"/>
        <v>-2.0766609880749631E-2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15.75" customHeight="1">
      <c r="A66" s="399">
        <v>42402</v>
      </c>
      <c r="B66" s="400">
        <v>-3.9508707224995998E-2</v>
      </c>
      <c r="C66" s="401">
        <f t="shared" si="0"/>
        <v>2.5437201907790145E-2</v>
      </c>
      <c r="D66" s="402">
        <f t="shared" ref="D66:F66" si="84">ROUNDDOWN($C66*D$2,0) - IF(MOD($C66*D$2,1)=0,1,0) + 1</f>
        <v>1</v>
      </c>
      <c r="E66" s="402">
        <f t="shared" si="84"/>
        <v>1</v>
      </c>
      <c r="F66" s="402">
        <f t="shared" si="84"/>
        <v>1</v>
      </c>
      <c r="G66" s="401">
        <f t="shared" si="3"/>
        <v>-3.9508707224995998E-2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15.75" customHeight="1">
      <c r="A67" s="399">
        <v>42403</v>
      </c>
      <c r="B67" s="400">
        <v>-3.809092555696425E-2</v>
      </c>
      <c r="C67" s="401">
        <f t="shared" si="0"/>
        <v>2.8616852146263912E-2</v>
      </c>
      <c r="D67" s="402">
        <f t="shared" ref="D67:F67" si="85">ROUNDDOWN($C67*D$2,0) - IF(MOD($C67*D$2,1)=0,1,0) + 1</f>
        <v>1</v>
      </c>
      <c r="E67" s="402">
        <f t="shared" si="85"/>
        <v>1</v>
      </c>
      <c r="F67" s="402">
        <f t="shared" si="85"/>
        <v>1</v>
      </c>
      <c r="G67" s="401">
        <f t="shared" si="3"/>
        <v>-3.809092555696425E-2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15.75" customHeight="1">
      <c r="A68" s="399">
        <v>42404</v>
      </c>
      <c r="B68" s="400">
        <v>9.7727229932023096E-3</v>
      </c>
      <c r="C68" s="401">
        <f t="shared" si="0"/>
        <v>0.73608903020667726</v>
      </c>
      <c r="D68" s="402">
        <f t="shared" ref="D68:F68" si="86">ROUNDDOWN($C68*D$2,0) - IF(MOD($C68*D$2,1)=0,1,0) + 1</f>
        <v>2</v>
      </c>
      <c r="E68" s="402">
        <f t="shared" si="86"/>
        <v>3</v>
      </c>
      <c r="F68" s="402">
        <f t="shared" si="86"/>
        <v>3</v>
      </c>
      <c r="G68" s="401">
        <f t="shared" si="3"/>
        <v>9.7727229932023096E-3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15.75" customHeight="1">
      <c r="A69" s="399">
        <v>42405</v>
      </c>
      <c r="B69" s="400">
        <v>-6.3644500801849802E-2</v>
      </c>
      <c r="C69" s="401">
        <f t="shared" si="0"/>
        <v>3.9745627980922096E-3</v>
      </c>
      <c r="D69" s="402">
        <f t="shared" ref="D69:F69" si="87">ROUNDDOWN($C69*D$2,0) - IF(MOD($C69*D$2,1)=0,1,0) + 1</f>
        <v>1</v>
      </c>
      <c r="E69" s="402">
        <f t="shared" si="87"/>
        <v>1</v>
      </c>
      <c r="F69" s="402">
        <f t="shared" si="87"/>
        <v>1</v>
      </c>
      <c r="G69" s="401">
        <f t="shared" si="3"/>
        <v>0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15.75" customHeight="1">
      <c r="A70" s="399">
        <v>42408</v>
      </c>
      <c r="B70" s="400">
        <v>-2.7940971461573594E-2</v>
      </c>
      <c r="C70" s="401">
        <f t="shared" si="0"/>
        <v>5.4848966613672494E-2</v>
      </c>
      <c r="D70" s="402">
        <f t="shared" ref="D70:F70" si="88">ROUNDDOWN($C70*D$2,0) - IF(MOD($C70*D$2,1)=0,1,0) + 1</f>
        <v>1</v>
      </c>
      <c r="E70" s="402">
        <f t="shared" si="88"/>
        <v>1</v>
      </c>
      <c r="F70" s="402">
        <f t="shared" si="88"/>
        <v>1</v>
      </c>
      <c r="G70" s="401">
        <f t="shared" si="3"/>
        <v>-2.7940971461573594E-2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15.75" customHeight="1">
      <c r="A71" s="399">
        <v>42409</v>
      </c>
      <c r="B71" s="400">
        <v>-1.2354025814382386E-2</v>
      </c>
      <c r="C71" s="401">
        <f t="shared" si="0"/>
        <v>0.15818759936406995</v>
      </c>
      <c r="D71" s="402">
        <f t="shared" ref="D71:F71" si="89">ROUNDDOWN($C71*D$2,0) - IF(MOD($C71*D$2,1)=0,1,0) + 1</f>
        <v>1</v>
      </c>
      <c r="E71" s="402">
        <f t="shared" si="89"/>
        <v>1</v>
      </c>
      <c r="F71" s="402">
        <f t="shared" si="89"/>
        <v>1</v>
      </c>
      <c r="G71" s="401">
        <f t="shared" si="3"/>
        <v>-1.2354025814382386E-2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15.75" customHeight="1">
      <c r="A72" s="399">
        <v>42410</v>
      </c>
      <c r="B72" s="400">
        <v>1.7445599186840077E-2</v>
      </c>
      <c r="C72" s="401">
        <f t="shared" si="0"/>
        <v>0.87519872813990462</v>
      </c>
      <c r="D72" s="402">
        <f t="shared" ref="D72:F72" si="90">ROUNDDOWN($C72*D$2,0) - IF(MOD($C72*D$2,1)=0,1,0) + 1</f>
        <v>2</v>
      </c>
      <c r="E72" s="402">
        <f t="shared" si="90"/>
        <v>3</v>
      </c>
      <c r="F72" s="402">
        <f t="shared" si="90"/>
        <v>4</v>
      </c>
      <c r="G72" s="401">
        <f t="shared" si="3"/>
        <v>1.7445599186840077E-2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ht="15.75" customHeight="1">
      <c r="A73" s="399">
        <v>42411</v>
      </c>
      <c r="B73" s="400">
        <v>2.7197847007013554E-2</v>
      </c>
      <c r="C73" s="401">
        <f t="shared" si="0"/>
        <v>0.94117647058823528</v>
      </c>
      <c r="D73" s="402">
        <f t="shared" ref="D73:F73" si="91">ROUNDDOWN($C73*D$2,0) - IF(MOD($C73*D$2,1)=0,1,0) + 1</f>
        <v>2</v>
      </c>
      <c r="E73" s="402">
        <f t="shared" si="91"/>
        <v>3</v>
      </c>
      <c r="F73" s="402">
        <f t="shared" si="91"/>
        <v>4</v>
      </c>
      <c r="G73" s="401">
        <f t="shared" si="3"/>
        <v>0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15.75" customHeight="1">
      <c r="A74" s="399">
        <v>42412</v>
      </c>
      <c r="B74" s="400">
        <v>6.4705648842839913E-3</v>
      </c>
      <c r="C74" s="401">
        <f t="shared" si="0"/>
        <v>0.64785373608903019</v>
      </c>
      <c r="D74" s="402">
        <f t="shared" ref="D74:F74" si="92">ROUNDDOWN($C74*D$2,0) - IF(MOD($C74*D$2,1)=0,1,0) + 1</f>
        <v>2</v>
      </c>
      <c r="E74" s="402">
        <f t="shared" si="92"/>
        <v>2</v>
      </c>
      <c r="F74" s="402">
        <f t="shared" si="92"/>
        <v>3</v>
      </c>
      <c r="G74" s="401">
        <f t="shared" si="3"/>
        <v>0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15.75" customHeight="1">
      <c r="A75" s="399">
        <v>42416</v>
      </c>
      <c r="B75" s="400">
        <v>2.7648497278536022E-2</v>
      </c>
      <c r="C75" s="401">
        <f t="shared" si="0"/>
        <v>0.94197138314785378</v>
      </c>
      <c r="D75" s="402">
        <f t="shared" ref="D75:F75" si="93">ROUNDDOWN($C75*D$2,0) - IF(MOD($C75*D$2,1)=0,1,0) + 1</f>
        <v>2</v>
      </c>
      <c r="E75" s="402">
        <f t="shared" si="93"/>
        <v>3</v>
      </c>
      <c r="F75" s="402">
        <f t="shared" si="93"/>
        <v>4</v>
      </c>
      <c r="G75" s="401">
        <f t="shared" si="3"/>
        <v>0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15.75" customHeight="1">
      <c r="A76" s="399">
        <v>42417</v>
      </c>
      <c r="B76" s="400">
        <v>2.4947227019765927E-2</v>
      </c>
      <c r="C76" s="401">
        <f t="shared" si="0"/>
        <v>0.92527821939586641</v>
      </c>
      <c r="D76" s="402">
        <f t="shared" ref="D76:F76" si="94">ROUNDDOWN($C76*D$2,0) - IF(MOD($C76*D$2,1)=0,1,0) + 1</f>
        <v>2</v>
      </c>
      <c r="E76" s="402">
        <f t="shared" si="94"/>
        <v>3</v>
      </c>
      <c r="F76" s="402">
        <f t="shared" si="94"/>
        <v>4</v>
      </c>
      <c r="G76" s="401">
        <f t="shared" si="3"/>
        <v>0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15.75" customHeight="1">
      <c r="A77" s="399">
        <v>42418</v>
      </c>
      <c r="B77" s="400">
        <v>-1.7038007863696025E-2</v>
      </c>
      <c r="C77" s="401">
        <f t="shared" si="0"/>
        <v>0.11287758346581876</v>
      </c>
      <c r="D77" s="402">
        <f t="shared" ref="D77:F77" si="95">ROUNDDOWN($C77*D$2,0) - IF(MOD($C77*D$2,1)=0,1,0) + 1</f>
        <v>1</v>
      </c>
      <c r="E77" s="402">
        <f t="shared" si="95"/>
        <v>1</v>
      </c>
      <c r="F77" s="402">
        <f t="shared" si="95"/>
        <v>1</v>
      </c>
      <c r="G77" s="401">
        <f t="shared" si="3"/>
        <v>0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15.75" customHeight="1">
      <c r="A78" s="399">
        <v>42419</v>
      </c>
      <c r="B78" s="400">
        <v>1.8857142857142906E-2</v>
      </c>
      <c r="C78" s="401">
        <f t="shared" si="0"/>
        <v>0.88871224165341811</v>
      </c>
      <c r="D78" s="402">
        <f t="shared" ref="D78:F78" si="96">ROUNDDOWN($C78*D$2,0) - IF(MOD($C78*D$2,1)=0,1,0) + 1</f>
        <v>2</v>
      </c>
      <c r="E78" s="402">
        <f t="shared" si="96"/>
        <v>3</v>
      </c>
      <c r="F78" s="402">
        <f t="shared" si="96"/>
        <v>4</v>
      </c>
      <c r="G78" s="401">
        <f t="shared" si="3"/>
        <v>1.8857142857142906E-2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15.75" customHeight="1">
      <c r="A79" s="399">
        <v>42422</v>
      </c>
      <c r="B79" s="400">
        <v>4.5989904655075797E-2</v>
      </c>
      <c r="C79" s="401">
        <f t="shared" si="0"/>
        <v>0.98171701112877585</v>
      </c>
      <c r="D79" s="402">
        <f t="shared" ref="D79:F79" si="97">ROUNDDOWN($C79*D$2,0) - IF(MOD($C79*D$2,1)=0,1,0) + 1</f>
        <v>2</v>
      </c>
      <c r="E79" s="402">
        <f t="shared" si="97"/>
        <v>3</v>
      </c>
      <c r="F79" s="402">
        <f t="shared" si="97"/>
        <v>4</v>
      </c>
      <c r="G79" s="401">
        <f t="shared" si="3"/>
        <v>0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15.75" customHeight="1">
      <c r="A80" s="399">
        <v>42423</v>
      </c>
      <c r="B80" s="400">
        <v>-1.1724754244861413E-2</v>
      </c>
      <c r="C80" s="401">
        <f t="shared" si="0"/>
        <v>0.16931637519872814</v>
      </c>
      <c r="D80" s="402">
        <f t="shared" ref="D80:F80" si="98">ROUNDDOWN($C80*D$2,0) - IF(MOD($C80*D$2,1)=0,1,0) + 1</f>
        <v>1</v>
      </c>
      <c r="E80" s="402">
        <f t="shared" si="98"/>
        <v>1</v>
      </c>
      <c r="F80" s="402">
        <f t="shared" si="98"/>
        <v>1</v>
      </c>
      <c r="G80" s="401">
        <f t="shared" si="3"/>
        <v>0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15.75" customHeight="1">
      <c r="A81" s="399">
        <v>42424</v>
      </c>
      <c r="B81" s="400">
        <v>1.9893659348209081E-3</v>
      </c>
      <c r="C81" s="401">
        <f t="shared" si="0"/>
        <v>0.52146263910969792</v>
      </c>
      <c r="D81" s="402">
        <f t="shared" ref="D81:F81" si="99">ROUNDDOWN($C81*D$2,0) - IF(MOD($C81*D$2,1)=0,1,0) + 1</f>
        <v>2</v>
      </c>
      <c r="E81" s="402">
        <f t="shared" si="99"/>
        <v>2</v>
      </c>
      <c r="F81" s="402">
        <f t="shared" si="99"/>
        <v>3</v>
      </c>
      <c r="G81" s="401">
        <f t="shared" si="3"/>
        <v>1.9893659348209081E-3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ht="15.75" customHeight="1">
      <c r="A82" s="399">
        <v>42425</v>
      </c>
      <c r="B82" s="400">
        <v>2.0034654537579577E-3</v>
      </c>
      <c r="C82" s="401">
        <f t="shared" si="0"/>
        <v>0.52225755166931642</v>
      </c>
      <c r="D82" s="402">
        <f t="shared" ref="D82:F82" si="100">ROUNDDOWN($C82*D$2,0) - IF(MOD($C82*D$2,1)=0,1,0) + 1</f>
        <v>2</v>
      </c>
      <c r="E82" s="402">
        <f t="shared" si="100"/>
        <v>2</v>
      </c>
      <c r="F82" s="402">
        <f t="shared" si="100"/>
        <v>3</v>
      </c>
      <c r="G82" s="401">
        <f t="shared" si="3"/>
        <v>0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ht="15.75" customHeight="1">
      <c r="A83" s="399">
        <v>42426</v>
      </c>
      <c r="B83" s="400">
        <v>1.4410519679364242E-4</v>
      </c>
      <c r="C83" s="401">
        <f t="shared" si="0"/>
        <v>0.45151033386327505</v>
      </c>
      <c r="D83" s="402">
        <f t="shared" ref="D83:F83" si="101">ROUNDDOWN($C83*D$2,0) - IF(MOD($C83*D$2,1)=0,1,0) + 1</f>
        <v>1</v>
      </c>
      <c r="E83" s="402">
        <f t="shared" si="101"/>
        <v>2</v>
      </c>
      <c r="F83" s="402">
        <f t="shared" si="101"/>
        <v>2</v>
      </c>
      <c r="G83" s="401">
        <f t="shared" si="3"/>
        <v>0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ht="15.75" customHeight="1">
      <c r="A84" s="399">
        <v>42429</v>
      </c>
      <c r="B84" s="400">
        <v>-4.88086018406797E-3</v>
      </c>
      <c r="C84" s="401">
        <f t="shared" si="0"/>
        <v>0.29809220985691576</v>
      </c>
      <c r="D84" s="402">
        <f t="shared" ref="D84:F84" si="102">ROUNDDOWN($C84*D$2,0) - IF(MOD($C84*D$2,1)=0,1,0) + 1</f>
        <v>1</v>
      </c>
      <c r="E84" s="402">
        <f t="shared" si="102"/>
        <v>1</v>
      </c>
      <c r="F84" s="402">
        <f t="shared" si="102"/>
        <v>2</v>
      </c>
      <c r="G84" s="401">
        <f t="shared" si="3"/>
        <v>0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ht="15.75" customHeight="1">
      <c r="A85" s="399">
        <v>42430</v>
      </c>
      <c r="B85" s="400">
        <v>4.7998262506334655E-2</v>
      </c>
      <c r="C85" s="401">
        <f t="shared" si="0"/>
        <v>0.98410174880763113</v>
      </c>
      <c r="D85" s="402">
        <f t="shared" ref="D85:F85" si="103">ROUNDDOWN($C85*D$2,0) - IF(MOD($C85*D$2,1)=0,1,0) + 1</f>
        <v>2</v>
      </c>
      <c r="E85" s="402">
        <f t="shared" si="103"/>
        <v>3</v>
      </c>
      <c r="F85" s="402">
        <f t="shared" si="103"/>
        <v>4</v>
      </c>
      <c r="G85" s="401">
        <f t="shared" si="3"/>
        <v>0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ht="15.75" customHeight="1">
      <c r="A86" s="399">
        <v>42431</v>
      </c>
      <c r="B86" s="400">
        <v>2.0205857971815622E-3</v>
      </c>
      <c r="C86" s="401">
        <f t="shared" si="0"/>
        <v>0.5254372019077902</v>
      </c>
      <c r="D86" s="402">
        <f t="shared" ref="D86:F86" si="104">ROUNDDOWN($C86*D$2,0) - IF(MOD($C86*D$2,1)=0,1,0) + 1</f>
        <v>2</v>
      </c>
      <c r="E86" s="402">
        <f t="shared" si="104"/>
        <v>2</v>
      </c>
      <c r="F86" s="402">
        <f t="shared" si="104"/>
        <v>3</v>
      </c>
      <c r="G86" s="401">
        <f t="shared" si="3"/>
        <v>0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ht="15.75" customHeight="1">
      <c r="A87" s="399">
        <v>42432</v>
      </c>
      <c r="B87" s="400">
        <v>-4.6879578083797169E-3</v>
      </c>
      <c r="C87" s="401">
        <f t="shared" si="0"/>
        <v>0.30524642289348169</v>
      </c>
      <c r="D87" s="402">
        <f t="shared" ref="D87:F87" si="105">ROUNDDOWN($C87*D$2,0) - IF(MOD($C87*D$2,1)=0,1,0) + 1</f>
        <v>1</v>
      </c>
      <c r="E87" s="402">
        <f t="shared" si="105"/>
        <v>1</v>
      </c>
      <c r="F87" s="402">
        <f t="shared" si="105"/>
        <v>2</v>
      </c>
      <c r="G87" s="401">
        <f t="shared" si="3"/>
        <v>0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ht="15.75" customHeight="1">
      <c r="A88" s="399">
        <v>42433</v>
      </c>
      <c r="B88" s="400">
        <v>-4.0693345339313236E-3</v>
      </c>
      <c r="C88" s="401">
        <f t="shared" si="0"/>
        <v>0.3235294117647059</v>
      </c>
      <c r="D88" s="402">
        <f t="shared" ref="D88:F88" si="106">ROUNDDOWN($C88*D$2,0) - IF(MOD($C88*D$2,1)=0,1,0) + 1</f>
        <v>1</v>
      </c>
      <c r="E88" s="402">
        <f t="shared" si="106"/>
        <v>1</v>
      </c>
      <c r="F88" s="402">
        <f t="shared" si="106"/>
        <v>2</v>
      </c>
      <c r="G88" s="401">
        <f t="shared" si="3"/>
        <v>0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ht="15.75" customHeight="1">
      <c r="A89" s="399">
        <v>42436</v>
      </c>
      <c r="B89" s="400">
        <v>-2.1455645581945348E-2</v>
      </c>
      <c r="C89" s="401">
        <f t="shared" si="0"/>
        <v>8.4260731319554846E-2</v>
      </c>
      <c r="D89" s="402">
        <f t="shared" ref="D89:F89" si="107">ROUNDDOWN($C89*D$2,0) - IF(MOD($C89*D$2,1)=0,1,0) + 1</f>
        <v>1</v>
      </c>
      <c r="E89" s="402">
        <f t="shared" si="107"/>
        <v>1</v>
      </c>
      <c r="F89" s="402">
        <f t="shared" si="107"/>
        <v>1</v>
      </c>
      <c r="G89" s="401">
        <f t="shared" si="3"/>
        <v>0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ht="15.75" customHeight="1">
      <c r="A90" s="399">
        <v>42437</v>
      </c>
      <c r="B90" s="400">
        <v>-4.5131485429992235E-3</v>
      </c>
      <c r="C90" s="401">
        <f t="shared" si="0"/>
        <v>0.3108108108108108</v>
      </c>
      <c r="D90" s="402">
        <f t="shared" ref="D90:F90" si="108">ROUNDDOWN($C90*D$2,0) - IF(MOD($C90*D$2,1)=0,1,0) + 1</f>
        <v>1</v>
      </c>
      <c r="E90" s="402">
        <f t="shared" si="108"/>
        <v>1</v>
      </c>
      <c r="F90" s="402">
        <f t="shared" si="108"/>
        <v>2</v>
      </c>
      <c r="G90" s="401">
        <f t="shared" si="3"/>
        <v>-4.5131485429992235E-3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ht="15.75" customHeight="1">
      <c r="A91" s="399">
        <v>42438</v>
      </c>
      <c r="B91" s="400">
        <v>-1.4100596151785938E-3</v>
      </c>
      <c r="C91" s="401">
        <f t="shared" si="0"/>
        <v>0.40063593004769477</v>
      </c>
      <c r="D91" s="402">
        <f t="shared" ref="D91:F91" si="109">ROUNDDOWN($C91*D$2,0) - IF(MOD($C91*D$2,1)=0,1,0) + 1</f>
        <v>1</v>
      </c>
      <c r="E91" s="402">
        <f t="shared" si="109"/>
        <v>2</v>
      </c>
      <c r="F91" s="402">
        <f t="shared" si="109"/>
        <v>2</v>
      </c>
      <c r="G91" s="401">
        <f t="shared" si="3"/>
        <v>0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ht="15.75" customHeight="1">
      <c r="A92" s="399">
        <v>42439</v>
      </c>
      <c r="B92" s="400">
        <v>-9.6519920639193124E-4</v>
      </c>
      <c r="C92" s="401">
        <f t="shared" si="0"/>
        <v>0.4149443561208267</v>
      </c>
      <c r="D92" s="402">
        <f t="shared" ref="D92:F92" si="110">ROUNDDOWN($C92*D$2,0) - IF(MOD($C92*D$2,1)=0,1,0) + 1</f>
        <v>1</v>
      </c>
      <c r="E92" s="402">
        <f t="shared" si="110"/>
        <v>2</v>
      </c>
      <c r="F92" s="402">
        <f t="shared" si="110"/>
        <v>2</v>
      </c>
      <c r="G92" s="401">
        <f t="shared" si="3"/>
        <v>0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ht="15.75" customHeight="1">
      <c r="A93" s="399">
        <v>42440</v>
      </c>
      <c r="B93" s="400">
        <v>1.9107938382266321E-2</v>
      </c>
      <c r="C93" s="401">
        <f t="shared" si="0"/>
        <v>0.8910969793322735</v>
      </c>
      <c r="D93" s="402">
        <f t="shared" ref="D93:F93" si="111">ROUNDDOWN($C93*D$2,0) - IF(MOD($C93*D$2,1)=0,1,0) + 1</f>
        <v>2</v>
      </c>
      <c r="E93" s="402">
        <f t="shared" si="111"/>
        <v>3</v>
      </c>
      <c r="F93" s="402">
        <f t="shared" si="111"/>
        <v>4</v>
      </c>
      <c r="G93" s="401">
        <f t="shared" si="3"/>
        <v>0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ht="15.75" customHeight="1">
      <c r="A94" s="399">
        <v>42443</v>
      </c>
      <c r="B94" s="400">
        <v>6.6010077070275397E-3</v>
      </c>
      <c r="C94" s="401">
        <f t="shared" si="0"/>
        <v>0.65023847376788557</v>
      </c>
      <c r="D94" s="402">
        <f t="shared" ref="D94:F94" si="112">ROUNDDOWN($C94*D$2,0) - IF(MOD($C94*D$2,1)=0,1,0) + 1</f>
        <v>2</v>
      </c>
      <c r="E94" s="402">
        <f t="shared" si="112"/>
        <v>2</v>
      </c>
      <c r="F94" s="402">
        <f t="shared" si="112"/>
        <v>3</v>
      </c>
      <c r="G94" s="401">
        <f t="shared" si="3"/>
        <v>0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ht="15.75" customHeight="1">
      <c r="A95" s="399">
        <v>42444</v>
      </c>
      <c r="B95" s="400">
        <v>6.365871950049673E-3</v>
      </c>
      <c r="C95" s="401">
        <f t="shared" si="0"/>
        <v>0.64228934817170114</v>
      </c>
      <c r="D95" s="402">
        <f t="shared" ref="D95:F95" si="113">ROUNDDOWN($C95*D$2,0) - IF(MOD($C95*D$2,1)=0,1,0) + 1</f>
        <v>2</v>
      </c>
      <c r="E95" s="402">
        <f t="shared" si="113"/>
        <v>2</v>
      </c>
      <c r="F95" s="402">
        <f t="shared" si="113"/>
        <v>3</v>
      </c>
      <c r="G95" s="401">
        <f t="shared" si="3"/>
        <v>0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ht="15.75" customHeight="1">
      <c r="A96" s="399">
        <v>42445</v>
      </c>
      <c r="B96" s="400">
        <v>-4.7658660011784537E-3</v>
      </c>
      <c r="C96" s="401">
        <f t="shared" si="0"/>
        <v>0.30206677265500798</v>
      </c>
      <c r="D96" s="402">
        <f t="shared" ref="D96:F96" si="114">ROUNDDOWN($C96*D$2,0) - IF(MOD($C96*D$2,1)=0,1,0) + 1</f>
        <v>1</v>
      </c>
      <c r="E96" s="402">
        <f t="shared" si="114"/>
        <v>1</v>
      </c>
      <c r="F96" s="402">
        <f t="shared" si="114"/>
        <v>2</v>
      </c>
      <c r="G96" s="401">
        <f t="shared" si="3"/>
        <v>0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ht="15.75" customHeight="1">
      <c r="A97" s="399">
        <v>42446</v>
      </c>
      <c r="B97" s="400">
        <v>-2.5824089713897491E-2</v>
      </c>
      <c r="C97" s="401">
        <f t="shared" si="0"/>
        <v>6.2003179650238473E-2</v>
      </c>
      <c r="D97" s="402">
        <f t="shared" ref="D97:F97" si="115">ROUNDDOWN($C97*D$2,0) - IF(MOD($C97*D$2,1)=0,1,0) + 1</f>
        <v>1</v>
      </c>
      <c r="E97" s="402">
        <f t="shared" si="115"/>
        <v>1</v>
      </c>
      <c r="F97" s="402">
        <f t="shared" si="115"/>
        <v>1</v>
      </c>
      <c r="G97" s="401">
        <f t="shared" si="3"/>
        <v>0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t="15.75" customHeight="1">
      <c r="A98" s="399">
        <v>42447</v>
      </c>
      <c r="B98" s="400">
        <v>-1.3156013156013224E-2</v>
      </c>
      <c r="C98" s="401">
        <f t="shared" si="0"/>
        <v>0.15023847376788554</v>
      </c>
      <c r="D98" s="402">
        <f t="shared" ref="D98:F98" si="116">ROUNDDOWN($C98*D$2,0) - IF(MOD($C98*D$2,1)=0,1,0) + 1</f>
        <v>1</v>
      </c>
      <c r="E98" s="402">
        <f t="shared" si="116"/>
        <v>1</v>
      </c>
      <c r="F98" s="402">
        <f t="shared" si="116"/>
        <v>1</v>
      </c>
      <c r="G98" s="401">
        <f t="shared" si="3"/>
        <v>-1.3156013156013224E-2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ht="15.75" customHeight="1">
      <c r="A99" s="399">
        <v>42450</v>
      </c>
      <c r="B99" s="400">
        <v>3.4415302130126335E-3</v>
      </c>
      <c r="C99" s="401">
        <f t="shared" si="0"/>
        <v>0.56200317965023849</v>
      </c>
      <c r="D99" s="402">
        <f t="shared" ref="D99:F99" si="117">ROUNDDOWN($C99*D$2,0) - IF(MOD($C99*D$2,1)=0,1,0) + 1</f>
        <v>2</v>
      </c>
      <c r="E99" s="402">
        <f t="shared" si="117"/>
        <v>2</v>
      </c>
      <c r="F99" s="402">
        <f t="shared" si="117"/>
        <v>3</v>
      </c>
      <c r="G99" s="401">
        <f t="shared" si="3"/>
        <v>3.4415302130126335E-3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ht="15.75" customHeight="1">
      <c r="A100" s="399">
        <v>42451</v>
      </c>
      <c r="B100" s="400">
        <v>1.17332755695152E-2</v>
      </c>
      <c r="C100" s="401">
        <f t="shared" si="0"/>
        <v>0.77742448330683622</v>
      </c>
      <c r="D100" s="402">
        <f t="shared" ref="D100:F100" si="118">ROUNDDOWN($C100*D$2,0) - IF(MOD($C100*D$2,1)=0,1,0) + 1</f>
        <v>2</v>
      </c>
      <c r="E100" s="402">
        <f t="shared" si="118"/>
        <v>3</v>
      </c>
      <c r="F100" s="402">
        <f t="shared" si="118"/>
        <v>4</v>
      </c>
      <c r="G100" s="401">
        <f t="shared" si="3"/>
        <v>0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ht="15.75" customHeight="1">
      <c r="A101" s="399">
        <v>42452</v>
      </c>
      <c r="B101" s="400">
        <v>1.6325292606337305E-2</v>
      </c>
      <c r="C101" s="401">
        <f t="shared" si="0"/>
        <v>0.86089030206677264</v>
      </c>
      <c r="D101" s="402">
        <f t="shared" ref="D101:F101" si="119">ROUNDDOWN($C101*D$2,0) - IF(MOD($C101*D$2,1)=0,1,0) + 1</f>
        <v>2</v>
      </c>
      <c r="E101" s="402">
        <f t="shared" si="119"/>
        <v>3</v>
      </c>
      <c r="F101" s="402">
        <f t="shared" si="119"/>
        <v>4</v>
      </c>
      <c r="G101" s="401">
        <f t="shared" si="3"/>
        <v>0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ht="15.75" customHeight="1">
      <c r="A102" s="399">
        <v>42453</v>
      </c>
      <c r="B102" s="400">
        <v>2.3383599880624439E-2</v>
      </c>
      <c r="C102" s="401">
        <f t="shared" si="0"/>
        <v>0.91812400635930047</v>
      </c>
      <c r="D102" s="402">
        <f t="shared" ref="D102:F102" si="120">ROUNDDOWN($C102*D$2,0) - IF(MOD($C102*D$2,1)=0,1,0) + 1</f>
        <v>2</v>
      </c>
      <c r="E102" s="402">
        <f t="shared" si="120"/>
        <v>3</v>
      </c>
      <c r="F102" s="402">
        <f t="shared" si="120"/>
        <v>4</v>
      </c>
      <c r="G102" s="401">
        <f t="shared" si="3"/>
        <v>0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ht="15.75" customHeight="1">
      <c r="A103" s="399">
        <v>42457</v>
      </c>
      <c r="B103" s="400">
        <v>-5.2834719958830823E-3</v>
      </c>
      <c r="C103" s="401">
        <f t="shared" si="0"/>
        <v>0.28775834658187599</v>
      </c>
      <c r="D103" s="402">
        <f t="shared" ref="D103:F103" si="121">ROUNDDOWN($C103*D$2,0) - IF(MOD($C103*D$2,1)=0,1,0) + 1</f>
        <v>1</v>
      </c>
      <c r="E103" s="402">
        <f t="shared" si="121"/>
        <v>1</v>
      </c>
      <c r="F103" s="402">
        <f t="shared" si="121"/>
        <v>2</v>
      </c>
      <c r="G103" s="401">
        <f t="shared" si="3"/>
        <v>0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ht="15.75" customHeight="1">
      <c r="A104" s="399">
        <v>42458</v>
      </c>
      <c r="B104" s="400">
        <v>2.4126097228689192E-2</v>
      </c>
      <c r="C104" s="401">
        <f t="shared" si="0"/>
        <v>0.92130365659777425</v>
      </c>
      <c r="D104" s="402">
        <f t="shared" ref="D104:F104" si="122">ROUNDDOWN($C104*D$2,0) - IF(MOD($C104*D$2,1)=0,1,0) + 1</f>
        <v>2</v>
      </c>
      <c r="E104" s="402">
        <f t="shared" si="122"/>
        <v>3</v>
      </c>
      <c r="F104" s="402">
        <f t="shared" si="122"/>
        <v>4</v>
      </c>
      <c r="G104" s="401">
        <f t="shared" si="3"/>
        <v>0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ht="15.75" customHeight="1">
      <c r="A105" s="399">
        <v>42459</v>
      </c>
      <c r="B105" s="400">
        <v>8.1332300542216185E-3</v>
      </c>
      <c r="C105" s="401">
        <f t="shared" si="0"/>
        <v>0.69157392686804453</v>
      </c>
      <c r="D105" s="402">
        <f t="shared" ref="D105:F105" si="123">ROUNDDOWN($C105*D$2,0) - IF(MOD($C105*D$2,1)=0,1,0) + 1</f>
        <v>2</v>
      </c>
      <c r="E105" s="402">
        <f t="shared" si="123"/>
        <v>3</v>
      </c>
      <c r="F105" s="402">
        <f t="shared" si="123"/>
        <v>3</v>
      </c>
      <c r="G105" s="401">
        <f t="shared" si="3"/>
        <v>0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ht="15.75" customHeight="1">
      <c r="A106" s="399">
        <v>42460</v>
      </c>
      <c r="B106" s="400">
        <v>-8.4350832651289842E-3</v>
      </c>
      <c r="C106" s="401">
        <f t="shared" si="0"/>
        <v>0.21144674085850557</v>
      </c>
      <c r="D106" s="402">
        <f t="shared" ref="D106:F106" si="124">ROUNDDOWN($C106*D$2,0) - IF(MOD($C106*D$2,1)=0,1,0) + 1</f>
        <v>1</v>
      </c>
      <c r="E106" s="402">
        <f t="shared" si="124"/>
        <v>1</v>
      </c>
      <c r="F106" s="402">
        <f t="shared" si="124"/>
        <v>1</v>
      </c>
      <c r="G106" s="401">
        <f t="shared" si="3"/>
        <v>0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ht="15.75" customHeight="1">
      <c r="A107" s="399">
        <v>42461</v>
      </c>
      <c r="B107" s="400">
        <v>8.1867798665857805E-3</v>
      </c>
      <c r="C107" s="401">
        <f t="shared" si="0"/>
        <v>0.69475357710651831</v>
      </c>
      <c r="D107" s="402">
        <f t="shared" ref="D107:F107" si="125">ROUNDDOWN($C107*D$2,0) - IF(MOD($C107*D$2,1)=0,1,0) + 1</f>
        <v>2</v>
      </c>
      <c r="E107" s="402">
        <f t="shared" si="125"/>
        <v>3</v>
      </c>
      <c r="F107" s="402">
        <f t="shared" si="125"/>
        <v>3</v>
      </c>
      <c r="G107" s="401">
        <f t="shared" si="3"/>
        <v>8.1867798665857805E-3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ht="15.75" customHeight="1">
      <c r="A108" s="399">
        <v>42464</v>
      </c>
      <c r="B108" s="400">
        <v>-8.872180451127698E-3</v>
      </c>
      <c r="C108" s="401">
        <f t="shared" si="0"/>
        <v>0.20747217806041335</v>
      </c>
      <c r="D108" s="402">
        <f t="shared" ref="D108:F108" si="126">ROUNDDOWN($C108*D$2,0) - IF(MOD($C108*D$2,1)=0,1,0) + 1</f>
        <v>1</v>
      </c>
      <c r="E108" s="402">
        <f t="shared" si="126"/>
        <v>1</v>
      </c>
      <c r="F108" s="402">
        <f t="shared" si="126"/>
        <v>1</v>
      </c>
      <c r="G108" s="401">
        <f t="shared" si="3"/>
        <v>0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ht="15.75" customHeight="1">
      <c r="A109" s="399">
        <v>42465</v>
      </c>
      <c r="B109" s="400">
        <v>-1.1884893541698416E-2</v>
      </c>
      <c r="C109" s="401">
        <f t="shared" si="0"/>
        <v>0.16772655007949125</v>
      </c>
      <c r="D109" s="402">
        <f t="shared" ref="D109:F109" si="127">ROUNDDOWN($C109*D$2,0) - IF(MOD($C109*D$2,1)=0,1,0) + 1</f>
        <v>1</v>
      </c>
      <c r="E109" s="402">
        <f t="shared" si="127"/>
        <v>1</v>
      </c>
      <c r="F109" s="402">
        <f t="shared" si="127"/>
        <v>1</v>
      </c>
      <c r="G109" s="401">
        <f t="shared" si="3"/>
        <v>-1.1884893541698416E-2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ht="15.75" customHeight="1">
      <c r="A110" s="399">
        <v>42466</v>
      </c>
      <c r="B110" s="400">
        <v>2.7194868120244298E-2</v>
      </c>
      <c r="C110" s="401">
        <f t="shared" si="0"/>
        <v>0.94038155802861689</v>
      </c>
      <c r="D110" s="402">
        <f t="shared" ref="D110:F110" si="128">ROUNDDOWN($C110*D$2,0) - IF(MOD($C110*D$2,1)=0,1,0) + 1</f>
        <v>2</v>
      </c>
      <c r="E110" s="402">
        <f t="shared" si="128"/>
        <v>3</v>
      </c>
      <c r="F110" s="402">
        <f t="shared" si="128"/>
        <v>4</v>
      </c>
      <c r="G110" s="401">
        <f t="shared" si="3"/>
        <v>2.7194868120244298E-2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ht="15.75" customHeight="1">
      <c r="A111" s="399">
        <v>42467</v>
      </c>
      <c r="B111" s="400">
        <v>-1.7688679245283168E-2</v>
      </c>
      <c r="C111" s="401">
        <f t="shared" si="0"/>
        <v>0.10810810810810811</v>
      </c>
      <c r="D111" s="402">
        <f t="shared" ref="D111:F111" si="129">ROUNDDOWN($C111*D$2,0) - IF(MOD($C111*D$2,1)=0,1,0) + 1</f>
        <v>1</v>
      </c>
      <c r="E111" s="402">
        <f t="shared" si="129"/>
        <v>1</v>
      </c>
      <c r="F111" s="402">
        <f t="shared" si="129"/>
        <v>1</v>
      </c>
      <c r="G111" s="401">
        <f t="shared" si="3"/>
        <v>0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ht="15.75" customHeight="1">
      <c r="A112" s="399">
        <v>42468</v>
      </c>
      <c r="B112" s="400">
        <v>5.3598904350473653E-3</v>
      </c>
      <c r="C112" s="401">
        <f t="shared" si="0"/>
        <v>0.61526232114467405</v>
      </c>
      <c r="D112" s="402">
        <f t="shared" ref="D112:F112" si="130">ROUNDDOWN($C112*D$2,0) - IF(MOD($C112*D$2,1)=0,1,0) + 1</f>
        <v>2</v>
      </c>
      <c r="E112" s="402">
        <f t="shared" si="130"/>
        <v>2</v>
      </c>
      <c r="F112" s="402">
        <f t="shared" si="130"/>
        <v>3</v>
      </c>
      <c r="G112" s="401">
        <f t="shared" si="3"/>
        <v>5.3598904350473653E-3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ht="15.75" customHeight="1">
      <c r="A113" s="399">
        <v>42471</v>
      </c>
      <c r="B113" s="400">
        <v>2.2367978472921379E-3</v>
      </c>
      <c r="C113" s="401">
        <f t="shared" si="0"/>
        <v>0.53100158982511925</v>
      </c>
      <c r="D113" s="402">
        <f t="shared" ref="D113:F113" si="131">ROUNDDOWN($C113*D$2,0) - IF(MOD($C113*D$2,1)=0,1,0) + 1</f>
        <v>2</v>
      </c>
      <c r="E113" s="402">
        <f t="shared" si="131"/>
        <v>2</v>
      </c>
      <c r="F113" s="402">
        <f t="shared" si="131"/>
        <v>3</v>
      </c>
      <c r="G113" s="401">
        <f t="shared" si="3"/>
        <v>0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ht="15.75" customHeight="1">
      <c r="A114" s="399">
        <v>42472</v>
      </c>
      <c r="B114" s="400">
        <v>1.2149077911835393E-2</v>
      </c>
      <c r="C114" s="401">
        <f t="shared" si="0"/>
        <v>0.78537360890302066</v>
      </c>
      <c r="D114" s="402">
        <f t="shared" ref="D114:F114" si="132">ROUNDDOWN($C114*D$2,0) - IF(MOD($C114*D$2,1)=0,1,0) + 1</f>
        <v>2</v>
      </c>
      <c r="E114" s="402">
        <f t="shared" si="132"/>
        <v>3</v>
      </c>
      <c r="F114" s="402">
        <f t="shared" si="132"/>
        <v>4</v>
      </c>
      <c r="G114" s="401">
        <f t="shared" si="3"/>
        <v>0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ht="15.75" customHeight="1">
      <c r="A115" s="399">
        <v>42473</v>
      </c>
      <c r="B115" s="400">
        <v>1.9314621085266381E-2</v>
      </c>
      <c r="C115" s="401">
        <f t="shared" si="0"/>
        <v>0.89348171701112877</v>
      </c>
      <c r="D115" s="402">
        <f t="shared" ref="D115:F115" si="133">ROUNDDOWN($C115*D$2,0) - IF(MOD($C115*D$2,1)=0,1,0) + 1</f>
        <v>2</v>
      </c>
      <c r="E115" s="402">
        <f t="shared" si="133"/>
        <v>3</v>
      </c>
      <c r="F115" s="402">
        <f t="shared" si="133"/>
        <v>4</v>
      </c>
      <c r="G115" s="401">
        <f t="shared" si="3"/>
        <v>0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t="15.75" customHeight="1">
      <c r="A116" s="399">
        <v>42474</v>
      </c>
      <c r="B116" s="400">
        <v>9.6450993786798556E-3</v>
      </c>
      <c r="C116" s="401">
        <f t="shared" si="0"/>
        <v>0.7321144674085851</v>
      </c>
      <c r="D116" s="402">
        <f t="shared" ref="D116:F116" si="134">ROUNDDOWN($C116*D$2,0) - IF(MOD($C116*D$2,1)=0,1,0) + 1</f>
        <v>2</v>
      </c>
      <c r="E116" s="402">
        <f t="shared" si="134"/>
        <v>3</v>
      </c>
      <c r="F116" s="402">
        <f t="shared" si="134"/>
        <v>3</v>
      </c>
      <c r="G116" s="401">
        <f t="shared" si="3"/>
        <v>0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ht="15.75" customHeight="1">
      <c r="A117" s="399">
        <v>42475</v>
      </c>
      <c r="B117" s="400">
        <v>8.280306081353217E-3</v>
      </c>
      <c r="C117" s="401">
        <f t="shared" si="0"/>
        <v>0.69793322734499208</v>
      </c>
      <c r="D117" s="402">
        <f t="shared" ref="D117:F117" si="135">ROUNDDOWN($C117*D$2,0) - IF(MOD($C117*D$2,1)=0,1,0) + 1</f>
        <v>2</v>
      </c>
      <c r="E117" s="402">
        <f t="shared" si="135"/>
        <v>3</v>
      </c>
      <c r="F117" s="402">
        <f t="shared" si="135"/>
        <v>3</v>
      </c>
      <c r="G117" s="401">
        <f t="shared" si="3"/>
        <v>0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ht="15.75" customHeight="1">
      <c r="A118" s="399">
        <v>42478</v>
      </c>
      <c r="B118" s="400">
        <v>1.511447698477375E-2</v>
      </c>
      <c r="C118" s="401">
        <f t="shared" si="0"/>
        <v>0.84340222575516688</v>
      </c>
      <c r="D118" s="402">
        <f t="shared" ref="D118:F118" si="136">ROUNDDOWN($C118*D$2,0) - IF(MOD($C118*D$2,1)=0,1,0) + 1</f>
        <v>2</v>
      </c>
      <c r="E118" s="402">
        <f t="shared" si="136"/>
        <v>3</v>
      </c>
      <c r="F118" s="402">
        <f t="shared" si="136"/>
        <v>4</v>
      </c>
      <c r="G118" s="401">
        <f t="shared" si="3"/>
        <v>0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ht="15.75" customHeight="1">
      <c r="A119" s="399">
        <v>42479</v>
      </c>
      <c r="B119" s="400">
        <v>-1.1725820413945098E-2</v>
      </c>
      <c r="C119" s="401">
        <f t="shared" si="0"/>
        <v>0.16852146263910969</v>
      </c>
      <c r="D119" s="402">
        <f t="shared" ref="D119:F119" si="137">ROUNDDOWN($C119*D$2,0) - IF(MOD($C119*D$2,1)=0,1,0) + 1</f>
        <v>1</v>
      </c>
      <c r="E119" s="402">
        <f t="shared" si="137"/>
        <v>1</v>
      </c>
      <c r="F119" s="402">
        <f t="shared" si="137"/>
        <v>1</v>
      </c>
      <c r="G119" s="401">
        <f t="shared" si="3"/>
        <v>0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ht="15.75" customHeight="1">
      <c r="A120" s="399">
        <v>42480</v>
      </c>
      <c r="B120" s="400">
        <v>8.1063863672559133E-3</v>
      </c>
      <c r="C120" s="401">
        <f t="shared" si="0"/>
        <v>0.68998410174880764</v>
      </c>
      <c r="D120" s="402">
        <f t="shared" ref="D120:F120" si="138">ROUNDDOWN($C120*D$2,0) - IF(MOD($C120*D$2,1)=0,1,0) + 1</f>
        <v>2</v>
      </c>
      <c r="E120" s="402">
        <f t="shared" si="138"/>
        <v>3</v>
      </c>
      <c r="F120" s="402">
        <f t="shared" si="138"/>
        <v>3</v>
      </c>
      <c r="G120" s="401">
        <f t="shared" si="3"/>
        <v>8.1063863672559133E-3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ht="15.75" customHeight="1">
      <c r="A121" s="399">
        <v>42481</v>
      </c>
      <c r="B121" s="400">
        <v>-3.1438095388552911E-3</v>
      </c>
      <c r="C121" s="401">
        <f t="shared" si="0"/>
        <v>0.3600953895071542</v>
      </c>
      <c r="D121" s="402">
        <f t="shared" ref="D121:F121" si="139">ROUNDDOWN($C121*D$2,0) - IF(MOD($C121*D$2,1)=0,1,0) + 1</f>
        <v>1</v>
      </c>
      <c r="E121" s="402">
        <f t="shared" si="139"/>
        <v>2</v>
      </c>
      <c r="F121" s="402">
        <f t="shared" si="139"/>
        <v>2</v>
      </c>
      <c r="G121" s="401">
        <f t="shared" si="3"/>
        <v>0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ht="15.75" customHeight="1">
      <c r="A122" s="399">
        <v>42482</v>
      </c>
      <c r="B122" s="400">
        <v>-1.6640253565768592E-2</v>
      </c>
      <c r="C122" s="401">
        <f t="shared" si="0"/>
        <v>0.11844197138314785</v>
      </c>
      <c r="D122" s="402">
        <f t="shared" ref="D122:F122" si="140">ROUNDDOWN($C122*D$2,0) - IF(MOD($C122*D$2,1)=0,1,0) + 1</f>
        <v>1</v>
      </c>
      <c r="E122" s="402">
        <f t="shared" si="140"/>
        <v>1</v>
      </c>
      <c r="F122" s="402">
        <f t="shared" si="140"/>
        <v>1</v>
      </c>
      <c r="G122" s="401">
        <f t="shared" si="3"/>
        <v>0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ht="15.75" customHeight="1">
      <c r="A123" s="399">
        <v>42485</v>
      </c>
      <c r="B123" s="400">
        <v>9.1861402095085865E-3</v>
      </c>
      <c r="C123" s="401">
        <f t="shared" si="0"/>
        <v>0.72098569157392689</v>
      </c>
      <c r="D123" s="402">
        <f t="shared" ref="D123:F123" si="141">ROUNDDOWN($C123*D$2,0) - IF(MOD($C123*D$2,1)=0,1,0) + 1</f>
        <v>2</v>
      </c>
      <c r="E123" s="402">
        <f t="shared" si="141"/>
        <v>3</v>
      </c>
      <c r="F123" s="402">
        <f t="shared" si="141"/>
        <v>3</v>
      </c>
      <c r="G123" s="401">
        <f t="shared" si="3"/>
        <v>9.1861402095085865E-3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ht="15.75" customHeight="1">
      <c r="A124" s="399">
        <v>42486</v>
      </c>
      <c r="B124" s="400">
        <v>-1.4883423826253628E-2</v>
      </c>
      <c r="C124" s="401">
        <f t="shared" si="0"/>
        <v>0.13593004769475359</v>
      </c>
      <c r="D124" s="402">
        <f t="shared" ref="D124:F124" si="142">ROUNDDOWN($C124*D$2,0) - IF(MOD($C124*D$2,1)=0,1,0) + 1</f>
        <v>1</v>
      </c>
      <c r="E124" s="402">
        <f t="shared" si="142"/>
        <v>1</v>
      </c>
      <c r="F124" s="402">
        <f t="shared" si="142"/>
        <v>1</v>
      </c>
      <c r="G124" s="401">
        <f t="shared" si="3"/>
        <v>0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ht="15.75" customHeight="1">
      <c r="A125" s="399">
        <v>42487</v>
      </c>
      <c r="B125" s="400">
        <v>-1.6713137076903029E-2</v>
      </c>
      <c r="C125" s="401">
        <f t="shared" si="0"/>
        <v>0.11685214626391097</v>
      </c>
      <c r="D125" s="402">
        <f t="shared" ref="D125:F125" si="143">ROUNDDOWN($C125*D$2,0) - IF(MOD($C125*D$2,1)=0,1,0) + 1</f>
        <v>1</v>
      </c>
      <c r="E125" s="402">
        <f t="shared" si="143"/>
        <v>1</v>
      </c>
      <c r="F125" s="402">
        <f t="shared" si="143"/>
        <v>1</v>
      </c>
      <c r="G125" s="401">
        <f t="shared" si="3"/>
        <v>-1.6713137076903029E-2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ht="15.75" customHeight="1">
      <c r="A126" s="399">
        <v>42488</v>
      </c>
      <c r="B126" s="400">
        <v>-7.5341675321892732E-3</v>
      </c>
      <c r="C126" s="401">
        <f t="shared" si="0"/>
        <v>0.23290937996820349</v>
      </c>
      <c r="D126" s="402">
        <f t="shared" ref="D126:F126" si="144">ROUNDDOWN($C126*D$2,0) - IF(MOD($C126*D$2,1)=0,1,0) + 1</f>
        <v>1</v>
      </c>
      <c r="E126" s="402">
        <f t="shared" si="144"/>
        <v>1</v>
      </c>
      <c r="F126" s="402">
        <f t="shared" si="144"/>
        <v>1</v>
      </c>
      <c r="G126" s="401">
        <f t="shared" si="3"/>
        <v>-7.5341675321892732E-3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ht="15.75" customHeight="1">
      <c r="A127" s="399">
        <v>42489</v>
      </c>
      <c r="B127" s="400">
        <v>9.566445182724248E-2</v>
      </c>
      <c r="C127" s="401">
        <f t="shared" si="0"/>
        <v>0.99920508744038161</v>
      </c>
      <c r="D127" s="402">
        <f t="shared" ref="D127:F127" si="145">ROUNDDOWN($C127*D$2,0) - IF(MOD($C127*D$2,1)=0,1,0) + 1</f>
        <v>2</v>
      </c>
      <c r="E127" s="402">
        <f t="shared" si="145"/>
        <v>3</v>
      </c>
      <c r="F127" s="402">
        <f t="shared" si="145"/>
        <v>4</v>
      </c>
      <c r="G127" s="401">
        <f t="shared" si="3"/>
        <v>9.566445182724248E-2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ht="15.75" customHeight="1">
      <c r="A128" s="399">
        <v>42492</v>
      </c>
      <c r="B128" s="400">
        <v>3.6780424202913942E-2</v>
      </c>
      <c r="C128" s="401">
        <f t="shared" si="0"/>
        <v>0.96661367249602548</v>
      </c>
      <c r="D128" s="402">
        <f t="shared" ref="D128:F128" si="146">ROUNDDOWN($C128*D$2,0) - IF(MOD($C128*D$2,1)=0,1,0) + 1</f>
        <v>2</v>
      </c>
      <c r="E128" s="402">
        <f t="shared" si="146"/>
        <v>3</v>
      </c>
      <c r="F128" s="402">
        <f t="shared" si="146"/>
        <v>4</v>
      </c>
      <c r="G128" s="401">
        <f t="shared" si="3"/>
        <v>0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ht="15.75" customHeight="1">
      <c r="A129" s="399">
        <v>42493</v>
      </c>
      <c r="B129" s="400">
        <v>-1.8322731593185648E-2</v>
      </c>
      <c r="C129" s="401">
        <f t="shared" si="0"/>
        <v>9.9364069952305248E-2</v>
      </c>
      <c r="D129" s="402">
        <f t="shared" ref="D129:F129" si="147">ROUNDDOWN($C129*D$2,0) - IF(MOD($C129*D$2,1)=0,1,0) + 1</f>
        <v>1</v>
      </c>
      <c r="E129" s="402">
        <f t="shared" si="147"/>
        <v>1</v>
      </c>
      <c r="F129" s="402">
        <f t="shared" si="147"/>
        <v>1</v>
      </c>
      <c r="G129" s="401">
        <f t="shared" si="3"/>
        <v>0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ht="15.75" customHeight="1">
      <c r="A130" s="399">
        <v>42494</v>
      </c>
      <c r="B130" s="400">
        <v>-6.2563308109409022E-4</v>
      </c>
      <c r="C130" s="401">
        <f t="shared" si="0"/>
        <v>0.42448330683624802</v>
      </c>
      <c r="D130" s="402">
        <f t="shared" ref="D130:F130" si="148">ROUNDDOWN($C130*D$2,0) - IF(MOD($C130*D$2,1)=0,1,0) + 1</f>
        <v>1</v>
      </c>
      <c r="E130" s="402">
        <f t="shared" si="148"/>
        <v>2</v>
      </c>
      <c r="F130" s="402">
        <f t="shared" si="148"/>
        <v>2</v>
      </c>
      <c r="G130" s="401">
        <f t="shared" si="3"/>
        <v>-6.2563308109409022E-4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ht="15.75" customHeight="1">
      <c r="A131" s="399">
        <v>42495</v>
      </c>
      <c r="B131" s="400">
        <v>-1.7603219555820449E-2</v>
      </c>
      <c r="C131" s="401">
        <f t="shared" si="0"/>
        <v>0.10890302066772654</v>
      </c>
      <c r="D131" s="402">
        <f t="shared" ref="D131:F131" si="149">ROUNDDOWN($C131*D$2,0) - IF(MOD($C131*D$2,1)=0,1,0) + 1</f>
        <v>1</v>
      </c>
      <c r="E131" s="402">
        <f t="shared" si="149"/>
        <v>1</v>
      </c>
      <c r="F131" s="402">
        <f t="shared" si="149"/>
        <v>1</v>
      </c>
      <c r="G131" s="401">
        <f t="shared" si="3"/>
        <v>0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ht="15.75" customHeight="1">
      <c r="A132" s="399">
        <v>42496</v>
      </c>
      <c r="B132" s="400">
        <v>2.2546237994811147E-2</v>
      </c>
      <c r="C132" s="401">
        <f t="shared" si="0"/>
        <v>0.91414944356120831</v>
      </c>
      <c r="D132" s="402">
        <f t="shared" ref="D132:F132" si="150">ROUNDDOWN($C132*D$2,0) - IF(MOD($C132*D$2,1)=0,1,0) + 1</f>
        <v>2</v>
      </c>
      <c r="E132" s="402">
        <f t="shared" si="150"/>
        <v>3</v>
      </c>
      <c r="F132" s="402">
        <f t="shared" si="150"/>
        <v>4</v>
      </c>
      <c r="G132" s="401">
        <f t="shared" si="3"/>
        <v>2.2546237994811147E-2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ht="15.75" customHeight="1">
      <c r="A133" s="399">
        <v>42499</v>
      </c>
      <c r="B133" s="400">
        <v>8.6059796720823201E-3</v>
      </c>
      <c r="C133" s="401">
        <f t="shared" si="0"/>
        <v>0.70429252782193963</v>
      </c>
      <c r="D133" s="402">
        <f t="shared" ref="D133:F133" si="151">ROUNDDOWN($C133*D$2,0) - IF(MOD($C133*D$2,1)=0,1,0) + 1</f>
        <v>2</v>
      </c>
      <c r="E133" s="402">
        <f t="shared" si="151"/>
        <v>3</v>
      </c>
      <c r="F133" s="402">
        <f t="shared" si="151"/>
        <v>3</v>
      </c>
      <c r="G133" s="401">
        <f t="shared" si="3"/>
        <v>0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ht="15.75" customHeight="1">
      <c r="A134" s="399">
        <v>42500</v>
      </c>
      <c r="B134" s="400">
        <v>3.4306730415593956E-2</v>
      </c>
      <c r="C134" s="401">
        <f t="shared" si="0"/>
        <v>0.96184419713831482</v>
      </c>
      <c r="D134" s="402">
        <f t="shared" ref="D134:F134" si="152">ROUNDDOWN($C134*D$2,0) - IF(MOD($C134*D$2,1)=0,1,0) + 1</f>
        <v>2</v>
      </c>
      <c r="E134" s="402">
        <f t="shared" si="152"/>
        <v>3</v>
      </c>
      <c r="F134" s="402">
        <f t="shared" si="152"/>
        <v>4</v>
      </c>
      <c r="G134" s="401">
        <f t="shared" si="3"/>
        <v>0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ht="15.75" customHeight="1">
      <c r="A135" s="399">
        <v>42501</v>
      </c>
      <c r="B135" s="400">
        <v>1.4450908159927112E-2</v>
      </c>
      <c r="C135" s="401">
        <f t="shared" si="0"/>
        <v>0.829093799682035</v>
      </c>
      <c r="D135" s="402">
        <f t="shared" ref="D135:F135" si="153">ROUNDDOWN($C135*D$2,0) - IF(MOD($C135*D$2,1)=0,1,0) + 1</f>
        <v>2</v>
      </c>
      <c r="E135" s="402">
        <f t="shared" si="153"/>
        <v>3</v>
      </c>
      <c r="F135" s="402">
        <f t="shared" si="153"/>
        <v>4</v>
      </c>
      <c r="G135" s="401">
        <f t="shared" si="3"/>
        <v>0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ht="15.75" customHeight="1">
      <c r="A136" s="399">
        <v>42502</v>
      </c>
      <c r="B136" s="400">
        <v>6.5897396351806137E-3</v>
      </c>
      <c r="C136" s="401">
        <f t="shared" si="0"/>
        <v>0.64944356120826707</v>
      </c>
      <c r="D136" s="402">
        <f t="shared" ref="D136:F136" si="154">ROUNDDOWN($C136*D$2,0) - IF(MOD($C136*D$2,1)=0,1,0) + 1</f>
        <v>2</v>
      </c>
      <c r="E136" s="402">
        <f t="shared" si="154"/>
        <v>2</v>
      </c>
      <c r="F136" s="402">
        <f t="shared" si="154"/>
        <v>3</v>
      </c>
      <c r="G136" s="401">
        <f t="shared" si="3"/>
        <v>0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ht="15.75" customHeight="1">
      <c r="A137" s="399">
        <v>42503</v>
      </c>
      <c r="B137" s="400">
        <v>-1.1157076595211257E-2</v>
      </c>
      <c r="C137" s="401">
        <f t="shared" si="0"/>
        <v>0.17806041335453099</v>
      </c>
      <c r="D137" s="402">
        <f t="shared" ref="D137:F137" si="155">ROUNDDOWN($C137*D$2,0) - IF(MOD($C137*D$2,1)=0,1,0) + 1</f>
        <v>1</v>
      </c>
      <c r="E137" s="402">
        <f t="shared" si="155"/>
        <v>1</v>
      </c>
      <c r="F137" s="402">
        <f t="shared" si="155"/>
        <v>1</v>
      </c>
      <c r="G137" s="401">
        <f t="shared" si="3"/>
        <v>0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ht="15.75" customHeight="1">
      <c r="A138" s="399">
        <v>42506</v>
      </c>
      <c r="B138" s="400">
        <v>1.0423709713771601E-3</v>
      </c>
      <c r="C138" s="401">
        <f t="shared" si="0"/>
        <v>0.48569157392686807</v>
      </c>
      <c r="D138" s="402">
        <f t="shared" ref="D138:F138" si="156">ROUNDDOWN($C138*D$2,0) - IF(MOD($C138*D$2,1)=0,1,0) + 1</f>
        <v>1</v>
      </c>
      <c r="E138" s="402">
        <f t="shared" si="156"/>
        <v>2</v>
      </c>
      <c r="F138" s="402">
        <f t="shared" si="156"/>
        <v>2</v>
      </c>
      <c r="G138" s="401">
        <f t="shared" si="3"/>
        <v>1.0423709713771601E-3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ht="15.75" customHeight="1">
      <c r="A139" s="399">
        <v>42507</v>
      </c>
      <c r="B139" s="400">
        <v>-2.165592547772488E-2</v>
      </c>
      <c r="C139" s="401">
        <f t="shared" si="0"/>
        <v>8.1875993640699529E-2</v>
      </c>
      <c r="D139" s="402">
        <f t="shared" ref="D139:F139" si="157">ROUNDDOWN($C139*D$2,0) - IF(MOD($C139*D$2,1)=0,1,0) + 1</f>
        <v>1</v>
      </c>
      <c r="E139" s="402">
        <f t="shared" si="157"/>
        <v>1</v>
      </c>
      <c r="F139" s="402">
        <f t="shared" si="157"/>
        <v>1</v>
      </c>
      <c r="G139" s="401">
        <f t="shared" si="3"/>
        <v>0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ht="15.75" customHeight="1">
      <c r="A140" s="399">
        <v>42508</v>
      </c>
      <c r="B140" s="400">
        <v>3.1354725502323877E-3</v>
      </c>
      <c r="C140" s="401">
        <f t="shared" si="0"/>
        <v>0.55325914149443556</v>
      </c>
      <c r="D140" s="402">
        <f t="shared" ref="D140:F140" si="158">ROUNDDOWN($C140*D$2,0) - IF(MOD($C140*D$2,1)=0,1,0) + 1</f>
        <v>2</v>
      </c>
      <c r="E140" s="402">
        <f t="shared" si="158"/>
        <v>2</v>
      </c>
      <c r="F140" s="402">
        <f t="shared" si="158"/>
        <v>3</v>
      </c>
      <c r="G140" s="401">
        <f t="shared" si="3"/>
        <v>3.1354725502323877E-3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ht="15.75" customHeight="1">
      <c r="A141" s="399">
        <v>42509</v>
      </c>
      <c r="B141" s="400">
        <v>1.5341601548497508E-3</v>
      </c>
      <c r="C141" s="401">
        <f t="shared" si="0"/>
        <v>0.50556438791732905</v>
      </c>
      <c r="D141" s="402">
        <f t="shared" ref="D141:F141" si="159">ROUNDDOWN($C141*D$2,0) - IF(MOD($C141*D$2,1)=0,1,0) + 1</f>
        <v>2</v>
      </c>
      <c r="E141" s="402">
        <f t="shared" si="159"/>
        <v>2</v>
      </c>
      <c r="F141" s="402">
        <f t="shared" si="159"/>
        <v>3</v>
      </c>
      <c r="G141" s="401">
        <f t="shared" si="3"/>
        <v>0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ht="15.75" customHeight="1">
      <c r="A142" s="399">
        <v>42510</v>
      </c>
      <c r="B142" s="400">
        <v>6.1272404512398015E-3</v>
      </c>
      <c r="C142" s="401">
        <f t="shared" si="0"/>
        <v>0.63672496025437197</v>
      </c>
      <c r="D142" s="402">
        <f t="shared" ref="D142:F142" si="160">ROUNDDOWN($C142*D$2,0) - IF(MOD($C142*D$2,1)=0,1,0) + 1</f>
        <v>2</v>
      </c>
      <c r="E142" s="402">
        <f t="shared" si="160"/>
        <v>2</v>
      </c>
      <c r="F142" s="402">
        <f t="shared" si="160"/>
        <v>3</v>
      </c>
      <c r="G142" s="401">
        <f t="shared" si="3"/>
        <v>0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ht="15.75" customHeight="1">
      <c r="A143" s="399">
        <v>42513</v>
      </c>
      <c r="B143" s="400">
        <v>-8.6084234490608758E-3</v>
      </c>
      <c r="C143" s="401">
        <f t="shared" si="0"/>
        <v>0.20985691573926868</v>
      </c>
      <c r="D143" s="402">
        <f t="shared" ref="D143:F143" si="161">ROUNDDOWN($C143*D$2,0) - IF(MOD($C143*D$2,1)=0,1,0) + 1</f>
        <v>1</v>
      </c>
      <c r="E143" s="402">
        <f t="shared" si="161"/>
        <v>1</v>
      </c>
      <c r="F143" s="402">
        <f t="shared" si="161"/>
        <v>1</v>
      </c>
      <c r="G143" s="401">
        <f t="shared" si="3"/>
        <v>0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ht="15.75" customHeight="1">
      <c r="A144" s="399">
        <v>42514</v>
      </c>
      <c r="B144" s="400">
        <v>1.0692500897022006E-2</v>
      </c>
      <c r="C144" s="401">
        <f t="shared" si="0"/>
        <v>0.75198728139904614</v>
      </c>
      <c r="D144" s="402">
        <f t="shared" ref="D144:F144" si="162">ROUNDDOWN($C144*D$2,0) - IF(MOD($C144*D$2,1)=0,1,0) + 1</f>
        <v>2</v>
      </c>
      <c r="E144" s="402">
        <f t="shared" si="162"/>
        <v>3</v>
      </c>
      <c r="F144" s="402">
        <f t="shared" si="162"/>
        <v>4</v>
      </c>
      <c r="G144" s="401">
        <f t="shared" si="3"/>
        <v>1.0692500897022006E-2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ht="15.75" customHeight="1">
      <c r="A145" s="399">
        <v>42515</v>
      </c>
      <c r="B145" s="400">
        <v>5.8932121556376504E-3</v>
      </c>
      <c r="C145" s="401">
        <f t="shared" si="0"/>
        <v>0.63116057233704292</v>
      </c>
      <c r="D145" s="402">
        <f t="shared" ref="D145:F145" si="163">ROUNDDOWN($C145*D$2,0) - IF(MOD($C145*D$2,1)=0,1,0) + 1</f>
        <v>2</v>
      </c>
      <c r="E145" s="402">
        <f t="shared" si="163"/>
        <v>2</v>
      </c>
      <c r="F145" s="402">
        <f t="shared" si="163"/>
        <v>3</v>
      </c>
      <c r="G145" s="401">
        <f t="shared" si="3"/>
        <v>0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ht="15.75" customHeight="1">
      <c r="A146" s="399">
        <v>42516</v>
      </c>
      <c r="B146" s="400">
        <v>9.2609585656806548E-3</v>
      </c>
      <c r="C146" s="401">
        <f t="shared" si="0"/>
        <v>0.72416534181240066</v>
      </c>
      <c r="D146" s="402">
        <f t="shared" ref="D146:F146" si="164">ROUNDDOWN($C146*D$2,0) - IF(MOD($C146*D$2,1)=0,1,0) + 1</f>
        <v>2</v>
      </c>
      <c r="E146" s="402">
        <f t="shared" si="164"/>
        <v>3</v>
      </c>
      <c r="F146" s="402">
        <f t="shared" si="164"/>
        <v>3</v>
      </c>
      <c r="G146" s="401">
        <f t="shared" si="3"/>
        <v>0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ht="15.75" customHeight="1">
      <c r="A147" s="399">
        <v>42517</v>
      </c>
      <c r="B147" s="400">
        <v>-3.7347358408750253E-3</v>
      </c>
      <c r="C147" s="401">
        <f t="shared" si="0"/>
        <v>0.33942766295707472</v>
      </c>
      <c r="D147" s="402">
        <f t="shared" ref="D147:F147" si="165">ROUNDDOWN($C147*D$2,0) - IF(MOD($C147*D$2,1)=0,1,0) + 1</f>
        <v>1</v>
      </c>
      <c r="E147" s="402">
        <f t="shared" si="165"/>
        <v>2</v>
      </c>
      <c r="F147" s="402">
        <f t="shared" si="165"/>
        <v>2</v>
      </c>
      <c r="G147" s="401">
        <f t="shared" si="3"/>
        <v>0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ht="15.75" customHeight="1">
      <c r="A148" s="399">
        <v>42521</v>
      </c>
      <c r="B148" s="400">
        <v>1.481242277883843E-2</v>
      </c>
      <c r="C148" s="401">
        <f t="shared" si="0"/>
        <v>0.83863275039745633</v>
      </c>
      <c r="D148" s="402">
        <f t="shared" ref="D148:F148" si="166">ROUNDDOWN($C148*D$2,0) - IF(MOD($C148*D$2,1)=0,1,0) + 1</f>
        <v>2</v>
      </c>
      <c r="E148" s="402">
        <f t="shared" si="166"/>
        <v>3</v>
      </c>
      <c r="F148" s="402">
        <f t="shared" si="166"/>
        <v>4</v>
      </c>
      <c r="G148" s="401">
        <f t="shared" si="3"/>
        <v>0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ht="15.75" customHeight="1">
      <c r="A149" s="399">
        <v>42522</v>
      </c>
      <c r="B149" s="400">
        <v>-4.6348178585756683E-3</v>
      </c>
      <c r="C149" s="401">
        <f t="shared" si="0"/>
        <v>0.30842607313195547</v>
      </c>
      <c r="D149" s="402">
        <f t="shared" ref="D149:F149" si="167">ROUNDDOWN($C149*D$2,0) - IF(MOD($C149*D$2,1)=0,1,0) + 1</f>
        <v>1</v>
      </c>
      <c r="E149" s="402">
        <f t="shared" si="167"/>
        <v>1</v>
      </c>
      <c r="F149" s="402">
        <f t="shared" si="167"/>
        <v>2</v>
      </c>
      <c r="G149" s="401">
        <f t="shared" si="3"/>
        <v>0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ht="15.75" customHeight="1">
      <c r="A150" s="399">
        <v>42523</v>
      </c>
      <c r="B150" s="400">
        <v>1.223173579450676E-2</v>
      </c>
      <c r="C150" s="401">
        <f t="shared" si="0"/>
        <v>0.78775834658187605</v>
      </c>
      <c r="D150" s="402">
        <f t="shared" ref="D150:F150" si="168">ROUNDDOWN($C150*D$2,0) - IF(MOD($C150*D$2,1)=0,1,0) + 1</f>
        <v>2</v>
      </c>
      <c r="E150" s="402">
        <f t="shared" si="168"/>
        <v>3</v>
      </c>
      <c r="F150" s="402">
        <f t="shared" si="168"/>
        <v>4</v>
      </c>
      <c r="G150" s="401">
        <f t="shared" si="3"/>
        <v>0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ht="15.75" customHeight="1">
      <c r="A151" s="399">
        <v>42524</v>
      </c>
      <c r="B151" s="400">
        <v>-3.7075689333186945E-3</v>
      </c>
      <c r="C151" s="401">
        <f t="shared" si="0"/>
        <v>0.34260731319554849</v>
      </c>
      <c r="D151" s="402">
        <f t="shared" ref="D151:F151" si="169">ROUNDDOWN($C151*D$2,0) - IF(MOD($C151*D$2,1)=0,1,0) + 1</f>
        <v>1</v>
      </c>
      <c r="E151" s="402">
        <f t="shared" si="169"/>
        <v>2</v>
      </c>
      <c r="F151" s="402">
        <f t="shared" si="169"/>
        <v>2</v>
      </c>
      <c r="G151" s="401">
        <f t="shared" si="3"/>
        <v>0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ht="15.75" customHeight="1">
      <c r="A152" s="399">
        <v>42527</v>
      </c>
      <c r="B152" s="400">
        <v>1.6401576756623903E-3</v>
      </c>
      <c r="C152" s="401">
        <f t="shared" si="0"/>
        <v>0.50715421303656594</v>
      </c>
      <c r="D152" s="402">
        <f t="shared" ref="D152:F152" si="170">ROUNDDOWN($C152*D$2,0) - IF(MOD($C152*D$2,1)=0,1,0) + 1</f>
        <v>2</v>
      </c>
      <c r="E152" s="402">
        <f t="shared" si="170"/>
        <v>2</v>
      </c>
      <c r="F152" s="402">
        <f t="shared" si="170"/>
        <v>3</v>
      </c>
      <c r="G152" s="401">
        <f t="shared" si="3"/>
        <v>0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ht="15.75" customHeight="1">
      <c r="A153" s="399">
        <v>42528</v>
      </c>
      <c r="B153" s="400">
        <v>-4.1143203115324711E-3</v>
      </c>
      <c r="C153" s="401">
        <f t="shared" si="0"/>
        <v>0.32193958664546901</v>
      </c>
      <c r="D153" s="402">
        <f t="shared" ref="D153:F153" si="171">ROUNDDOWN($C153*D$2,0) - IF(MOD($C153*D$2,1)=0,1,0) + 1</f>
        <v>1</v>
      </c>
      <c r="E153" s="402">
        <f t="shared" si="171"/>
        <v>1</v>
      </c>
      <c r="F153" s="402">
        <f t="shared" si="171"/>
        <v>2</v>
      </c>
      <c r="G153" s="401">
        <f t="shared" si="3"/>
        <v>0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ht="15.75" customHeight="1">
      <c r="A154" s="399">
        <v>42529</v>
      </c>
      <c r="B154" s="400">
        <v>4.0069638267885566E-3</v>
      </c>
      <c r="C154" s="401">
        <f t="shared" si="0"/>
        <v>0.57472178060413359</v>
      </c>
      <c r="D154" s="402">
        <f t="shared" ref="D154:F154" si="172">ROUNDDOWN($C154*D$2,0) - IF(MOD($C154*D$2,1)=0,1,0) + 1</f>
        <v>2</v>
      </c>
      <c r="E154" s="402">
        <f t="shared" si="172"/>
        <v>2</v>
      </c>
      <c r="F154" s="402">
        <f t="shared" si="172"/>
        <v>3</v>
      </c>
      <c r="G154" s="401">
        <f t="shared" si="3"/>
        <v>0</v>
      </c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ht="15.75" customHeight="1">
      <c r="A155" s="399">
        <v>42530</v>
      </c>
      <c r="B155" s="400">
        <v>1.3899592645600922E-3</v>
      </c>
      <c r="C155" s="401">
        <f t="shared" si="0"/>
        <v>0.49920508744038156</v>
      </c>
      <c r="D155" s="402">
        <f t="shared" ref="D155:F155" si="173">ROUNDDOWN($C155*D$2,0) - IF(MOD($C155*D$2,1)=0,1,0) + 1</f>
        <v>1</v>
      </c>
      <c r="E155" s="402">
        <f t="shared" si="173"/>
        <v>2</v>
      </c>
      <c r="F155" s="402">
        <f t="shared" si="173"/>
        <v>2</v>
      </c>
      <c r="G155" s="401">
        <f t="shared" si="3"/>
        <v>0</v>
      </c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ht="15.75" customHeight="1">
      <c r="A156" s="399">
        <v>42531</v>
      </c>
      <c r="B156" s="400">
        <v>-1.3385556242699104E-2</v>
      </c>
      <c r="C156" s="401">
        <f t="shared" si="0"/>
        <v>0.14785373608903021</v>
      </c>
      <c r="D156" s="402">
        <f t="shared" ref="D156:F156" si="174">ROUNDDOWN($C156*D$2,0) - IF(MOD($C156*D$2,1)=0,1,0) + 1</f>
        <v>1</v>
      </c>
      <c r="E156" s="402">
        <f t="shared" si="174"/>
        <v>1</v>
      </c>
      <c r="F156" s="402">
        <f t="shared" si="174"/>
        <v>1</v>
      </c>
      <c r="G156" s="401">
        <f t="shared" si="3"/>
        <v>0</v>
      </c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ht="15.75" customHeight="1">
      <c r="A157" s="399">
        <v>42534</v>
      </c>
      <c r="B157" s="400">
        <v>-3.7191291387499437E-3</v>
      </c>
      <c r="C157" s="401">
        <f t="shared" si="0"/>
        <v>0.3410174880763116</v>
      </c>
      <c r="D157" s="402">
        <f t="shared" ref="D157:F157" si="175">ROUNDDOWN($C157*D$2,0) - IF(MOD($C157*D$2,1)=0,1,0) + 1</f>
        <v>1</v>
      </c>
      <c r="E157" s="402">
        <f t="shared" si="175"/>
        <v>2</v>
      </c>
      <c r="F157" s="402">
        <f t="shared" si="175"/>
        <v>2</v>
      </c>
      <c r="G157" s="401">
        <f t="shared" si="3"/>
        <v>-3.7191291387499437E-3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ht="15.75" customHeight="1">
      <c r="A158" s="399">
        <v>42535</v>
      </c>
      <c r="B158" s="400">
        <v>5.6764163078126817E-3</v>
      </c>
      <c r="C158" s="401">
        <f t="shared" si="0"/>
        <v>0.62480127186009538</v>
      </c>
      <c r="D158" s="402">
        <f t="shared" ref="D158:F158" si="176">ROUNDDOWN($C158*D$2,0) - IF(MOD($C158*D$2,1)=0,1,0) + 1</f>
        <v>2</v>
      </c>
      <c r="E158" s="402">
        <f t="shared" si="176"/>
        <v>2</v>
      </c>
      <c r="F158" s="402">
        <f t="shared" si="176"/>
        <v>3</v>
      </c>
      <c r="G158" s="401">
        <f t="shared" si="3"/>
        <v>0</v>
      </c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ht="15.75" customHeight="1">
      <c r="A159" s="399">
        <v>42536</v>
      </c>
      <c r="B159" s="400">
        <v>-7.0068121785068493E-3</v>
      </c>
      <c r="C159" s="401">
        <f t="shared" si="0"/>
        <v>0.24483306836248012</v>
      </c>
      <c r="D159" s="402">
        <f t="shared" ref="D159:F159" si="177">ROUNDDOWN($C159*D$2,0) - IF(MOD($C159*D$2,1)=0,1,0) + 1</f>
        <v>1</v>
      </c>
      <c r="E159" s="402">
        <f t="shared" si="177"/>
        <v>1</v>
      </c>
      <c r="F159" s="402">
        <f t="shared" si="177"/>
        <v>1</v>
      </c>
      <c r="G159" s="401">
        <f t="shared" si="3"/>
        <v>0</v>
      </c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ht="15.75" customHeight="1">
      <c r="A160" s="399">
        <v>42537</v>
      </c>
      <c r="B160" s="400">
        <v>4.5501638058971228E-3</v>
      </c>
      <c r="C160" s="401">
        <f t="shared" si="0"/>
        <v>0.58823529411764708</v>
      </c>
      <c r="D160" s="402">
        <f t="shared" ref="D160:F160" si="178">ROUNDDOWN($C160*D$2,0) - IF(MOD($C160*D$2,1)=0,1,0) + 1</f>
        <v>2</v>
      </c>
      <c r="E160" s="402">
        <f t="shared" si="178"/>
        <v>2</v>
      </c>
      <c r="F160" s="402">
        <f t="shared" si="178"/>
        <v>3</v>
      </c>
      <c r="G160" s="401">
        <f t="shared" si="3"/>
        <v>4.5501638058971228E-3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ht="15.75" customHeight="1">
      <c r="A161" s="399">
        <v>42538</v>
      </c>
      <c r="B161" s="400">
        <v>-1.5498041839138166E-2</v>
      </c>
      <c r="C161" s="401">
        <f t="shared" si="0"/>
        <v>0.13116057233704292</v>
      </c>
      <c r="D161" s="402">
        <f t="shared" ref="D161:F161" si="179">ROUNDDOWN($C161*D$2,0) - IF(MOD($C161*D$2,1)=0,1,0) + 1</f>
        <v>1</v>
      </c>
      <c r="E161" s="402">
        <f t="shared" si="179"/>
        <v>1</v>
      </c>
      <c r="F161" s="402">
        <f t="shared" si="179"/>
        <v>1</v>
      </c>
      <c r="G161" s="401">
        <f t="shared" si="3"/>
        <v>0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ht="15.75" customHeight="1">
      <c r="A162" s="399">
        <v>42541</v>
      </c>
      <c r="B162" s="400">
        <v>1.0787242175002376E-2</v>
      </c>
      <c r="C162" s="401">
        <f t="shared" si="0"/>
        <v>0.75516693163751991</v>
      </c>
      <c r="D162" s="402">
        <f t="shared" ref="D162:F162" si="180">ROUNDDOWN($C162*D$2,0) - IF(MOD($C162*D$2,1)=0,1,0) + 1</f>
        <v>2</v>
      </c>
      <c r="E162" s="402">
        <f t="shared" si="180"/>
        <v>3</v>
      </c>
      <c r="F162" s="402">
        <f t="shared" si="180"/>
        <v>4</v>
      </c>
      <c r="G162" s="401">
        <f t="shared" si="3"/>
        <v>1.0787242175002376E-2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ht="15.75" customHeight="1">
      <c r="A163" s="399">
        <v>42542</v>
      </c>
      <c r="B163" s="400">
        <v>2.5349785017017012E-3</v>
      </c>
      <c r="C163" s="401">
        <f t="shared" si="0"/>
        <v>0.54054054054054057</v>
      </c>
      <c r="D163" s="402">
        <f t="shared" ref="D163:F163" si="181">ROUNDDOWN($C163*D$2,0) - IF(MOD($C163*D$2,1)=0,1,0) + 1</f>
        <v>2</v>
      </c>
      <c r="E163" s="402">
        <f t="shared" si="181"/>
        <v>2</v>
      </c>
      <c r="F163" s="402">
        <f t="shared" si="181"/>
        <v>3</v>
      </c>
      <c r="G163" s="401">
        <f t="shared" si="3"/>
        <v>0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ht="15.75" customHeight="1">
      <c r="A164" s="399">
        <v>42543</v>
      </c>
      <c r="B164" s="400">
        <v>-7.2923360621385269E-3</v>
      </c>
      <c r="C164" s="401">
        <f t="shared" si="0"/>
        <v>0.23767885532591415</v>
      </c>
      <c r="D164" s="402">
        <f t="shared" ref="D164:F164" si="182">ROUNDDOWN($C164*D$2,0) - IF(MOD($C164*D$2,1)=0,1,0) + 1</f>
        <v>1</v>
      </c>
      <c r="E164" s="402">
        <f t="shared" si="182"/>
        <v>1</v>
      </c>
      <c r="F164" s="402">
        <f t="shared" si="182"/>
        <v>1</v>
      </c>
      <c r="G164" s="401">
        <f t="shared" si="3"/>
        <v>0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ht="15.75" customHeight="1">
      <c r="A165" s="399">
        <v>42544</v>
      </c>
      <c r="B165" s="400">
        <v>1.6155361666197576E-2</v>
      </c>
      <c r="C165" s="401">
        <f t="shared" si="0"/>
        <v>0.85850556438791736</v>
      </c>
      <c r="D165" s="402">
        <f t="shared" ref="D165:F165" si="183">ROUNDDOWN($C165*D$2,0) - IF(MOD($C165*D$2,1)=0,1,0) + 1</f>
        <v>2</v>
      </c>
      <c r="E165" s="402">
        <f t="shared" si="183"/>
        <v>3</v>
      </c>
      <c r="F165" s="402">
        <f t="shared" si="183"/>
        <v>4</v>
      </c>
      <c r="G165" s="401">
        <f t="shared" si="3"/>
        <v>1.6155361666197576E-2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ht="15.75" customHeight="1">
      <c r="A166" s="399">
        <v>42545</v>
      </c>
      <c r="B166" s="400">
        <v>-3.2018612896077991E-2</v>
      </c>
      <c r="C166" s="401">
        <f t="shared" si="0"/>
        <v>4.0540540540540543E-2</v>
      </c>
      <c r="D166" s="402">
        <f t="shared" ref="D166:F166" si="184">ROUNDDOWN($C166*D$2,0) - IF(MOD($C166*D$2,1)=0,1,0) + 1</f>
        <v>1</v>
      </c>
      <c r="E166" s="402">
        <f t="shared" si="184"/>
        <v>1</v>
      </c>
      <c r="F166" s="402">
        <f t="shared" si="184"/>
        <v>1</v>
      </c>
      <c r="G166" s="401">
        <f t="shared" si="3"/>
        <v>0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ht="15.75" customHeight="1">
      <c r="A167" s="399">
        <v>42548</v>
      </c>
      <c r="B167" s="400">
        <v>-1.0873297470527676E-2</v>
      </c>
      <c r="C167" s="401">
        <f t="shared" si="0"/>
        <v>0.18124006359300476</v>
      </c>
      <c r="D167" s="402">
        <f t="shared" ref="D167:F167" si="185">ROUNDDOWN($C167*D$2,0) - IF(MOD($C167*D$2,1)=0,1,0) + 1</f>
        <v>1</v>
      </c>
      <c r="E167" s="402">
        <f t="shared" si="185"/>
        <v>1</v>
      </c>
      <c r="F167" s="402">
        <f t="shared" si="185"/>
        <v>1</v>
      </c>
      <c r="G167" s="401">
        <f t="shared" si="3"/>
        <v>-1.0873297470527676E-2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ht="15.75" customHeight="1">
      <c r="A168" s="399">
        <v>42549</v>
      </c>
      <c r="B168" s="400">
        <v>2.3996181439481568E-2</v>
      </c>
      <c r="C168" s="401">
        <f t="shared" si="0"/>
        <v>0.92050874403815586</v>
      </c>
      <c r="D168" s="402">
        <f t="shared" ref="D168:F168" si="186">ROUNDDOWN($C168*D$2,0) - IF(MOD($C168*D$2,1)=0,1,0) + 1</f>
        <v>2</v>
      </c>
      <c r="E168" s="402">
        <f t="shared" si="186"/>
        <v>3</v>
      </c>
      <c r="F168" s="402">
        <f t="shared" si="186"/>
        <v>4</v>
      </c>
      <c r="G168" s="401">
        <f t="shared" si="3"/>
        <v>2.3996181439481568E-2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ht="15.75" customHeight="1">
      <c r="A169" s="399">
        <v>42550</v>
      </c>
      <c r="B169" s="400">
        <v>1.080584787061234E-2</v>
      </c>
      <c r="C169" s="401">
        <f t="shared" si="0"/>
        <v>0.7559618441971383</v>
      </c>
      <c r="D169" s="402">
        <f t="shared" ref="D169:F169" si="187">ROUNDDOWN($C169*D$2,0) - IF(MOD($C169*D$2,1)=0,1,0) + 1</f>
        <v>2</v>
      </c>
      <c r="E169" s="402">
        <f t="shared" si="187"/>
        <v>3</v>
      </c>
      <c r="F169" s="402">
        <f t="shared" si="187"/>
        <v>4</v>
      </c>
      <c r="G169" s="401">
        <f t="shared" si="3"/>
        <v>0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ht="15.75" customHeight="1">
      <c r="A170" s="399">
        <v>42551</v>
      </c>
      <c r="B170" s="400">
        <v>2.794857462262712E-5</v>
      </c>
      <c r="C170" s="401">
        <f t="shared" si="0"/>
        <v>0.44753577106518283</v>
      </c>
      <c r="D170" s="402">
        <f t="shared" ref="D170:F170" si="188">ROUNDDOWN($C170*D$2,0) - IF(MOD($C170*D$2,1)=0,1,0) + 1</f>
        <v>1</v>
      </c>
      <c r="E170" s="402">
        <f t="shared" si="188"/>
        <v>2</v>
      </c>
      <c r="F170" s="402">
        <f t="shared" si="188"/>
        <v>2</v>
      </c>
      <c r="G170" s="401">
        <f t="shared" si="3"/>
        <v>0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ht="15.75" customHeight="1">
      <c r="A171" s="399">
        <v>42552</v>
      </c>
      <c r="B171" s="400">
        <v>1.4057740141415698E-2</v>
      </c>
      <c r="C171" s="401">
        <f t="shared" si="0"/>
        <v>0.81955484896661368</v>
      </c>
      <c r="D171" s="402">
        <f t="shared" ref="D171:F171" si="189">ROUNDDOWN($C171*D$2,0) - IF(MOD($C171*D$2,1)=0,1,0) + 1</f>
        <v>2</v>
      </c>
      <c r="E171" s="402">
        <f t="shared" si="189"/>
        <v>3</v>
      </c>
      <c r="F171" s="402">
        <f t="shared" si="189"/>
        <v>4</v>
      </c>
      <c r="G171" s="401">
        <f t="shared" si="3"/>
        <v>0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ht="15.75" customHeight="1">
      <c r="A172" s="399">
        <v>42556</v>
      </c>
      <c r="B172" s="400">
        <v>3.3348032190498866E-3</v>
      </c>
      <c r="C172" s="401">
        <f t="shared" si="0"/>
        <v>0.55802861685214622</v>
      </c>
      <c r="D172" s="402">
        <f t="shared" ref="D172:F172" si="190">ROUNDDOWN($C172*D$2,0) - IF(MOD($C172*D$2,1)=0,1,0) + 1</f>
        <v>2</v>
      </c>
      <c r="E172" s="402">
        <f t="shared" si="190"/>
        <v>2</v>
      </c>
      <c r="F172" s="402">
        <f t="shared" si="190"/>
        <v>3</v>
      </c>
      <c r="G172" s="401">
        <f t="shared" si="3"/>
        <v>0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ht="15.75" customHeight="1">
      <c r="A173" s="399">
        <v>42557</v>
      </c>
      <c r="B173" s="400">
        <v>1.3061392665842497E-2</v>
      </c>
      <c r="C173" s="401">
        <f t="shared" si="0"/>
        <v>0.80524642289348169</v>
      </c>
      <c r="D173" s="402">
        <f t="shared" ref="D173:F173" si="191">ROUNDDOWN($C173*D$2,0) - IF(MOD($C173*D$2,1)=0,1,0) + 1</f>
        <v>2</v>
      </c>
      <c r="E173" s="402">
        <f t="shared" si="191"/>
        <v>3</v>
      </c>
      <c r="F173" s="402">
        <f t="shared" si="191"/>
        <v>4</v>
      </c>
      <c r="G173" s="401">
        <f t="shared" si="3"/>
        <v>0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ht="15.75" customHeight="1">
      <c r="A174" s="399">
        <v>42558</v>
      </c>
      <c r="B174" s="400">
        <v>-1.4099591925271771E-3</v>
      </c>
      <c r="C174" s="401">
        <f t="shared" si="0"/>
        <v>0.40143084260731321</v>
      </c>
      <c r="D174" s="402">
        <f t="shared" ref="D174:F174" si="192">ROUNDDOWN($C174*D$2,0) - IF(MOD($C174*D$2,1)=0,1,0) + 1</f>
        <v>1</v>
      </c>
      <c r="E174" s="402">
        <f t="shared" si="192"/>
        <v>2</v>
      </c>
      <c r="F174" s="402">
        <f t="shared" si="192"/>
        <v>2</v>
      </c>
      <c r="G174" s="401">
        <f t="shared" si="3"/>
        <v>0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ht="15.75" customHeight="1">
      <c r="A175" s="399">
        <v>42559</v>
      </c>
      <c r="B175" s="400">
        <v>1.2544632553592949E-2</v>
      </c>
      <c r="C175" s="401">
        <f t="shared" si="0"/>
        <v>0.79729729729729726</v>
      </c>
      <c r="D175" s="402">
        <f t="shared" ref="D175:F175" si="193">ROUNDDOWN($C175*D$2,0) - IF(MOD($C175*D$2,1)=0,1,0) + 1</f>
        <v>2</v>
      </c>
      <c r="E175" s="402">
        <f t="shared" si="193"/>
        <v>3</v>
      </c>
      <c r="F175" s="402">
        <f t="shared" si="193"/>
        <v>4</v>
      </c>
      <c r="G175" s="401">
        <f t="shared" si="3"/>
        <v>0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ht="15.75" customHeight="1">
      <c r="A176" s="399">
        <v>42562</v>
      </c>
      <c r="B176" s="400">
        <v>1.0686367841675537E-2</v>
      </c>
      <c r="C176" s="401">
        <f t="shared" si="0"/>
        <v>0.75119236883942764</v>
      </c>
      <c r="D176" s="402">
        <f t="shared" ref="D176:F176" si="194">ROUNDDOWN($C176*D$2,0) - IF(MOD($C176*D$2,1)=0,1,0) + 1</f>
        <v>2</v>
      </c>
      <c r="E176" s="402">
        <f t="shared" si="194"/>
        <v>3</v>
      </c>
      <c r="F176" s="402">
        <f t="shared" si="194"/>
        <v>4</v>
      </c>
      <c r="G176" s="401">
        <f t="shared" si="3"/>
        <v>0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ht="15.75" customHeight="1">
      <c r="A177" s="399">
        <v>42563</v>
      </c>
      <c r="B177" s="400">
        <v>-7.3894239698585329E-3</v>
      </c>
      <c r="C177" s="401">
        <f t="shared" si="0"/>
        <v>0.23688394276629571</v>
      </c>
      <c r="D177" s="402">
        <f t="shared" ref="D177:F177" si="195">ROUNDDOWN($C177*D$2,0) - IF(MOD($C177*D$2,1)=0,1,0) + 1</f>
        <v>1</v>
      </c>
      <c r="E177" s="402">
        <f t="shared" si="195"/>
        <v>1</v>
      </c>
      <c r="F177" s="402">
        <f t="shared" si="195"/>
        <v>1</v>
      </c>
      <c r="G177" s="401">
        <f t="shared" si="3"/>
        <v>0</v>
      </c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ht="15.75" customHeight="1">
      <c r="A178" s="399">
        <v>42564</v>
      </c>
      <c r="B178" s="400">
        <v>-7.4577992809505833E-3</v>
      </c>
      <c r="C178" s="401">
        <f t="shared" si="0"/>
        <v>0.23449920508744038</v>
      </c>
      <c r="D178" s="402">
        <f t="shared" ref="D178:F178" si="196">ROUNDDOWN($C178*D$2,0) - IF(MOD($C178*D$2,1)=0,1,0) + 1</f>
        <v>1</v>
      </c>
      <c r="E178" s="402">
        <f t="shared" si="196"/>
        <v>1</v>
      </c>
      <c r="F178" s="402">
        <f t="shared" si="196"/>
        <v>1</v>
      </c>
      <c r="G178" s="401">
        <f t="shared" si="3"/>
        <v>-7.4577992809505833E-3</v>
      </c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ht="15.75" customHeight="1">
      <c r="A179" s="399">
        <v>42565</v>
      </c>
      <c r="B179" s="400">
        <v>-1.9255887858017351E-3</v>
      </c>
      <c r="C179" s="401">
        <f t="shared" si="0"/>
        <v>0.38871224165341811</v>
      </c>
      <c r="D179" s="402">
        <f t="shared" ref="D179:F179" si="197">ROUNDDOWN($C179*D$2,0) - IF(MOD($C179*D$2,1)=0,1,0) + 1</f>
        <v>1</v>
      </c>
      <c r="E179" s="402">
        <f t="shared" si="197"/>
        <v>2</v>
      </c>
      <c r="F179" s="402">
        <f t="shared" si="197"/>
        <v>2</v>
      </c>
      <c r="G179" s="401">
        <f t="shared" si="3"/>
        <v>-1.9255887858017351E-3</v>
      </c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ht="15.75" customHeight="1">
      <c r="A180" s="399">
        <v>42566</v>
      </c>
      <c r="B180" s="400">
        <v>-7.7711818672423494E-3</v>
      </c>
      <c r="C180" s="401">
        <f t="shared" si="0"/>
        <v>0.22734499205087441</v>
      </c>
      <c r="D180" s="402">
        <f t="shared" ref="D180:F180" si="198">ROUNDDOWN($C180*D$2,0) - IF(MOD($C180*D$2,1)=0,1,0) + 1</f>
        <v>1</v>
      </c>
      <c r="E180" s="402">
        <f t="shared" si="198"/>
        <v>1</v>
      </c>
      <c r="F180" s="402">
        <f t="shared" si="198"/>
        <v>1</v>
      </c>
      <c r="G180" s="401">
        <f t="shared" si="3"/>
        <v>0</v>
      </c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ht="15.75" customHeight="1">
      <c r="A181" s="399">
        <v>42569</v>
      </c>
      <c r="B181" s="400">
        <v>8.5663004459912706E-4</v>
      </c>
      <c r="C181" s="401">
        <f t="shared" si="0"/>
        <v>0.47853736089030208</v>
      </c>
      <c r="D181" s="402">
        <f t="shared" ref="D181:F181" si="199">ROUNDDOWN($C181*D$2,0) - IF(MOD($C181*D$2,1)=0,1,0) + 1</f>
        <v>1</v>
      </c>
      <c r="E181" s="402">
        <f t="shared" si="199"/>
        <v>2</v>
      </c>
      <c r="F181" s="402">
        <f t="shared" si="199"/>
        <v>2</v>
      </c>
      <c r="G181" s="401">
        <f t="shared" si="3"/>
        <v>8.5663004459912706E-4</v>
      </c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ht="15.75" customHeight="1">
      <c r="A182" s="399">
        <v>42570</v>
      </c>
      <c r="B182" s="400">
        <v>5.2712377898840312E-3</v>
      </c>
      <c r="C182" s="401">
        <f t="shared" si="0"/>
        <v>0.61287758346581878</v>
      </c>
      <c r="D182" s="402">
        <f t="shared" ref="D182:F182" si="200">ROUNDDOWN($C182*D$2,0) - IF(MOD($C182*D$2,1)=0,1,0) + 1</f>
        <v>2</v>
      </c>
      <c r="E182" s="402">
        <f t="shared" si="200"/>
        <v>2</v>
      </c>
      <c r="F182" s="402">
        <f t="shared" si="200"/>
        <v>3</v>
      </c>
      <c r="G182" s="401">
        <f t="shared" si="3"/>
        <v>0</v>
      </c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ht="15.75" customHeight="1">
      <c r="A183" s="399">
        <v>42571</v>
      </c>
      <c r="B183" s="400">
        <v>7.7978241773093426E-3</v>
      </c>
      <c r="C183" s="401">
        <f t="shared" si="0"/>
        <v>0.68362480127186009</v>
      </c>
      <c r="D183" s="402">
        <f t="shared" ref="D183:F183" si="201">ROUNDDOWN($C183*D$2,0) - IF(MOD($C183*D$2,1)=0,1,0) + 1</f>
        <v>2</v>
      </c>
      <c r="E183" s="402">
        <f t="shared" si="201"/>
        <v>3</v>
      </c>
      <c r="F183" s="402">
        <f t="shared" si="201"/>
        <v>3</v>
      </c>
      <c r="G183" s="401">
        <f t="shared" si="3"/>
        <v>0</v>
      </c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ht="15.75" customHeight="1">
      <c r="A184" s="399">
        <v>42572</v>
      </c>
      <c r="B184" s="400">
        <v>-1.7298718017487724E-3</v>
      </c>
      <c r="C184" s="401">
        <f t="shared" si="0"/>
        <v>0.39268680445151033</v>
      </c>
      <c r="D184" s="402">
        <f t="shared" ref="D184:F184" si="202">ROUNDDOWN($C184*D$2,0) - IF(MOD($C184*D$2,1)=0,1,0) + 1</f>
        <v>1</v>
      </c>
      <c r="E184" s="402">
        <f t="shared" si="202"/>
        <v>2</v>
      </c>
      <c r="F184" s="402">
        <f t="shared" si="202"/>
        <v>2</v>
      </c>
      <c r="G184" s="401">
        <f t="shared" si="3"/>
        <v>0</v>
      </c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ht="15.75" customHeight="1">
      <c r="A185" s="399">
        <v>42573</v>
      </c>
      <c r="B185" s="400">
        <v>5.7762314791198754E-4</v>
      </c>
      <c r="C185" s="401">
        <f t="shared" si="0"/>
        <v>0.46899841017488075</v>
      </c>
      <c r="D185" s="402">
        <f t="shared" ref="D185:F185" si="203">ROUNDDOWN($C185*D$2,0) - IF(MOD($C185*D$2,1)=0,1,0) + 1</f>
        <v>1</v>
      </c>
      <c r="E185" s="402">
        <f t="shared" si="203"/>
        <v>2</v>
      </c>
      <c r="F185" s="402">
        <f t="shared" si="203"/>
        <v>2</v>
      </c>
      <c r="G185" s="401">
        <f t="shared" si="3"/>
        <v>0</v>
      </c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ht="15.75" customHeight="1">
      <c r="A186" s="399">
        <v>42576</v>
      </c>
      <c r="B186" s="400">
        <v>-7.0483043793464484E-3</v>
      </c>
      <c r="C186" s="401">
        <f t="shared" si="0"/>
        <v>0.24324324324324326</v>
      </c>
      <c r="D186" s="402">
        <f t="shared" ref="D186:F186" si="204">ROUNDDOWN($C186*D$2,0) - IF(MOD($C186*D$2,1)=0,1,0) + 1</f>
        <v>1</v>
      </c>
      <c r="E186" s="402">
        <f t="shared" si="204"/>
        <v>1</v>
      </c>
      <c r="F186" s="402">
        <f t="shared" si="204"/>
        <v>1</v>
      </c>
      <c r="G186" s="401">
        <f t="shared" si="3"/>
        <v>0</v>
      </c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ht="15.75" customHeight="1">
      <c r="A187" s="399">
        <v>42577</v>
      </c>
      <c r="B187" s="400">
        <v>-5.4352969808412199E-3</v>
      </c>
      <c r="C187" s="401">
        <f t="shared" si="0"/>
        <v>0.28537360890302066</v>
      </c>
      <c r="D187" s="402">
        <f t="shared" ref="D187:F187" si="205">ROUNDDOWN($C187*D$2,0) - IF(MOD($C187*D$2,1)=0,1,0) + 1</f>
        <v>1</v>
      </c>
      <c r="E187" s="402">
        <f t="shared" si="205"/>
        <v>1</v>
      </c>
      <c r="F187" s="402">
        <f t="shared" si="205"/>
        <v>2</v>
      </c>
      <c r="G187" s="401">
        <f t="shared" si="3"/>
        <v>-5.4352969808412199E-3</v>
      </c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ht="15.75" customHeight="1">
      <c r="A188" s="399">
        <v>42578</v>
      </c>
      <c r="B188" s="400">
        <v>1.4682091926208063E-3</v>
      </c>
      <c r="C188" s="401">
        <f t="shared" si="0"/>
        <v>0.50317965023847377</v>
      </c>
      <c r="D188" s="402">
        <f t="shared" ref="D188:F188" si="206">ROUNDDOWN($C188*D$2,0) - IF(MOD($C188*D$2,1)=0,1,0) + 1</f>
        <v>2</v>
      </c>
      <c r="E188" s="402">
        <f t="shared" si="206"/>
        <v>2</v>
      </c>
      <c r="F188" s="402">
        <f t="shared" si="206"/>
        <v>3</v>
      </c>
      <c r="G188" s="401">
        <f t="shared" si="3"/>
        <v>0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ht="15.75" customHeight="1">
      <c r="A189" s="399">
        <v>42579</v>
      </c>
      <c r="B189" s="400">
        <v>2.1637911140673705E-2</v>
      </c>
      <c r="C189" s="401">
        <f t="shared" si="0"/>
        <v>0.90937996820349765</v>
      </c>
      <c r="D189" s="402">
        <f t="shared" ref="D189:F189" si="207">ROUNDDOWN($C189*D$2,0) - IF(MOD($C189*D$2,1)=0,1,0) + 1</f>
        <v>2</v>
      </c>
      <c r="E189" s="402">
        <f t="shared" si="207"/>
        <v>3</v>
      </c>
      <c r="F189" s="402">
        <f t="shared" si="207"/>
        <v>4</v>
      </c>
      <c r="G189" s="401">
        <f t="shared" si="3"/>
        <v>0</v>
      </c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ht="15.75" customHeight="1">
      <c r="A190" s="399">
        <v>42580</v>
      </c>
      <c r="B190" s="400">
        <v>8.2379984321228061E-3</v>
      </c>
      <c r="C190" s="401">
        <f t="shared" si="0"/>
        <v>0.69713831478537358</v>
      </c>
      <c r="D190" s="402">
        <f t="shared" ref="D190:F190" si="208">ROUNDDOWN($C190*D$2,0) - IF(MOD($C190*D$2,1)=0,1,0) + 1</f>
        <v>2</v>
      </c>
      <c r="E190" s="402">
        <f t="shared" si="208"/>
        <v>3</v>
      </c>
      <c r="F190" s="402">
        <f t="shared" si="208"/>
        <v>3</v>
      </c>
      <c r="G190" s="401">
        <f t="shared" si="3"/>
        <v>0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ht="15.75" customHeight="1">
      <c r="A191" s="399">
        <v>42583</v>
      </c>
      <c r="B191" s="400">
        <v>1.1768426878928873E-2</v>
      </c>
      <c r="C191" s="401">
        <f t="shared" si="0"/>
        <v>0.77980922098569161</v>
      </c>
      <c r="D191" s="402">
        <f t="shared" ref="D191:F191" si="209">ROUNDDOWN($C191*D$2,0) - IF(MOD($C191*D$2,1)=0,1,0) + 1</f>
        <v>2</v>
      </c>
      <c r="E191" s="402">
        <f t="shared" si="209"/>
        <v>3</v>
      </c>
      <c r="F191" s="402">
        <f t="shared" si="209"/>
        <v>4</v>
      </c>
      <c r="G191" s="401">
        <f t="shared" si="3"/>
        <v>0</v>
      </c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ht="15.75" customHeight="1">
      <c r="A192" s="399">
        <v>42584</v>
      </c>
      <c r="B192" s="400">
        <v>-9.3260739312788221E-3</v>
      </c>
      <c r="C192" s="401">
        <f t="shared" si="0"/>
        <v>0.19793322734499205</v>
      </c>
      <c r="D192" s="402">
        <f t="shared" ref="D192:F192" si="210">ROUNDDOWN($C192*D$2,0) - IF(MOD($C192*D$2,1)=0,1,0) + 1</f>
        <v>1</v>
      </c>
      <c r="E192" s="402">
        <f t="shared" si="210"/>
        <v>1</v>
      </c>
      <c r="F192" s="402">
        <f t="shared" si="210"/>
        <v>1</v>
      </c>
      <c r="G192" s="401">
        <f t="shared" si="3"/>
        <v>0</v>
      </c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ht="15.75" customHeight="1">
      <c r="A193" s="399">
        <v>42585</v>
      </c>
      <c r="B193" s="400">
        <v>-7.8098293407663499E-3</v>
      </c>
      <c r="C193" s="401">
        <f t="shared" si="0"/>
        <v>0.22496025437201908</v>
      </c>
      <c r="D193" s="402">
        <f t="shared" ref="D193:F193" si="211">ROUNDDOWN($C193*D$2,0) - IF(MOD($C193*D$2,1)=0,1,0) + 1</f>
        <v>1</v>
      </c>
      <c r="E193" s="402">
        <f t="shared" si="211"/>
        <v>1</v>
      </c>
      <c r="F193" s="402">
        <f t="shared" si="211"/>
        <v>1</v>
      </c>
      <c r="G193" s="401">
        <f t="shared" si="3"/>
        <v>-7.8098293407663499E-3</v>
      </c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ht="15.75" customHeight="1">
      <c r="A194" s="399">
        <v>42586</v>
      </c>
      <c r="B194" s="400">
        <v>8.1230785540125083E-3</v>
      </c>
      <c r="C194" s="401">
        <f t="shared" si="0"/>
        <v>0.69077901430842603</v>
      </c>
      <c r="D194" s="402">
        <f t="shared" ref="D194:F194" si="212">ROUNDDOWN($C194*D$2,0) - IF(MOD($C194*D$2,1)=0,1,0) + 1</f>
        <v>2</v>
      </c>
      <c r="E194" s="402">
        <f t="shared" si="212"/>
        <v>3</v>
      </c>
      <c r="F194" s="402">
        <f t="shared" si="212"/>
        <v>3</v>
      </c>
      <c r="G194" s="401">
        <f t="shared" si="3"/>
        <v>8.1230785540125083E-3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ht="15.75" customHeight="1">
      <c r="A195" s="399">
        <v>42587</v>
      </c>
      <c r="B195" s="400">
        <v>6.8483247236352796E-3</v>
      </c>
      <c r="C195" s="401">
        <f t="shared" si="0"/>
        <v>0.66136724960254367</v>
      </c>
      <c r="D195" s="402">
        <f t="shared" ref="D195:F195" si="213">ROUNDDOWN($C195*D$2,0) - IF(MOD($C195*D$2,1)=0,1,0) + 1</f>
        <v>2</v>
      </c>
      <c r="E195" s="402">
        <f t="shared" si="213"/>
        <v>2</v>
      </c>
      <c r="F195" s="402">
        <f t="shared" si="213"/>
        <v>3</v>
      </c>
      <c r="G195" s="401">
        <f t="shared" si="3"/>
        <v>0</v>
      </c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ht="15.75" customHeight="1">
      <c r="A196" s="399">
        <v>42590</v>
      </c>
      <c r="B196" s="400">
        <v>7.5719992689093907E-4</v>
      </c>
      <c r="C196" s="401">
        <f t="shared" si="0"/>
        <v>0.47376788553259142</v>
      </c>
      <c r="D196" s="402">
        <f t="shared" ref="D196:F196" si="214">ROUNDDOWN($C196*D$2,0) - IF(MOD($C196*D$2,1)=0,1,0) + 1</f>
        <v>1</v>
      </c>
      <c r="E196" s="402">
        <f t="shared" si="214"/>
        <v>2</v>
      </c>
      <c r="F196" s="402">
        <f t="shared" si="214"/>
        <v>2</v>
      </c>
      <c r="G196" s="401">
        <f t="shared" si="3"/>
        <v>0</v>
      </c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ht="15.75" customHeight="1">
      <c r="A197" s="399">
        <v>42591</v>
      </c>
      <c r="B197" s="400">
        <v>2.2829263201837868E-3</v>
      </c>
      <c r="C197" s="401">
        <f t="shared" si="0"/>
        <v>0.53259141494435613</v>
      </c>
      <c r="D197" s="402">
        <f t="shared" ref="D197:F197" si="215">ROUNDDOWN($C197*D$2,0) - IF(MOD($C197*D$2,1)=0,1,0) + 1</f>
        <v>2</v>
      </c>
      <c r="E197" s="402">
        <f t="shared" si="215"/>
        <v>2</v>
      </c>
      <c r="F197" s="402">
        <f t="shared" si="215"/>
        <v>3</v>
      </c>
      <c r="G197" s="401">
        <f t="shared" si="3"/>
        <v>0</v>
      </c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ht="15.75" customHeight="1">
      <c r="A198" s="399">
        <v>42592</v>
      </c>
      <c r="B198" s="400">
        <v>3.2538949122096206E-4</v>
      </c>
      <c r="C198" s="401">
        <f t="shared" si="0"/>
        <v>0.46025437201907793</v>
      </c>
      <c r="D198" s="402">
        <f t="shared" ref="D198:F198" si="216">ROUNDDOWN($C198*D$2,0) - IF(MOD($C198*D$2,1)=0,1,0) + 1</f>
        <v>1</v>
      </c>
      <c r="E198" s="402">
        <f t="shared" si="216"/>
        <v>2</v>
      </c>
      <c r="F198" s="402">
        <f t="shared" si="216"/>
        <v>2</v>
      </c>
      <c r="G198" s="401">
        <f t="shared" si="3"/>
        <v>0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ht="15.75" customHeight="1">
      <c r="A199" s="399">
        <v>42593</v>
      </c>
      <c r="B199" s="400">
        <v>3.4870406994900183E-3</v>
      </c>
      <c r="C199" s="401">
        <f t="shared" si="0"/>
        <v>0.56438791732909377</v>
      </c>
      <c r="D199" s="402">
        <f t="shared" ref="D199:F199" si="217">ROUNDDOWN($C199*D$2,0) - IF(MOD($C199*D$2,1)=0,1,0) + 1</f>
        <v>2</v>
      </c>
      <c r="E199" s="402">
        <f t="shared" si="217"/>
        <v>2</v>
      </c>
      <c r="F199" s="402">
        <f t="shared" si="217"/>
        <v>3</v>
      </c>
      <c r="G199" s="401">
        <f t="shared" si="3"/>
        <v>0</v>
      </c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ht="15.75" customHeight="1">
      <c r="A200" s="399">
        <v>42594</v>
      </c>
      <c r="B200" s="400">
        <v>1.7115294849852081E-3</v>
      </c>
      <c r="C200" s="401">
        <f t="shared" si="0"/>
        <v>0.51033386327503971</v>
      </c>
      <c r="D200" s="402">
        <f t="shared" ref="D200:F200" si="218">ROUNDDOWN($C200*D$2,0) - IF(MOD($C200*D$2,1)=0,1,0) + 1</f>
        <v>2</v>
      </c>
      <c r="E200" s="402">
        <f t="shared" si="218"/>
        <v>2</v>
      </c>
      <c r="F200" s="402">
        <f t="shared" si="218"/>
        <v>3</v>
      </c>
      <c r="G200" s="401">
        <f t="shared" si="3"/>
        <v>0</v>
      </c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ht="15.75" customHeight="1">
      <c r="A201" s="399">
        <v>42597</v>
      </c>
      <c r="B201" s="400">
        <v>-5.268199233716353E-3</v>
      </c>
      <c r="C201" s="401">
        <f t="shared" si="0"/>
        <v>0.28855325914149443</v>
      </c>
      <c r="D201" s="402">
        <f t="shared" ref="D201:F201" si="219">ROUNDDOWN($C201*D$2,0) - IF(MOD($C201*D$2,1)=0,1,0) + 1</f>
        <v>1</v>
      </c>
      <c r="E201" s="402">
        <f t="shared" si="219"/>
        <v>1</v>
      </c>
      <c r="F201" s="402">
        <f t="shared" si="219"/>
        <v>2</v>
      </c>
      <c r="G201" s="401">
        <f t="shared" si="3"/>
        <v>0</v>
      </c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ht="15.75" customHeight="1">
      <c r="A202" s="399">
        <v>42598</v>
      </c>
      <c r="B202" s="400">
        <v>-5.7905763250010178E-3</v>
      </c>
      <c r="C202" s="401">
        <f t="shared" si="0"/>
        <v>0.2742448330683625</v>
      </c>
      <c r="D202" s="402">
        <f t="shared" ref="D202:F202" si="220">ROUNDDOWN($C202*D$2,0) - IF(MOD($C202*D$2,1)=0,1,0) + 1</f>
        <v>1</v>
      </c>
      <c r="E202" s="402">
        <f t="shared" si="220"/>
        <v>1</v>
      </c>
      <c r="F202" s="402">
        <f t="shared" si="220"/>
        <v>2</v>
      </c>
      <c r="G202" s="401">
        <f t="shared" si="3"/>
        <v>0</v>
      </c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ht="15.75" customHeight="1">
      <c r="A203" s="399">
        <v>42599</v>
      </c>
      <c r="B203" s="400">
        <v>7.7221087901158114E-4</v>
      </c>
      <c r="C203" s="401">
        <f t="shared" si="0"/>
        <v>0.47456279809220986</v>
      </c>
      <c r="D203" s="402">
        <f t="shared" ref="D203:F203" si="221">ROUNDDOWN($C203*D$2,0) - IF(MOD($C203*D$2,1)=0,1,0) + 1</f>
        <v>1</v>
      </c>
      <c r="E203" s="402">
        <f t="shared" si="221"/>
        <v>2</v>
      </c>
      <c r="F203" s="402">
        <f t="shared" si="221"/>
        <v>2</v>
      </c>
      <c r="G203" s="401">
        <f t="shared" si="3"/>
        <v>0</v>
      </c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ht="15.75" customHeight="1">
      <c r="A204" s="399">
        <v>42600</v>
      </c>
      <c r="B204" s="400">
        <v>-2.2232975426017543E-4</v>
      </c>
      <c r="C204" s="401">
        <f t="shared" si="0"/>
        <v>0.43481717011128773</v>
      </c>
      <c r="D204" s="402">
        <f t="shared" ref="D204:F204" si="222">ROUNDDOWN($C204*D$2,0) - IF(MOD($C204*D$2,1)=0,1,0) + 1</f>
        <v>1</v>
      </c>
      <c r="E204" s="402">
        <f t="shared" si="222"/>
        <v>2</v>
      </c>
      <c r="F204" s="402">
        <f t="shared" si="222"/>
        <v>2</v>
      </c>
      <c r="G204" s="401">
        <f t="shared" si="3"/>
        <v>0</v>
      </c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ht="15.75" customHeight="1">
      <c r="A205" s="399">
        <v>42601</v>
      </c>
      <c r="B205" s="400">
        <v>-9.3530073515947221E-3</v>
      </c>
      <c r="C205" s="401">
        <f t="shared" si="0"/>
        <v>0.19634340222575516</v>
      </c>
      <c r="D205" s="402">
        <f t="shared" ref="D205:F205" si="223">ROUNDDOWN($C205*D$2,0) - IF(MOD($C205*D$2,1)=0,1,0) + 1</f>
        <v>1</v>
      </c>
      <c r="E205" s="402">
        <f t="shared" si="223"/>
        <v>1</v>
      </c>
      <c r="F205" s="402">
        <f t="shared" si="223"/>
        <v>1</v>
      </c>
      <c r="G205" s="401">
        <f t="shared" si="3"/>
        <v>0</v>
      </c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ht="15.75" customHeight="1">
      <c r="A206" s="399">
        <v>42604</v>
      </c>
      <c r="B206" s="400">
        <v>2.8654051841388029E-3</v>
      </c>
      <c r="C206" s="401">
        <f t="shared" si="0"/>
        <v>0.54769475357710651</v>
      </c>
      <c r="D206" s="402">
        <f t="shared" ref="D206:F206" si="224">ROUNDDOWN($C206*D$2,0) - IF(MOD($C206*D$2,1)=0,1,0) + 1</f>
        <v>2</v>
      </c>
      <c r="E206" s="402">
        <f t="shared" si="224"/>
        <v>2</v>
      </c>
      <c r="F206" s="402">
        <f t="shared" si="224"/>
        <v>3</v>
      </c>
      <c r="G206" s="401">
        <f t="shared" si="3"/>
        <v>2.8654051841388029E-3</v>
      </c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ht="15.75" customHeight="1">
      <c r="A207" s="399">
        <v>42605</v>
      </c>
      <c r="B207" s="400">
        <v>3.9105703902670985E-3</v>
      </c>
      <c r="C207" s="401">
        <f t="shared" si="0"/>
        <v>0.57154213036565982</v>
      </c>
      <c r="D207" s="402">
        <f t="shared" ref="D207:F207" si="225">ROUNDDOWN($C207*D$2,0) - IF(MOD($C207*D$2,1)=0,1,0) + 1</f>
        <v>2</v>
      </c>
      <c r="E207" s="402">
        <f t="shared" si="225"/>
        <v>2</v>
      </c>
      <c r="F207" s="402">
        <f t="shared" si="225"/>
        <v>3</v>
      </c>
      <c r="G207" s="401">
        <f t="shared" si="3"/>
        <v>0</v>
      </c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ht="15.75" customHeight="1">
      <c r="A208" s="399">
        <v>42606</v>
      </c>
      <c r="B208" s="400">
        <v>-6.8201193520887049E-3</v>
      </c>
      <c r="C208" s="401">
        <f t="shared" si="0"/>
        <v>0.24721780604133545</v>
      </c>
      <c r="D208" s="402">
        <f t="shared" ref="D208:F208" si="226">ROUNDDOWN($C208*D$2,0) - IF(MOD($C208*D$2,1)=0,1,0) + 1</f>
        <v>1</v>
      </c>
      <c r="E208" s="402">
        <f t="shared" si="226"/>
        <v>1</v>
      </c>
      <c r="F208" s="402">
        <f t="shared" si="226"/>
        <v>1</v>
      </c>
      <c r="G208" s="401">
        <f t="shared" si="3"/>
        <v>0</v>
      </c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ht="15.75" customHeight="1">
      <c r="A209" s="399">
        <v>42607</v>
      </c>
      <c r="B209" s="400">
        <v>2.601518653020829E-3</v>
      </c>
      <c r="C209" s="401">
        <f t="shared" si="0"/>
        <v>0.54213036565977746</v>
      </c>
      <c r="D209" s="402">
        <f t="shared" ref="D209:F209" si="227">ROUNDDOWN($C209*D$2,0) - IF(MOD($C209*D$2,1)=0,1,0) + 1</f>
        <v>2</v>
      </c>
      <c r="E209" s="402">
        <f t="shared" si="227"/>
        <v>2</v>
      </c>
      <c r="F209" s="402">
        <f t="shared" si="227"/>
        <v>3</v>
      </c>
      <c r="G209" s="401">
        <f t="shared" si="3"/>
        <v>2.601518653020829E-3</v>
      </c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ht="15.75" customHeight="1">
      <c r="A210" s="399">
        <v>42608</v>
      </c>
      <c r="B210" s="400">
        <v>1.2881641684887146E-2</v>
      </c>
      <c r="C210" s="401">
        <f t="shared" si="0"/>
        <v>0.80127186009538953</v>
      </c>
      <c r="D210" s="402">
        <f t="shared" ref="D210:F210" si="228">ROUNDDOWN($C210*D$2,0) - IF(MOD($C210*D$2,1)=0,1,0) + 1</f>
        <v>2</v>
      </c>
      <c r="E210" s="402">
        <f t="shared" si="228"/>
        <v>3</v>
      </c>
      <c r="F210" s="402">
        <f t="shared" si="228"/>
        <v>4</v>
      </c>
      <c r="G210" s="401">
        <f t="shared" si="3"/>
        <v>0</v>
      </c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ht="15.75" customHeight="1">
      <c r="A211" s="399">
        <v>42611</v>
      </c>
      <c r="B211" s="400">
        <v>2.9778933680104647E-3</v>
      </c>
      <c r="C211" s="401">
        <f t="shared" si="0"/>
        <v>0.55087440381558028</v>
      </c>
      <c r="D211" s="402">
        <f t="shared" ref="D211:F211" si="229">ROUNDDOWN($C211*D$2,0) - IF(MOD($C211*D$2,1)=0,1,0) + 1</f>
        <v>2</v>
      </c>
      <c r="E211" s="402">
        <f t="shared" si="229"/>
        <v>2</v>
      </c>
      <c r="F211" s="402">
        <f t="shared" si="229"/>
        <v>3</v>
      </c>
      <c r="G211" s="401">
        <f t="shared" si="3"/>
        <v>0</v>
      </c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ht="15.75" customHeight="1">
      <c r="A212" s="399">
        <v>42612</v>
      </c>
      <c r="B212" s="400">
        <v>-4.8101232999260279E-3</v>
      </c>
      <c r="C212" s="401">
        <f t="shared" si="0"/>
        <v>0.30047694753577109</v>
      </c>
      <c r="D212" s="402">
        <f t="shared" ref="D212:F212" si="230">ROUNDDOWN($C212*D$2,0) - IF(MOD($C212*D$2,1)=0,1,0) + 1</f>
        <v>1</v>
      </c>
      <c r="E212" s="402">
        <f t="shared" si="230"/>
        <v>1</v>
      </c>
      <c r="F212" s="402">
        <f t="shared" si="230"/>
        <v>2</v>
      </c>
      <c r="G212" s="401">
        <f t="shared" si="3"/>
        <v>0</v>
      </c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ht="15.75" customHeight="1">
      <c r="A213" s="399">
        <v>42613</v>
      </c>
      <c r="B213" s="400">
        <v>2.0584173636624126E-3</v>
      </c>
      <c r="C213" s="401">
        <f t="shared" si="0"/>
        <v>0.52623211446740858</v>
      </c>
      <c r="D213" s="402">
        <f t="shared" ref="D213:F213" si="231">ROUNDDOWN($C213*D$2,0) - IF(MOD($C213*D$2,1)=0,1,0) + 1</f>
        <v>2</v>
      </c>
      <c r="E213" s="402">
        <f t="shared" si="231"/>
        <v>2</v>
      </c>
      <c r="F213" s="402">
        <f t="shared" si="231"/>
        <v>3</v>
      </c>
      <c r="G213" s="401">
        <f t="shared" si="3"/>
        <v>0</v>
      </c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ht="15.75" customHeight="1">
      <c r="A214" s="399">
        <v>42614</v>
      </c>
      <c r="B214" s="400">
        <v>1.8981746320660964E-3</v>
      </c>
      <c r="C214" s="401">
        <f t="shared" si="0"/>
        <v>0.51748807631160576</v>
      </c>
      <c r="D214" s="402">
        <f t="shared" ref="D214:F214" si="232">ROUNDDOWN($C214*D$2,0) - IF(MOD($C214*D$2,1)=0,1,0) + 1</f>
        <v>2</v>
      </c>
      <c r="E214" s="402">
        <f t="shared" si="232"/>
        <v>2</v>
      </c>
      <c r="F214" s="402">
        <f t="shared" si="232"/>
        <v>3</v>
      </c>
      <c r="G214" s="401">
        <f t="shared" si="3"/>
        <v>0</v>
      </c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ht="15.75" customHeight="1">
      <c r="A215" s="399">
        <v>42615</v>
      </c>
      <c r="B215" s="400">
        <v>2.3617347071189787E-3</v>
      </c>
      <c r="C215" s="401">
        <f t="shared" si="0"/>
        <v>0.53497615262321141</v>
      </c>
      <c r="D215" s="402">
        <f t="shared" ref="D215:F215" si="233">ROUNDDOWN($C215*D$2,0) - IF(MOD($C215*D$2,1)=0,1,0) + 1</f>
        <v>2</v>
      </c>
      <c r="E215" s="402">
        <f t="shared" si="233"/>
        <v>2</v>
      </c>
      <c r="F215" s="402">
        <f t="shared" si="233"/>
        <v>3</v>
      </c>
      <c r="G215" s="401">
        <f t="shared" si="3"/>
        <v>0</v>
      </c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ht="15.75" customHeight="1">
      <c r="A216" s="399">
        <v>42619</v>
      </c>
      <c r="B216" s="400">
        <v>2.1270260473305269E-2</v>
      </c>
      <c r="C216" s="401">
        <f t="shared" si="0"/>
        <v>0.90620031796502387</v>
      </c>
      <c r="D216" s="402">
        <f t="shared" ref="D216:F216" si="234">ROUNDDOWN($C216*D$2,0) - IF(MOD($C216*D$2,1)=0,1,0) + 1</f>
        <v>2</v>
      </c>
      <c r="E216" s="402">
        <f t="shared" si="234"/>
        <v>3</v>
      </c>
      <c r="F216" s="402">
        <f t="shared" si="234"/>
        <v>4</v>
      </c>
      <c r="G216" s="401">
        <f t="shared" si="3"/>
        <v>0</v>
      </c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ht="15.75" customHeight="1">
      <c r="A217" s="399">
        <v>42620</v>
      </c>
      <c r="B217" s="400">
        <v>-5.5649219770050884E-3</v>
      </c>
      <c r="C217" s="401">
        <f t="shared" si="0"/>
        <v>0.27901430842607311</v>
      </c>
      <c r="D217" s="402">
        <f t="shared" ref="D217:F217" si="235">ROUNDDOWN($C217*D$2,0) - IF(MOD($C217*D$2,1)=0,1,0) + 1</f>
        <v>1</v>
      </c>
      <c r="E217" s="402">
        <f t="shared" si="235"/>
        <v>1</v>
      </c>
      <c r="F217" s="402">
        <f t="shared" si="235"/>
        <v>2</v>
      </c>
      <c r="G217" s="401">
        <f t="shared" si="3"/>
        <v>0</v>
      </c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ht="15.75" customHeight="1">
      <c r="A218" s="399">
        <v>42621</v>
      </c>
      <c r="B218" s="400">
        <v>-5.3538649806250671E-4</v>
      </c>
      <c r="C218" s="401">
        <f t="shared" si="0"/>
        <v>0.42766295707472179</v>
      </c>
      <c r="D218" s="402">
        <f t="shared" ref="D218:F218" si="236">ROUNDDOWN($C218*D$2,0) - IF(MOD($C218*D$2,1)=0,1,0) + 1</f>
        <v>1</v>
      </c>
      <c r="E218" s="402">
        <f t="shared" si="236"/>
        <v>2</v>
      </c>
      <c r="F218" s="402">
        <f t="shared" si="236"/>
        <v>2</v>
      </c>
      <c r="G218" s="401">
        <f t="shared" si="3"/>
        <v>0</v>
      </c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ht="15.75" customHeight="1">
      <c r="A219" s="399">
        <v>42622</v>
      </c>
      <c r="B219" s="400">
        <v>-3.0507869295717138E-2</v>
      </c>
      <c r="C219" s="401">
        <f t="shared" si="0"/>
        <v>4.7694753577106522E-2</v>
      </c>
      <c r="D219" s="402">
        <f t="shared" ref="D219:F219" si="237">ROUNDDOWN($C219*D$2,0) - IF(MOD($C219*D$2,1)=0,1,0) + 1</f>
        <v>1</v>
      </c>
      <c r="E219" s="402">
        <f t="shared" si="237"/>
        <v>1</v>
      </c>
      <c r="F219" s="402">
        <f t="shared" si="237"/>
        <v>1</v>
      </c>
      <c r="G219" s="401">
        <f t="shared" si="3"/>
        <v>0</v>
      </c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ht="15.75" customHeight="1">
      <c r="A220" s="399">
        <v>42625</v>
      </c>
      <c r="B220" s="400">
        <v>1.4931459994211638E-2</v>
      </c>
      <c r="C220" s="401">
        <f t="shared" si="0"/>
        <v>0.84022257551669322</v>
      </c>
      <c r="D220" s="402">
        <f t="shared" ref="D220:F220" si="238">ROUNDDOWN($C220*D$2,0) - IF(MOD($C220*D$2,1)=0,1,0) + 1</f>
        <v>2</v>
      </c>
      <c r="E220" s="402">
        <f t="shared" si="238"/>
        <v>3</v>
      </c>
      <c r="F220" s="402">
        <f t="shared" si="238"/>
        <v>4</v>
      </c>
      <c r="G220" s="401">
        <f t="shared" si="3"/>
        <v>1.4931459994211638E-2</v>
      </c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ht="15.75" customHeight="1">
      <c r="A221" s="399">
        <v>42626</v>
      </c>
      <c r="B221" s="400">
        <v>-1.358410348805561E-2</v>
      </c>
      <c r="C221" s="401">
        <f t="shared" si="0"/>
        <v>0.14626391096979333</v>
      </c>
      <c r="D221" s="402">
        <f t="shared" ref="D221:F221" si="239">ROUNDDOWN($C221*D$2,0) - IF(MOD($C221*D$2,1)=0,1,0) + 1</f>
        <v>1</v>
      </c>
      <c r="E221" s="402">
        <f t="shared" si="239"/>
        <v>1</v>
      </c>
      <c r="F221" s="402">
        <f t="shared" si="239"/>
        <v>1</v>
      </c>
      <c r="G221" s="401">
        <f t="shared" si="3"/>
        <v>0</v>
      </c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ht="15.75" customHeight="1">
      <c r="A222" s="399">
        <v>42627</v>
      </c>
      <c r="B222" s="400">
        <v>1.0512345435675918E-4</v>
      </c>
      <c r="C222" s="401">
        <f t="shared" si="0"/>
        <v>0.4507154213036566</v>
      </c>
      <c r="D222" s="402">
        <f t="shared" ref="D222:F222" si="240">ROUNDDOWN($C222*D$2,0) - IF(MOD($C222*D$2,1)=0,1,0) + 1</f>
        <v>1</v>
      </c>
      <c r="E222" s="402">
        <f t="shared" si="240"/>
        <v>2</v>
      </c>
      <c r="F222" s="402">
        <f t="shared" si="240"/>
        <v>2</v>
      </c>
      <c r="G222" s="401">
        <f t="shared" si="3"/>
        <v>1.0512345435675918E-4</v>
      </c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ht="15.75" customHeight="1">
      <c r="A223" s="399">
        <v>42628</v>
      </c>
      <c r="B223" s="400">
        <v>1.129958349209681E-2</v>
      </c>
      <c r="C223" s="401">
        <f t="shared" si="0"/>
        <v>0.77027027027027029</v>
      </c>
      <c r="D223" s="402">
        <f t="shared" ref="D223:F223" si="241">ROUNDDOWN($C223*D$2,0) - IF(MOD($C223*D$2,1)=0,1,0) + 1</f>
        <v>2</v>
      </c>
      <c r="E223" s="402">
        <f t="shared" si="241"/>
        <v>3</v>
      </c>
      <c r="F223" s="402">
        <f t="shared" si="241"/>
        <v>4</v>
      </c>
      <c r="G223" s="401">
        <f t="shared" si="3"/>
        <v>0</v>
      </c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ht="15.75" customHeight="1">
      <c r="A224" s="399">
        <v>42629</v>
      </c>
      <c r="B224" s="400">
        <v>1.1472151125777819E-2</v>
      </c>
      <c r="C224" s="401">
        <f t="shared" si="0"/>
        <v>0.77344992050874406</v>
      </c>
      <c r="D224" s="402">
        <f t="shared" ref="D224:F224" si="242">ROUNDDOWN($C224*D$2,0) - IF(MOD($C224*D$2,1)=0,1,0) + 1</f>
        <v>2</v>
      </c>
      <c r="E224" s="402">
        <f t="shared" si="242"/>
        <v>3</v>
      </c>
      <c r="F224" s="402">
        <f t="shared" si="242"/>
        <v>4</v>
      </c>
      <c r="G224" s="401">
        <f t="shared" si="3"/>
        <v>0</v>
      </c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ht="15.75" customHeight="1">
      <c r="A225" s="399">
        <v>42632</v>
      </c>
      <c r="B225" s="400">
        <v>-4.3929507270203949E-3</v>
      </c>
      <c r="C225" s="401">
        <f t="shared" si="0"/>
        <v>0.31558028616852146</v>
      </c>
      <c r="D225" s="402">
        <f t="shared" ref="D225:F225" si="243">ROUNDDOWN($C225*D$2,0) - IF(MOD($C225*D$2,1)=0,1,0) + 1</f>
        <v>1</v>
      </c>
      <c r="E225" s="402">
        <f t="shared" si="243"/>
        <v>1</v>
      </c>
      <c r="F225" s="402">
        <f t="shared" si="243"/>
        <v>2</v>
      </c>
      <c r="G225" s="401">
        <f t="shared" si="3"/>
        <v>0</v>
      </c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ht="15.75" customHeight="1">
      <c r="A226" s="399">
        <v>42633</v>
      </c>
      <c r="B226" s="400">
        <v>6.605599277512475E-3</v>
      </c>
      <c r="C226" s="401">
        <f t="shared" si="0"/>
        <v>0.65103338632750396</v>
      </c>
      <c r="D226" s="402">
        <f t="shared" ref="D226:F226" si="244">ROUNDDOWN($C226*D$2,0) - IF(MOD($C226*D$2,1)=0,1,0) + 1</f>
        <v>2</v>
      </c>
      <c r="E226" s="402">
        <f t="shared" si="244"/>
        <v>2</v>
      </c>
      <c r="F226" s="402">
        <f t="shared" si="244"/>
        <v>3</v>
      </c>
      <c r="G226" s="401">
        <f t="shared" si="3"/>
        <v>0</v>
      </c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ht="15.75" customHeight="1">
      <c r="A227" s="399">
        <v>42634</v>
      </c>
      <c r="B227" s="400">
        <v>1.2201686703750214E-2</v>
      </c>
      <c r="C227" s="401">
        <f t="shared" si="0"/>
        <v>0.78616852146263916</v>
      </c>
      <c r="D227" s="402">
        <f t="shared" ref="D227:F227" si="245">ROUNDDOWN($C227*D$2,0) - IF(MOD($C227*D$2,1)=0,1,0) + 1</f>
        <v>2</v>
      </c>
      <c r="E227" s="402">
        <f t="shared" si="245"/>
        <v>3</v>
      </c>
      <c r="F227" s="402">
        <f t="shared" si="245"/>
        <v>4</v>
      </c>
      <c r="G227" s="401">
        <f t="shared" si="3"/>
        <v>0</v>
      </c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ht="15.75" customHeight="1">
      <c r="A228" s="399">
        <v>42635</v>
      </c>
      <c r="B228" s="400">
        <v>1.8942943247144628E-2</v>
      </c>
      <c r="C228" s="401">
        <f t="shared" si="0"/>
        <v>0.88950715421303661</v>
      </c>
      <c r="D228" s="402">
        <f t="shared" ref="D228:F228" si="246">ROUNDDOWN($C228*D$2,0) - IF(MOD($C228*D$2,1)=0,1,0) + 1</f>
        <v>2</v>
      </c>
      <c r="E228" s="402">
        <f t="shared" si="246"/>
        <v>3</v>
      </c>
      <c r="F228" s="402">
        <f t="shared" si="246"/>
        <v>4</v>
      </c>
      <c r="G228" s="401">
        <f t="shared" si="3"/>
        <v>0</v>
      </c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ht="15.75" customHeight="1">
      <c r="A229" s="399">
        <v>42636</v>
      </c>
      <c r="B229" s="400">
        <v>1.3048340996644203E-3</v>
      </c>
      <c r="C229" s="401">
        <f t="shared" si="0"/>
        <v>0.49364069952305245</v>
      </c>
      <c r="D229" s="402">
        <f t="shared" ref="D229:F229" si="247">ROUNDDOWN($C229*D$2,0) - IF(MOD($C229*D$2,1)=0,1,0) + 1</f>
        <v>1</v>
      </c>
      <c r="E229" s="402">
        <f t="shared" si="247"/>
        <v>2</v>
      </c>
      <c r="F229" s="402">
        <f t="shared" si="247"/>
        <v>2</v>
      </c>
      <c r="G229" s="401">
        <f t="shared" si="3"/>
        <v>0</v>
      </c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ht="15.75" customHeight="1">
      <c r="A230" s="399">
        <v>42639</v>
      </c>
      <c r="B230" s="400">
        <v>-8.1787154824697339E-3</v>
      </c>
      <c r="C230" s="401">
        <f t="shared" si="0"/>
        <v>0.21621621621621623</v>
      </c>
      <c r="D230" s="402">
        <f t="shared" ref="D230:F230" si="248">ROUNDDOWN($C230*D$2,0) - IF(MOD($C230*D$2,1)=0,1,0) + 1</f>
        <v>1</v>
      </c>
      <c r="E230" s="402">
        <f t="shared" si="248"/>
        <v>1</v>
      </c>
      <c r="F230" s="402">
        <f t="shared" si="248"/>
        <v>1</v>
      </c>
      <c r="G230" s="401">
        <f t="shared" si="3"/>
        <v>0</v>
      </c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ht="15.75" customHeight="1">
      <c r="A231" s="399">
        <v>42640</v>
      </c>
      <c r="B231" s="400">
        <v>2.1209770258771687E-2</v>
      </c>
      <c r="C231" s="401">
        <f t="shared" si="0"/>
        <v>0.90540540540540537</v>
      </c>
      <c r="D231" s="402">
        <f t="shared" ref="D231:F231" si="249">ROUNDDOWN($C231*D$2,0) - IF(MOD($C231*D$2,1)=0,1,0) + 1</f>
        <v>2</v>
      </c>
      <c r="E231" s="402">
        <f t="shared" si="249"/>
        <v>3</v>
      </c>
      <c r="F231" s="402">
        <f t="shared" si="249"/>
        <v>4</v>
      </c>
      <c r="G231" s="401">
        <f t="shared" si="3"/>
        <v>2.1209770258771687E-2</v>
      </c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ht="15.75" customHeight="1">
      <c r="A232" s="399">
        <v>42641</v>
      </c>
      <c r="B232" s="400">
        <v>1.5451348470181703E-2</v>
      </c>
      <c r="C232" s="401">
        <f t="shared" si="0"/>
        <v>0.84817170111287754</v>
      </c>
      <c r="D232" s="402">
        <f t="shared" ref="D232:F232" si="250">ROUNDDOWN($C232*D$2,0) - IF(MOD($C232*D$2,1)=0,1,0) + 1</f>
        <v>2</v>
      </c>
      <c r="E232" s="402">
        <f t="shared" si="250"/>
        <v>3</v>
      </c>
      <c r="F232" s="402">
        <f t="shared" si="250"/>
        <v>4</v>
      </c>
      <c r="G232" s="401">
        <f t="shared" si="3"/>
        <v>0</v>
      </c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ht="15.75" customHeight="1">
      <c r="A233" s="399">
        <v>42642</v>
      </c>
      <c r="B233" s="400">
        <v>3.9820445988980602E-4</v>
      </c>
      <c r="C233" s="401">
        <f t="shared" si="0"/>
        <v>0.46184419713831476</v>
      </c>
      <c r="D233" s="402">
        <f t="shared" ref="D233:F233" si="251">ROUNDDOWN($C233*D$2,0) - IF(MOD($C233*D$2,1)=0,1,0) + 1</f>
        <v>1</v>
      </c>
      <c r="E233" s="402">
        <f t="shared" si="251"/>
        <v>2</v>
      </c>
      <c r="F233" s="402">
        <f t="shared" si="251"/>
        <v>2</v>
      </c>
      <c r="G233" s="401">
        <f t="shared" si="3"/>
        <v>0</v>
      </c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ht="15.75" customHeight="1">
      <c r="A234" s="399">
        <v>42643</v>
      </c>
      <c r="B234" s="400">
        <v>9.9632109040468375E-3</v>
      </c>
      <c r="C234" s="401">
        <f t="shared" si="0"/>
        <v>0.7440381558028617</v>
      </c>
      <c r="D234" s="402">
        <f t="shared" ref="D234:F234" si="252">ROUNDDOWN($C234*D$2,0) - IF(MOD($C234*D$2,1)=0,1,0) + 1</f>
        <v>2</v>
      </c>
      <c r="E234" s="402">
        <f t="shared" si="252"/>
        <v>3</v>
      </c>
      <c r="F234" s="402">
        <f t="shared" si="252"/>
        <v>3</v>
      </c>
      <c r="G234" s="401">
        <f t="shared" si="3"/>
        <v>0</v>
      </c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ht="15.75" customHeight="1">
      <c r="A235" s="399">
        <v>42646</v>
      </c>
      <c r="B235" s="400">
        <v>-6.8075145406110149E-4</v>
      </c>
      <c r="C235" s="401">
        <f t="shared" si="0"/>
        <v>0.42289348171701113</v>
      </c>
      <c r="D235" s="402">
        <f t="shared" ref="D235:F235" si="253">ROUNDDOWN($C235*D$2,0) - IF(MOD($C235*D$2,1)=0,1,0) + 1</f>
        <v>1</v>
      </c>
      <c r="E235" s="402">
        <f t="shared" si="253"/>
        <v>2</v>
      </c>
      <c r="F235" s="402">
        <f t="shared" si="253"/>
        <v>2</v>
      </c>
      <c r="G235" s="401">
        <f t="shared" si="3"/>
        <v>0</v>
      </c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ht="15.75" customHeight="1">
      <c r="A236" s="399">
        <v>42647</v>
      </c>
      <c r="B236" s="400">
        <v>-3.2387599493272079E-3</v>
      </c>
      <c r="C236" s="401">
        <f t="shared" si="0"/>
        <v>0.35453100158982515</v>
      </c>
      <c r="D236" s="402">
        <f t="shared" ref="D236:F236" si="254">ROUNDDOWN($C236*D$2,0) - IF(MOD($C236*D$2,1)=0,1,0) + 1</f>
        <v>1</v>
      </c>
      <c r="E236" s="402">
        <f t="shared" si="254"/>
        <v>2</v>
      </c>
      <c r="F236" s="402">
        <f t="shared" si="254"/>
        <v>2</v>
      </c>
      <c r="G236" s="401">
        <f t="shared" si="3"/>
        <v>0</v>
      </c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ht="15.75" customHeight="1">
      <c r="A237" s="399">
        <v>42648</v>
      </c>
      <c r="B237" s="400">
        <v>1.2385645600278217E-2</v>
      </c>
      <c r="C237" s="401">
        <f t="shared" si="0"/>
        <v>0.79411764705882348</v>
      </c>
      <c r="D237" s="402">
        <f t="shared" ref="D237:F237" si="255">ROUNDDOWN($C237*D$2,0) - IF(MOD($C237*D$2,1)=0,1,0) + 1</f>
        <v>2</v>
      </c>
      <c r="E237" s="402">
        <f t="shared" si="255"/>
        <v>3</v>
      </c>
      <c r="F237" s="402">
        <f t="shared" si="255"/>
        <v>4</v>
      </c>
      <c r="G237" s="401">
        <f t="shared" si="3"/>
        <v>0</v>
      </c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ht="15.75" customHeight="1">
      <c r="A238" s="399">
        <v>42649</v>
      </c>
      <c r="B238" s="400">
        <v>-3.1976881898716503E-3</v>
      </c>
      <c r="C238" s="401">
        <f t="shared" si="0"/>
        <v>0.35612082670906198</v>
      </c>
      <c r="D238" s="402">
        <f t="shared" ref="D238:F238" si="256">ROUNDDOWN($C238*D$2,0) - IF(MOD($C238*D$2,1)=0,1,0) + 1</f>
        <v>1</v>
      </c>
      <c r="E238" s="402">
        <f t="shared" si="256"/>
        <v>2</v>
      </c>
      <c r="F238" s="402">
        <f t="shared" si="256"/>
        <v>2</v>
      </c>
      <c r="G238" s="401">
        <f t="shared" si="3"/>
        <v>0</v>
      </c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ht="15.75" customHeight="1">
      <c r="A239" s="399">
        <v>42650</v>
      </c>
      <c r="B239" s="400">
        <v>-2.6495259368390922E-3</v>
      </c>
      <c r="C239" s="401">
        <f t="shared" si="0"/>
        <v>0.37042925278219396</v>
      </c>
      <c r="D239" s="402">
        <f t="shared" ref="D239:F239" si="257">ROUNDDOWN($C239*D$2,0) - IF(MOD($C239*D$2,1)=0,1,0) + 1</f>
        <v>1</v>
      </c>
      <c r="E239" s="402">
        <f t="shared" si="257"/>
        <v>2</v>
      </c>
      <c r="F239" s="402">
        <f t="shared" si="257"/>
        <v>2</v>
      </c>
      <c r="G239" s="401">
        <f t="shared" si="3"/>
        <v>0</v>
      </c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ht="15.75" customHeight="1">
      <c r="A240" s="399">
        <v>42653</v>
      </c>
      <c r="B240" s="400">
        <v>2.7161288016870344E-3</v>
      </c>
      <c r="C240" s="401">
        <f t="shared" si="0"/>
        <v>0.54610492845786962</v>
      </c>
      <c r="D240" s="402">
        <f t="shared" ref="D240:F240" si="258">ROUNDDOWN($C240*D$2,0) - IF(MOD($C240*D$2,1)=0,1,0) + 1</f>
        <v>2</v>
      </c>
      <c r="E240" s="402">
        <f t="shared" si="258"/>
        <v>2</v>
      </c>
      <c r="F240" s="402">
        <f t="shared" si="258"/>
        <v>3</v>
      </c>
      <c r="G240" s="401">
        <f t="shared" si="3"/>
        <v>0</v>
      </c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ht="15.75" customHeight="1">
      <c r="A241" s="399">
        <v>42654</v>
      </c>
      <c r="B241" s="400">
        <v>-1.2724097373204568E-2</v>
      </c>
      <c r="C241" s="401">
        <f t="shared" si="0"/>
        <v>0.15341812400635929</v>
      </c>
      <c r="D241" s="402">
        <f t="shared" ref="D241:F241" si="259">ROUNDDOWN($C241*D$2,0) - IF(MOD($C241*D$2,1)=0,1,0) + 1</f>
        <v>1</v>
      </c>
      <c r="E241" s="402">
        <f t="shared" si="259"/>
        <v>1</v>
      </c>
      <c r="F241" s="402">
        <f t="shared" si="259"/>
        <v>1</v>
      </c>
      <c r="G241" s="401">
        <f t="shared" si="3"/>
        <v>0</v>
      </c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ht="15.75" customHeight="1">
      <c r="A242" s="399">
        <v>42655</v>
      </c>
      <c r="B242" s="400">
        <v>3.7184115523465344E-3</v>
      </c>
      <c r="C242" s="401">
        <f t="shared" si="0"/>
        <v>0.56995230524642293</v>
      </c>
      <c r="D242" s="402">
        <f t="shared" ref="D242:F242" si="260">ROUNDDOWN($C242*D$2,0) - IF(MOD($C242*D$2,1)=0,1,0) + 1</f>
        <v>2</v>
      </c>
      <c r="E242" s="402">
        <f t="shared" si="260"/>
        <v>2</v>
      </c>
      <c r="F242" s="402">
        <f t="shared" si="260"/>
        <v>3</v>
      </c>
      <c r="G242" s="401">
        <f t="shared" si="3"/>
        <v>3.7184115523465344E-3</v>
      </c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ht="15.75" customHeight="1">
      <c r="A243" s="399">
        <v>42656</v>
      </c>
      <c r="B243" s="400">
        <v>-5.7667637784891701E-3</v>
      </c>
      <c r="C243" s="401">
        <f t="shared" si="0"/>
        <v>0.27503974562798095</v>
      </c>
      <c r="D243" s="402">
        <f t="shared" ref="D243:F243" si="261">ROUNDDOWN($C243*D$2,0) - IF(MOD($C243*D$2,1)=0,1,0) + 1</f>
        <v>1</v>
      </c>
      <c r="E243" s="402">
        <f t="shared" si="261"/>
        <v>1</v>
      </c>
      <c r="F243" s="402">
        <f t="shared" si="261"/>
        <v>2</v>
      </c>
      <c r="G243" s="401">
        <f t="shared" si="3"/>
        <v>0</v>
      </c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ht="15.75" customHeight="1">
      <c r="A244" s="399">
        <v>42657</v>
      </c>
      <c r="B244" s="400">
        <v>-7.6210688790274705E-3</v>
      </c>
      <c r="C244" s="401">
        <f t="shared" si="0"/>
        <v>0.22813990461049286</v>
      </c>
      <c r="D244" s="402">
        <f t="shared" ref="D244:F244" si="262">ROUNDDOWN($C244*D$2,0) - IF(MOD($C244*D$2,1)=0,1,0) + 1</f>
        <v>1</v>
      </c>
      <c r="E244" s="402">
        <f t="shared" si="262"/>
        <v>1</v>
      </c>
      <c r="F244" s="402">
        <f t="shared" si="262"/>
        <v>1</v>
      </c>
      <c r="G244" s="401">
        <f t="shared" si="3"/>
        <v>0</v>
      </c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ht="15.75" customHeight="1">
      <c r="A245" s="399">
        <v>42660</v>
      </c>
      <c r="B245" s="400">
        <v>-1.2163410129289343E-2</v>
      </c>
      <c r="C245" s="401">
        <f t="shared" si="0"/>
        <v>0.16295707472178061</v>
      </c>
      <c r="D245" s="402">
        <f t="shared" ref="D245:F245" si="263">ROUNDDOWN($C245*D$2,0) - IF(MOD($C245*D$2,1)=0,1,0) + 1</f>
        <v>1</v>
      </c>
      <c r="E245" s="402">
        <f t="shared" si="263"/>
        <v>1</v>
      </c>
      <c r="F245" s="402">
        <f t="shared" si="263"/>
        <v>1</v>
      </c>
      <c r="G245" s="401">
        <f t="shared" si="3"/>
        <v>-1.2163410129289343E-2</v>
      </c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ht="15.75" customHeight="1">
      <c r="A246" s="399">
        <v>42661</v>
      </c>
      <c r="B246" s="400">
        <v>5.7814133710558657E-3</v>
      </c>
      <c r="C246" s="401">
        <f t="shared" si="0"/>
        <v>0.62877583465818765</v>
      </c>
      <c r="D246" s="402">
        <f t="shared" ref="D246:F246" si="264">ROUNDDOWN($C246*D$2,0) - IF(MOD($C246*D$2,1)=0,1,0) + 1</f>
        <v>2</v>
      </c>
      <c r="E246" s="402">
        <f t="shared" si="264"/>
        <v>2</v>
      </c>
      <c r="F246" s="402">
        <f t="shared" si="264"/>
        <v>3</v>
      </c>
      <c r="G246" s="401">
        <f t="shared" si="3"/>
        <v>5.7814133710558657E-3</v>
      </c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ht="15.75" customHeight="1">
      <c r="A247" s="399">
        <v>42662</v>
      </c>
      <c r="B247" s="400">
        <v>4.8920687335751722E-5</v>
      </c>
      <c r="C247" s="401">
        <f t="shared" si="0"/>
        <v>0.44833068362480127</v>
      </c>
      <c r="D247" s="402">
        <f t="shared" ref="D247:F247" si="265">ROUNDDOWN($C247*D$2,0) - IF(MOD($C247*D$2,1)=0,1,0) + 1</f>
        <v>1</v>
      </c>
      <c r="E247" s="402">
        <f t="shared" si="265"/>
        <v>2</v>
      </c>
      <c r="F247" s="402">
        <f t="shared" si="265"/>
        <v>2</v>
      </c>
      <c r="G247" s="401">
        <f t="shared" si="3"/>
        <v>0</v>
      </c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ht="15.75" customHeight="1">
      <c r="A248" s="399">
        <v>42663</v>
      </c>
      <c r="B248" s="400">
        <v>-9.0131957098655846E-3</v>
      </c>
      <c r="C248" s="401">
        <f t="shared" si="0"/>
        <v>0.20349761526232116</v>
      </c>
      <c r="D248" s="402">
        <f t="shared" ref="D248:F248" si="266">ROUNDDOWN($C248*D$2,0) - IF(MOD($C248*D$2,1)=0,1,0) + 1</f>
        <v>1</v>
      </c>
      <c r="E248" s="402">
        <f t="shared" si="266"/>
        <v>1</v>
      </c>
      <c r="F248" s="402">
        <f t="shared" si="266"/>
        <v>1</v>
      </c>
      <c r="G248" s="401">
        <f t="shared" si="3"/>
        <v>0</v>
      </c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ht="15.75" customHeight="1">
      <c r="A249" s="399">
        <v>42664</v>
      </c>
      <c r="B249" s="400">
        <v>1.0699476749925996E-2</v>
      </c>
      <c r="C249" s="401">
        <f t="shared" si="0"/>
        <v>0.75278219395866453</v>
      </c>
      <c r="D249" s="402">
        <f t="shared" ref="D249:F249" si="267">ROUNDDOWN($C249*D$2,0) - IF(MOD($C249*D$2,1)=0,1,0) + 1</f>
        <v>2</v>
      </c>
      <c r="E249" s="402">
        <f t="shared" si="267"/>
        <v>3</v>
      </c>
      <c r="F249" s="402">
        <f t="shared" si="267"/>
        <v>4</v>
      </c>
      <c r="G249" s="401">
        <f t="shared" si="3"/>
        <v>1.0699476749925996E-2</v>
      </c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ht="15.75" customHeight="1">
      <c r="A250" s="399">
        <v>42667</v>
      </c>
      <c r="B250" s="400">
        <v>2.3321408075800631E-2</v>
      </c>
      <c r="C250" s="401">
        <f t="shared" si="0"/>
        <v>0.91732909379968208</v>
      </c>
      <c r="D250" s="402">
        <f t="shared" ref="D250:F250" si="268">ROUNDDOWN($C250*D$2,0) - IF(MOD($C250*D$2,1)=0,1,0) + 1</f>
        <v>2</v>
      </c>
      <c r="E250" s="402">
        <f t="shared" si="268"/>
        <v>3</v>
      </c>
      <c r="F250" s="402">
        <f t="shared" si="268"/>
        <v>4</v>
      </c>
      <c r="G250" s="401">
        <f t="shared" si="3"/>
        <v>0</v>
      </c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ht="15.75" customHeight="1">
      <c r="A251" s="399">
        <v>42668</v>
      </c>
      <c r="B251" s="400">
        <v>-3.4721807920391479E-3</v>
      </c>
      <c r="C251" s="401">
        <f t="shared" si="0"/>
        <v>0.3481717011128776</v>
      </c>
      <c r="D251" s="402">
        <f t="shared" ref="D251:F251" si="269">ROUNDDOWN($C251*D$2,0) - IF(MOD($C251*D$2,1)=0,1,0) + 1</f>
        <v>1</v>
      </c>
      <c r="E251" s="402">
        <f t="shared" si="269"/>
        <v>2</v>
      </c>
      <c r="F251" s="402">
        <f t="shared" si="269"/>
        <v>2</v>
      </c>
      <c r="G251" s="401">
        <f t="shared" si="3"/>
        <v>0</v>
      </c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ht="15.75" customHeight="1">
      <c r="A252" s="399">
        <v>42669</v>
      </c>
      <c r="B252" s="400">
        <v>-1.5074594698148758E-2</v>
      </c>
      <c r="C252" s="401">
        <f t="shared" si="0"/>
        <v>0.13354531001589826</v>
      </c>
      <c r="D252" s="402">
        <f t="shared" ref="D252:F252" si="270">ROUNDDOWN($C252*D$2,0) - IF(MOD($C252*D$2,1)=0,1,0) + 1</f>
        <v>1</v>
      </c>
      <c r="E252" s="402">
        <f t="shared" si="270"/>
        <v>1</v>
      </c>
      <c r="F252" s="402">
        <f t="shared" si="270"/>
        <v>1</v>
      </c>
      <c r="G252" s="401">
        <f t="shared" si="3"/>
        <v>0</v>
      </c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ht="15.75" customHeight="1">
      <c r="A253" s="399">
        <v>42670</v>
      </c>
      <c r="B253" s="400">
        <v>-5.1422944601806631E-3</v>
      </c>
      <c r="C253" s="401">
        <f t="shared" si="0"/>
        <v>0.29173290937996821</v>
      </c>
      <c r="D253" s="402">
        <f t="shared" ref="D253:F253" si="271">ROUNDDOWN($C253*D$2,0) - IF(MOD($C253*D$2,1)=0,1,0) + 1</f>
        <v>1</v>
      </c>
      <c r="E253" s="402">
        <f t="shared" si="271"/>
        <v>1</v>
      </c>
      <c r="F253" s="402">
        <f t="shared" si="271"/>
        <v>2</v>
      </c>
      <c r="G253" s="401">
        <f t="shared" si="3"/>
        <v>-5.1422944601806631E-3</v>
      </c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ht="15.75" customHeight="1">
      <c r="A254" s="399">
        <v>42671</v>
      </c>
      <c r="B254" s="400">
        <v>-5.1371034752431655E-2</v>
      </c>
      <c r="C254" s="401">
        <f t="shared" si="0"/>
        <v>1.3513513513513514E-2</v>
      </c>
      <c r="D254" s="402">
        <f t="shared" ref="D254:F254" si="272">ROUNDDOWN($C254*D$2,0) - IF(MOD($C254*D$2,1)=0,1,0) + 1</f>
        <v>1</v>
      </c>
      <c r="E254" s="402">
        <f t="shared" si="272"/>
        <v>1</v>
      </c>
      <c r="F254" s="402">
        <f t="shared" si="272"/>
        <v>1</v>
      </c>
      <c r="G254" s="401">
        <f t="shared" si="3"/>
        <v>0</v>
      </c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ht="15.75" customHeight="1">
      <c r="A255" s="399">
        <v>42674</v>
      </c>
      <c r="B255" s="400">
        <v>1.7389736191261385E-2</v>
      </c>
      <c r="C255" s="401">
        <f t="shared" si="0"/>
        <v>0.87281399046104924</v>
      </c>
      <c r="D255" s="402">
        <f t="shared" ref="D255:F255" si="273">ROUNDDOWN($C255*D$2,0) - IF(MOD($C255*D$2,1)=0,1,0) + 1</f>
        <v>2</v>
      </c>
      <c r="E255" s="402">
        <f t="shared" si="273"/>
        <v>3</v>
      </c>
      <c r="F255" s="402">
        <f t="shared" si="273"/>
        <v>4</v>
      </c>
      <c r="G255" s="401">
        <f t="shared" si="3"/>
        <v>1.7389736191261385E-2</v>
      </c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ht="15.75" customHeight="1">
      <c r="A256" s="399">
        <v>42675</v>
      </c>
      <c r="B256" s="400">
        <v>-5.5835506824341019E-3</v>
      </c>
      <c r="C256" s="401">
        <f t="shared" si="0"/>
        <v>0.27821939586645467</v>
      </c>
      <c r="D256" s="402">
        <f t="shared" ref="D256:F256" si="274">ROUNDDOWN($C256*D$2,0) - IF(MOD($C256*D$2,1)=0,1,0) + 1</f>
        <v>1</v>
      </c>
      <c r="E256" s="402">
        <f t="shared" si="274"/>
        <v>1</v>
      </c>
      <c r="F256" s="402">
        <f t="shared" si="274"/>
        <v>2</v>
      </c>
      <c r="G256" s="401">
        <f t="shared" si="3"/>
        <v>0</v>
      </c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ht="15.75" customHeight="1">
      <c r="A257" s="399">
        <v>42676</v>
      </c>
      <c r="B257" s="400">
        <v>-2.5273424071504125E-2</v>
      </c>
      <c r="C257" s="401">
        <f t="shared" si="0"/>
        <v>6.4387917329093797E-2</v>
      </c>
      <c r="D257" s="402">
        <f t="shared" ref="D257:F257" si="275">ROUNDDOWN($C257*D$2,0) - IF(MOD($C257*D$2,1)=0,1,0) + 1</f>
        <v>1</v>
      </c>
      <c r="E257" s="402">
        <f t="shared" si="275"/>
        <v>1</v>
      </c>
      <c r="F257" s="402">
        <f t="shared" si="275"/>
        <v>1</v>
      </c>
      <c r="G257" s="401">
        <f t="shared" si="3"/>
        <v>0</v>
      </c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ht="15.75" customHeight="1">
      <c r="A258" s="399">
        <v>42677</v>
      </c>
      <c r="B258" s="400">
        <v>1.9201630179215279E-3</v>
      </c>
      <c r="C258" s="401">
        <f t="shared" si="0"/>
        <v>0.51907790143084265</v>
      </c>
      <c r="D258" s="402">
        <f t="shared" ref="D258:F258" si="276">ROUNDDOWN($C258*D$2,0) - IF(MOD($C258*D$2,1)=0,1,0) + 1</f>
        <v>2</v>
      </c>
      <c r="E258" s="402">
        <f t="shared" si="276"/>
        <v>2</v>
      </c>
      <c r="F258" s="402">
        <f t="shared" si="276"/>
        <v>3</v>
      </c>
      <c r="G258" s="401">
        <f t="shared" si="3"/>
        <v>1.9201630179215279E-3</v>
      </c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ht="15.75" customHeight="1">
      <c r="A259" s="399">
        <v>42678</v>
      </c>
      <c r="B259" s="400">
        <v>-1.5618685057950832E-2</v>
      </c>
      <c r="C259" s="401">
        <f t="shared" si="0"/>
        <v>0.12957074721780604</v>
      </c>
      <c r="D259" s="402">
        <f t="shared" ref="D259:F259" si="277">ROUNDDOWN($C259*D$2,0) - IF(MOD($C259*D$2,1)=0,1,0) + 1</f>
        <v>1</v>
      </c>
      <c r="E259" s="402">
        <f t="shared" si="277"/>
        <v>1</v>
      </c>
      <c r="F259" s="402">
        <f t="shared" si="277"/>
        <v>1</v>
      </c>
      <c r="G259" s="401">
        <f t="shared" si="3"/>
        <v>0</v>
      </c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ht="15.75" customHeight="1">
      <c r="A260" s="399">
        <v>42681</v>
      </c>
      <c r="B260" s="400">
        <v>3.9573538176279621E-2</v>
      </c>
      <c r="C260" s="401">
        <f t="shared" si="0"/>
        <v>0.97217806041335453</v>
      </c>
      <c r="D260" s="402">
        <f t="shared" ref="D260:F260" si="278">ROUNDDOWN($C260*D$2,0) - IF(MOD($C260*D$2,1)=0,1,0) + 1</f>
        <v>2</v>
      </c>
      <c r="E260" s="402">
        <f t="shared" si="278"/>
        <v>3</v>
      </c>
      <c r="F260" s="402">
        <f t="shared" si="278"/>
        <v>4</v>
      </c>
      <c r="G260" s="401">
        <f t="shared" si="3"/>
        <v>3.9573538176279621E-2</v>
      </c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ht="15.75" customHeight="1">
      <c r="A261" s="399">
        <v>42682</v>
      </c>
      <c r="B261" s="400">
        <v>3.5926770540049002E-3</v>
      </c>
      <c r="C261" s="401">
        <f t="shared" si="0"/>
        <v>0.56677265500794916</v>
      </c>
      <c r="D261" s="402">
        <f t="shared" ref="D261:F261" si="279">ROUNDDOWN($C261*D$2,0) - IF(MOD($C261*D$2,1)=0,1,0) + 1</f>
        <v>2</v>
      </c>
      <c r="E261" s="402">
        <f t="shared" si="279"/>
        <v>2</v>
      </c>
      <c r="F261" s="402">
        <f t="shared" si="279"/>
        <v>3</v>
      </c>
      <c r="G261" s="401">
        <f t="shared" si="3"/>
        <v>0</v>
      </c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ht="15.75" customHeight="1">
      <c r="A262" s="399">
        <v>42683</v>
      </c>
      <c r="B262" s="400">
        <v>-2.0145985401459843E-2</v>
      </c>
      <c r="C262" s="401">
        <f t="shared" si="0"/>
        <v>8.9825119236883938E-2</v>
      </c>
      <c r="D262" s="402">
        <f t="shared" ref="D262:F262" si="280">ROUNDDOWN($C262*D$2,0) - IF(MOD($C262*D$2,1)=0,1,0) + 1</f>
        <v>1</v>
      </c>
      <c r="E262" s="402">
        <f t="shared" si="280"/>
        <v>1</v>
      </c>
      <c r="F262" s="402">
        <f t="shared" si="280"/>
        <v>1</v>
      </c>
      <c r="G262" s="401">
        <f t="shared" si="3"/>
        <v>0</v>
      </c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ht="15.75" customHeight="1">
      <c r="A263" s="399">
        <v>42684</v>
      </c>
      <c r="B263" s="400">
        <v>-3.8218375913354419E-2</v>
      </c>
      <c r="C263" s="401">
        <f t="shared" si="0"/>
        <v>2.7821939586645469E-2</v>
      </c>
      <c r="D263" s="402">
        <f t="shared" ref="D263:F263" si="281">ROUNDDOWN($C263*D$2,0) - IF(MOD($C263*D$2,1)=0,1,0) + 1</f>
        <v>1</v>
      </c>
      <c r="E263" s="402">
        <f t="shared" si="281"/>
        <v>1</v>
      </c>
      <c r="F263" s="402">
        <f t="shared" si="281"/>
        <v>1</v>
      </c>
      <c r="G263" s="401">
        <f t="shared" si="3"/>
        <v>-3.8218375913354419E-2</v>
      </c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ht="15.75" customHeight="1">
      <c r="A264" s="399">
        <v>42685</v>
      </c>
      <c r="B264" s="400">
        <v>-4.5394541878822636E-3</v>
      </c>
      <c r="C264" s="401">
        <f t="shared" si="0"/>
        <v>0.31001589825119236</v>
      </c>
      <c r="D264" s="402">
        <f t="shared" ref="D264:F264" si="282">ROUNDDOWN($C264*D$2,0) - IF(MOD($C264*D$2,1)=0,1,0) + 1</f>
        <v>1</v>
      </c>
      <c r="E264" s="402">
        <f t="shared" si="282"/>
        <v>1</v>
      </c>
      <c r="F264" s="402">
        <f t="shared" si="282"/>
        <v>2</v>
      </c>
      <c r="G264" s="401">
        <f t="shared" si="3"/>
        <v>-4.5394541878822636E-3</v>
      </c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ht="15.75" customHeight="1">
      <c r="A265" s="399">
        <v>42688</v>
      </c>
      <c r="B265" s="400">
        <v>-2.6982043544742207E-2</v>
      </c>
      <c r="C265" s="401">
        <f t="shared" si="0"/>
        <v>5.8028616852146261E-2</v>
      </c>
      <c r="D265" s="402">
        <f t="shared" ref="D265:F265" si="283">ROUNDDOWN($C265*D$2,0) - IF(MOD($C265*D$2,1)=0,1,0) + 1</f>
        <v>1</v>
      </c>
      <c r="E265" s="402">
        <f t="shared" si="283"/>
        <v>1</v>
      </c>
      <c r="F265" s="402">
        <f t="shared" si="283"/>
        <v>1</v>
      </c>
      <c r="G265" s="401">
        <f t="shared" si="3"/>
        <v>0</v>
      </c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ht="15.75" customHeight="1">
      <c r="A266" s="399">
        <v>42689</v>
      </c>
      <c r="B266" s="400">
        <v>3.3612861056642629E-2</v>
      </c>
      <c r="C266" s="401">
        <f t="shared" si="0"/>
        <v>0.96025437201907793</v>
      </c>
      <c r="D266" s="402">
        <f t="shared" ref="D266:F266" si="284">ROUNDDOWN($C266*D$2,0) - IF(MOD($C266*D$2,1)=0,1,0) + 1</f>
        <v>2</v>
      </c>
      <c r="E266" s="402">
        <f t="shared" si="284"/>
        <v>3</v>
      </c>
      <c r="F266" s="402">
        <f t="shared" si="284"/>
        <v>4</v>
      </c>
      <c r="G266" s="401">
        <f t="shared" si="3"/>
        <v>3.3612861056642629E-2</v>
      </c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ht="15.75" customHeight="1">
      <c r="A267" s="399">
        <v>42690</v>
      </c>
      <c r="B267" s="400">
        <v>4.3727463538023592E-3</v>
      </c>
      <c r="C267" s="401">
        <f t="shared" si="0"/>
        <v>0.58346581875993642</v>
      </c>
      <c r="D267" s="402">
        <f t="shared" ref="D267:F267" si="285">ROUNDDOWN($C267*D$2,0) - IF(MOD($C267*D$2,1)=0,1,0) + 1</f>
        <v>2</v>
      </c>
      <c r="E267" s="402">
        <f t="shared" si="285"/>
        <v>2</v>
      </c>
      <c r="F267" s="402">
        <f t="shared" si="285"/>
        <v>3</v>
      </c>
      <c r="G267" s="401">
        <f t="shared" si="3"/>
        <v>0</v>
      </c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ht="15.75" customHeight="1">
      <c r="A268" s="399">
        <v>42691</v>
      </c>
      <c r="B268" s="400">
        <v>1.3275462497823076E-2</v>
      </c>
      <c r="C268" s="401">
        <f t="shared" si="0"/>
        <v>0.80842607313195547</v>
      </c>
      <c r="D268" s="402">
        <f t="shared" ref="D268:F268" si="286">ROUNDDOWN($C268*D$2,0) - IF(MOD($C268*D$2,1)=0,1,0) + 1</f>
        <v>2</v>
      </c>
      <c r="E268" s="402">
        <f t="shared" si="286"/>
        <v>3</v>
      </c>
      <c r="F268" s="402">
        <f t="shared" si="286"/>
        <v>4</v>
      </c>
      <c r="G268" s="401">
        <f t="shared" si="3"/>
        <v>0</v>
      </c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ht="15.75" customHeight="1">
      <c r="A269" s="399">
        <v>42692</v>
      </c>
      <c r="B269" s="400">
        <v>4.970914859862452E-3</v>
      </c>
      <c r="C269" s="401">
        <f t="shared" si="0"/>
        <v>0.60413354531001595</v>
      </c>
      <c r="D269" s="402">
        <f t="shared" ref="D269:F269" si="287">ROUNDDOWN($C269*D$2,0) - IF(MOD($C269*D$2,1)=0,1,0) + 1</f>
        <v>2</v>
      </c>
      <c r="E269" s="402">
        <f t="shared" si="287"/>
        <v>2</v>
      </c>
      <c r="F269" s="402">
        <f t="shared" si="287"/>
        <v>3</v>
      </c>
      <c r="G269" s="401">
        <f t="shared" si="3"/>
        <v>0</v>
      </c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ht="15.75" customHeight="1">
      <c r="A270" s="399">
        <v>42695</v>
      </c>
      <c r="B270" s="400">
        <v>2.6099768469795892E-2</v>
      </c>
      <c r="C270" s="401">
        <f t="shared" si="0"/>
        <v>0.93481717011128773</v>
      </c>
      <c r="D270" s="402">
        <f t="shared" ref="D270:F270" si="288">ROUNDDOWN($C270*D$2,0) - IF(MOD($C270*D$2,1)=0,1,0) + 1</f>
        <v>2</v>
      </c>
      <c r="E270" s="402">
        <f t="shared" si="288"/>
        <v>3</v>
      </c>
      <c r="F270" s="402">
        <f t="shared" si="288"/>
        <v>4</v>
      </c>
      <c r="G270" s="401">
        <f t="shared" si="3"/>
        <v>0</v>
      </c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ht="15.75" customHeight="1">
      <c r="A271" s="399">
        <v>42696</v>
      </c>
      <c r="B271" s="400">
        <v>6.8333333333334689E-3</v>
      </c>
      <c r="C271" s="401">
        <f t="shared" si="0"/>
        <v>0.6581875993640699</v>
      </c>
      <c r="D271" s="402">
        <f t="shared" ref="D271:F271" si="289">ROUNDDOWN($C271*D$2,0) - IF(MOD($C271*D$2,1)=0,1,0) + 1</f>
        <v>2</v>
      </c>
      <c r="E271" s="402">
        <f t="shared" si="289"/>
        <v>2</v>
      </c>
      <c r="F271" s="402">
        <f t="shared" si="289"/>
        <v>3</v>
      </c>
      <c r="G271" s="401">
        <f t="shared" si="3"/>
        <v>0</v>
      </c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ht="15.75" customHeight="1">
      <c r="A272" s="399">
        <v>42697</v>
      </c>
      <c r="B272" s="400">
        <v>-6.6341537952199214E-3</v>
      </c>
      <c r="C272" s="401">
        <f t="shared" si="0"/>
        <v>0.25119236883942764</v>
      </c>
      <c r="D272" s="402">
        <f t="shared" ref="D272:F272" si="290">ROUNDDOWN($C272*D$2,0) - IF(MOD($C272*D$2,1)=0,1,0) + 1</f>
        <v>1</v>
      </c>
      <c r="E272" s="402">
        <f t="shared" si="290"/>
        <v>1</v>
      </c>
      <c r="F272" s="402">
        <f t="shared" si="290"/>
        <v>2</v>
      </c>
      <c r="G272" s="401">
        <f t="shared" si="3"/>
        <v>0</v>
      </c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ht="15.75" customHeight="1">
      <c r="A273" s="399">
        <v>42699</v>
      </c>
      <c r="B273" s="400">
        <v>3.2046351843306731E-4</v>
      </c>
      <c r="C273" s="401">
        <f t="shared" si="0"/>
        <v>0.45945945945945948</v>
      </c>
      <c r="D273" s="402">
        <f t="shared" ref="D273:F273" si="291">ROUNDDOWN($C273*D$2,0) - IF(MOD($C273*D$2,1)=0,1,0) + 1</f>
        <v>1</v>
      </c>
      <c r="E273" s="402">
        <f t="shared" si="291"/>
        <v>2</v>
      </c>
      <c r="F273" s="402">
        <f t="shared" si="291"/>
        <v>2</v>
      </c>
      <c r="G273" s="401">
        <f t="shared" si="3"/>
        <v>0</v>
      </c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ht="15.75" customHeight="1">
      <c r="A274" s="399">
        <v>42702</v>
      </c>
      <c r="B274" s="400">
        <v>-1.742763048297602E-2</v>
      </c>
      <c r="C274" s="401">
        <f t="shared" si="0"/>
        <v>0.10969793322734499</v>
      </c>
      <c r="D274" s="402">
        <f t="shared" ref="D274:F274" si="292">ROUNDDOWN($C274*D$2,0) - IF(MOD($C274*D$2,1)=0,1,0) + 1</f>
        <v>1</v>
      </c>
      <c r="E274" s="402">
        <f t="shared" si="292"/>
        <v>1</v>
      </c>
      <c r="F274" s="402">
        <f t="shared" si="292"/>
        <v>1</v>
      </c>
      <c r="G274" s="401">
        <f t="shared" si="3"/>
        <v>0</v>
      </c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ht="15.75" customHeight="1">
      <c r="A275" s="399">
        <v>42703</v>
      </c>
      <c r="B275" s="400">
        <v>-5.5427311970994708E-3</v>
      </c>
      <c r="C275" s="401">
        <f t="shared" si="0"/>
        <v>0.27980922098569155</v>
      </c>
      <c r="D275" s="402">
        <f t="shared" ref="D275:F275" si="293">ROUNDDOWN($C275*D$2,0) - IF(MOD($C275*D$2,1)=0,1,0) + 1</f>
        <v>1</v>
      </c>
      <c r="E275" s="402">
        <f t="shared" si="293"/>
        <v>1</v>
      </c>
      <c r="F275" s="402">
        <f t="shared" si="293"/>
        <v>2</v>
      </c>
      <c r="G275" s="401">
        <f t="shared" si="3"/>
        <v>-5.5427311970994708E-3</v>
      </c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ht="15.75" customHeight="1">
      <c r="A276" s="399">
        <v>42704</v>
      </c>
      <c r="B276" s="400">
        <v>-1.5671720086030461E-2</v>
      </c>
      <c r="C276" s="401">
        <f t="shared" si="0"/>
        <v>0.12798092209856915</v>
      </c>
      <c r="D276" s="402">
        <f t="shared" ref="D276:F276" si="294">ROUNDDOWN($C276*D$2,0) - IF(MOD($C276*D$2,1)=0,1,0) + 1</f>
        <v>1</v>
      </c>
      <c r="E276" s="402">
        <f t="shared" si="294"/>
        <v>1</v>
      </c>
      <c r="F276" s="402">
        <f t="shared" si="294"/>
        <v>1</v>
      </c>
      <c r="G276" s="401">
        <f t="shared" si="3"/>
        <v>0</v>
      </c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ht="15.75" customHeight="1">
      <c r="A277" s="399">
        <v>42705</v>
      </c>
      <c r="B277" s="400">
        <v>-9.2196597252756085E-3</v>
      </c>
      <c r="C277" s="401">
        <f t="shared" si="0"/>
        <v>0.1987281399046105</v>
      </c>
      <c r="D277" s="402">
        <f t="shared" ref="D277:F277" si="295">ROUNDDOWN($C277*D$2,0) - IF(MOD($C277*D$2,1)=0,1,0) + 1</f>
        <v>1</v>
      </c>
      <c r="E277" s="402">
        <f t="shared" si="295"/>
        <v>1</v>
      </c>
      <c r="F277" s="402">
        <f t="shared" si="295"/>
        <v>1</v>
      </c>
      <c r="G277" s="401">
        <f t="shared" si="3"/>
        <v>-9.2196597252756085E-3</v>
      </c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ht="15.75" customHeight="1">
      <c r="A278" s="399">
        <v>42706</v>
      </c>
      <c r="B278" s="400">
        <v>-4.4510186243528205E-3</v>
      </c>
      <c r="C278" s="401">
        <f t="shared" si="0"/>
        <v>0.31319554848966613</v>
      </c>
      <c r="D278" s="402">
        <f t="shared" ref="D278:F278" si="296">ROUNDDOWN($C278*D$2,0) - IF(MOD($C278*D$2,1)=0,1,0) + 1</f>
        <v>1</v>
      </c>
      <c r="E278" s="402">
        <f t="shared" si="296"/>
        <v>1</v>
      </c>
      <c r="F278" s="402">
        <f t="shared" si="296"/>
        <v>2</v>
      </c>
      <c r="G278" s="401">
        <f t="shared" si="3"/>
        <v>-4.4510186243528205E-3</v>
      </c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ht="15.75" customHeight="1">
      <c r="A279" s="399">
        <v>42709</v>
      </c>
      <c r="B279" s="400">
        <v>2.5690898776237869E-2</v>
      </c>
      <c r="C279" s="401">
        <f t="shared" si="0"/>
        <v>0.93163751987281396</v>
      </c>
      <c r="D279" s="402">
        <f t="shared" ref="D279:F279" si="297">ROUNDDOWN($C279*D$2,0) - IF(MOD($C279*D$2,1)=0,1,0) + 1</f>
        <v>2</v>
      </c>
      <c r="E279" s="402">
        <f t="shared" si="297"/>
        <v>3</v>
      </c>
      <c r="F279" s="402">
        <f t="shared" si="297"/>
        <v>4</v>
      </c>
      <c r="G279" s="401">
        <f t="shared" si="3"/>
        <v>0</v>
      </c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ht="15.75" customHeight="1">
      <c r="A280" s="399">
        <v>42710</v>
      </c>
      <c r="B280" s="400">
        <v>7.0585756426464474E-3</v>
      </c>
      <c r="C280" s="401">
        <f t="shared" si="0"/>
        <v>0.66613672496025433</v>
      </c>
      <c r="D280" s="402">
        <f t="shared" ref="D280:F280" si="298">ROUNDDOWN($C280*D$2,0) - IF(MOD($C280*D$2,1)=0,1,0) + 1</f>
        <v>2</v>
      </c>
      <c r="E280" s="402">
        <f t="shared" si="298"/>
        <v>2</v>
      </c>
      <c r="F280" s="402">
        <f t="shared" si="298"/>
        <v>3</v>
      </c>
      <c r="G280" s="401">
        <f t="shared" si="3"/>
        <v>0</v>
      </c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ht="15.75" customHeight="1">
      <c r="A281" s="399">
        <v>42711</v>
      </c>
      <c r="B281" s="400">
        <v>7.4537085469190689E-3</v>
      </c>
      <c r="C281" s="401">
        <f t="shared" si="0"/>
        <v>0.67567567567567566</v>
      </c>
      <c r="D281" s="402">
        <f t="shared" ref="D281:F281" si="299">ROUNDDOWN($C281*D$2,0) - IF(MOD($C281*D$2,1)=0,1,0) + 1</f>
        <v>2</v>
      </c>
      <c r="E281" s="402">
        <f t="shared" si="299"/>
        <v>3</v>
      </c>
      <c r="F281" s="402">
        <f t="shared" si="299"/>
        <v>3</v>
      </c>
      <c r="G281" s="401">
        <f t="shared" si="3"/>
        <v>0</v>
      </c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ht="15.75" customHeight="1">
      <c r="A282" s="399">
        <v>42712</v>
      </c>
      <c r="B282" s="400">
        <v>-4.010799304275503E-3</v>
      </c>
      <c r="C282" s="401">
        <f t="shared" si="0"/>
        <v>0.32750397456279812</v>
      </c>
      <c r="D282" s="402">
        <f t="shared" ref="D282:F282" si="300">ROUNDDOWN($C282*D$2,0) - IF(MOD($C282*D$2,1)=0,1,0) + 1</f>
        <v>1</v>
      </c>
      <c r="E282" s="402">
        <f t="shared" si="300"/>
        <v>1</v>
      </c>
      <c r="F282" s="402">
        <f t="shared" si="300"/>
        <v>2</v>
      </c>
      <c r="G282" s="401">
        <f t="shared" si="3"/>
        <v>0</v>
      </c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ht="15.75" customHeight="1">
      <c r="A283" s="399">
        <v>42713</v>
      </c>
      <c r="B283" s="400">
        <v>1.7332829421499163E-3</v>
      </c>
      <c r="C283" s="401">
        <f t="shared" si="0"/>
        <v>0.5119236883942766</v>
      </c>
      <c r="D283" s="402">
        <f t="shared" ref="D283:F283" si="301">ROUNDDOWN($C283*D$2,0) - IF(MOD($C283*D$2,1)=0,1,0) + 1</f>
        <v>2</v>
      </c>
      <c r="E283" s="402">
        <f t="shared" si="301"/>
        <v>2</v>
      </c>
      <c r="F283" s="402">
        <f t="shared" si="301"/>
        <v>3</v>
      </c>
      <c r="G283" s="401">
        <f t="shared" si="3"/>
        <v>0</v>
      </c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ht="15.75" customHeight="1">
      <c r="A284" s="399">
        <v>42716</v>
      </c>
      <c r="B284" s="400">
        <v>-1.1110243800900199E-2</v>
      </c>
      <c r="C284" s="401">
        <f t="shared" si="0"/>
        <v>0.17965023847376788</v>
      </c>
      <c r="D284" s="402">
        <f t="shared" ref="D284:F284" si="302">ROUNDDOWN($C284*D$2,0) - IF(MOD($C284*D$2,1)=0,1,0) + 1</f>
        <v>1</v>
      </c>
      <c r="E284" s="402">
        <f t="shared" si="302"/>
        <v>1</v>
      </c>
      <c r="F284" s="402">
        <f t="shared" si="302"/>
        <v>1</v>
      </c>
      <c r="G284" s="401">
        <f t="shared" si="3"/>
        <v>0</v>
      </c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ht="15.75" customHeight="1">
      <c r="A285" s="399">
        <v>42717</v>
      </c>
      <c r="B285" s="400">
        <v>1.8707572488554369E-2</v>
      </c>
      <c r="C285" s="401">
        <f t="shared" si="0"/>
        <v>0.88553259141494434</v>
      </c>
      <c r="D285" s="402">
        <f t="shared" ref="D285:F285" si="303">ROUNDDOWN($C285*D$2,0) - IF(MOD($C285*D$2,1)=0,1,0) + 1</f>
        <v>2</v>
      </c>
      <c r="E285" s="402">
        <f t="shared" si="303"/>
        <v>3</v>
      </c>
      <c r="F285" s="402">
        <f t="shared" si="303"/>
        <v>4</v>
      </c>
      <c r="G285" s="401">
        <f t="shared" si="3"/>
        <v>1.8707572488554369E-2</v>
      </c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ht="15.75" customHeight="1">
      <c r="A286" s="399">
        <v>42718</v>
      </c>
      <c r="B286" s="400">
        <v>-7.1286514967584536E-3</v>
      </c>
      <c r="C286" s="401">
        <f t="shared" si="0"/>
        <v>0.24085850556438793</v>
      </c>
      <c r="D286" s="402">
        <f t="shared" ref="D286:F286" si="304">ROUNDDOWN($C286*D$2,0) - IF(MOD($C286*D$2,1)=0,1,0) + 1</f>
        <v>1</v>
      </c>
      <c r="E286" s="402">
        <f t="shared" si="304"/>
        <v>1</v>
      </c>
      <c r="F286" s="402">
        <f t="shared" si="304"/>
        <v>1</v>
      </c>
      <c r="G286" s="401">
        <f t="shared" si="3"/>
        <v>0</v>
      </c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ht="15.75" customHeight="1">
      <c r="A287" s="399">
        <v>42719</v>
      </c>
      <c r="B287" s="400">
        <v>-1.0171431544444776E-2</v>
      </c>
      <c r="C287" s="401">
        <f t="shared" si="0"/>
        <v>0.18600953895071543</v>
      </c>
      <c r="D287" s="402">
        <f t="shared" ref="D287:F287" si="305">ROUNDDOWN($C287*D$2,0) - IF(MOD($C287*D$2,1)=0,1,0) + 1</f>
        <v>1</v>
      </c>
      <c r="E287" s="402">
        <f t="shared" si="305"/>
        <v>1</v>
      </c>
      <c r="F287" s="402">
        <f t="shared" si="305"/>
        <v>1</v>
      </c>
      <c r="G287" s="401">
        <f t="shared" si="3"/>
        <v>-1.0171431544444776E-2</v>
      </c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ht="15.75" customHeight="1">
      <c r="A288" s="399">
        <v>42720</v>
      </c>
      <c r="B288" s="400">
        <v>-4.2444152431011517E-3</v>
      </c>
      <c r="C288" s="401">
        <f t="shared" si="0"/>
        <v>0.31717011128775835</v>
      </c>
      <c r="D288" s="402">
        <f t="shared" ref="D288:F288" si="306">ROUNDDOWN($C288*D$2,0) - IF(MOD($C288*D$2,1)=0,1,0) + 1</f>
        <v>1</v>
      </c>
      <c r="E288" s="402">
        <f t="shared" si="306"/>
        <v>1</v>
      </c>
      <c r="F288" s="402">
        <f t="shared" si="306"/>
        <v>2</v>
      </c>
      <c r="G288" s="401">
        <f t="shared" si="3"/>
        <v>-4.2444152431011517E-3</v>
      </c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ht="15.75" customHeight="1">
      <c r="A289" s="399">
        <v>42723</v>
      </c>
      <c r="B289" s="400">
        <v>1.0860815286960479E-2</v>
      </c>
      <c r="C289" s="401">
        <f t="shared" si="0"/>
        <v>0.75914149443561207</v>
      </c>
      <c r="D289" s="402">
        <f t="shared" ref="D289:F289" si="307">ROUNDDOWN($C289*D$2,0) - IF(MOD($C289*D$2,1)=0,1,0) + 1</f>
        <v>2</v>
      </c>
      <c r="E289" s="402">
        <f t="shared" si="307"/>
        <v>3</v>
      </c>
      <c r="F289" s="402">
        <f t="shared" si="307"/>
        <v>4</v>
      </c>
      <c r="G289" s="401">
        <f t="shared" si="3"/>
        <v>0</v>
      </c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ht="15.75" customHeight="1">
      <c r="A290" s="399">
        <v>42724</v>
      </c>
      <c r="B290" s="400">
        <v>6.8146214099216174E-3</v>
      </c>
      <c r="C290" s="401">
        <f t="shared" si="0"/>
        <v>0.65659777424483312</v>
      </c>
      <c r="D290" s="402">
        <f t="shared" ref="D290:F290" si="308">ROUNDDOWN($C290*D$2,0) - IF(MOD($C290*D$2,1)=0,1,0) + 1</f>
        <v>2</v>
      </c>
      <c r="E290" s="402">
        <f t="shared" si="308"/>
        <v>2</v>
      </c>
      <c r="F290" s="402">
        <f t="shared" si="308"/>
        <v>3</v>
      </c>
      <c r="G290" s="401">
        <f t="shared" si="3"/>
        <v>0</v>
      </c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ht="15.75" customHeight="1">
      <c r="A291" s="399">
        <v>42725</v>
      </c>
      <c r="B291" s="400">
        <v>-8.0392106013849052E-4</v>
      </c>
      <c r="C291" s="401">
        <f t="shared" si="0"/>
        <v>0.41891891891891891</v>
      </c>
      <c r="D291" s="402">
        <f t="shared" ref="D291:F291" si="309">ROUNDDOWN($C291*D$2,0) - IF(MOD($C291*D$2,1)=0,1,0) + 1</f>
        <v>1</v>
      </c>
      <c r="E291" s="402">
        <f t="shared" si="309"/>
        <v>2</v>
      </c>
      <c r="F291" s="402">
        <f t="shared" si="309"/>
        <v>2</v>
      </c>
      <c r="G291" s="401">
        <f t="shared" si="3"/>
        <v>0</v>
      </c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ht="15.75" customHeight="1">
      <c r="A292" s="399">
        <v>42726</v>
      </c>
      <c r="B292" s="400">
        <v>-5.5281598754217676E-3</v>
      </c>
      <c r="C292" s="401">
        <f t="shared" si="0"/>
        <v>0.28060413354531</v>
      </c>
      <c r="D292" s="402">
        <f t="shared" ref="D292:F292" si="310">ROUNDDOWN($C292*D$2,0) - IF(MOD($C292*D$2,1)=0,1,0) + 1</f>
        <v>1</v>
      </c>
      <c r="E292" s="402">
        <f t="shared" si="310"/>
        <v>1</v>
      </c>
      <c r="F292" s="402">
        <f t="shared" si="310"/>
        <v>2</v>
      </c>
      <c r="G292" s="401">
        <f t="shared" si="3"/>
        <v>0</v>
      </c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ht="15.75" customHeight="1">
      <c r="A293" s="399">
        <v>42727</v>
      </c>
      <c r="B293" s="400">
        <v>-7.5031970143800697E-3</v>
      </c>
      <c r="C293" s="401">
        <f t="shared" si="0"/>
        <v>0.23370429252782193</v>
      </c>
      <c r="D293" s="402">
        <f t="shared" ref="D293:F293" si="311">ROUNDDOWN($C293*D$2,0) - IF(MOD($C293*D$2,1)=0,1,0) + 1</f>
        <v>1</v>
      </c>
      <c r="E293" s="402">
        <f t="shared" si="311"/>
        <v>1</v>
      </c>
      <c r="F293" s="402">
        <f t="shared" si="311"/>
        <v>1</v>
      </c>
      <c r="G293" s="401">
        <f t="shared" si="3"/>
        <v>0</v>
      </c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ht="15.75" customHeight="1">
      <c r="A294" s="399">
        <v>42731</v>
      </c>
      <c r="B294" s="400">
        <v>1.4212650705373475E-2</v>
      </c>
      <c r="C294" s="401">
        <f t="shared" si="0"/>
        <v>0.82352941176470584</v>
      </c>
      <c r="D294" s="402">
        <f t="shared" ref="D294:F294" si="312">ROUNDDOWN($C294*D$2,0) - IF(MOD($C294*D$2,1)=0,1,0) + 1</f>
        <v>2</v>
      </c>
      <c r="E294" s="402">
        <f t="shared" si="312"/>
        <v>3</v>
      </c>
      <c r="F294" s="402">
        <f t="shared" si="312"/>
        <v>4</v>
      </c>
      <c r="G294" s="401">
        <f t="shared" si="3"/>
        <v>1.4212650705373475E-2</v>
      </c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ht="15.75" customHeight="1">
      <c r="A295" s="399">
        <v>42732</v>
      </c>
      <c r="B295" s="400">
        <v>9.4633134560551113E-4</v>
      </c>
      <c r="C295" s="401">
        <f t="shared" si="0"/>
        <v>0.4825119236883943</v>
      </c>
      <c r="D295" s="402">
        <f t="shared" ref="D295:F295" si="313">ROUNDDOWN($C295*D$2,0) - IF(MOD($C295*D$2,1)=0,1,0) + 1</f>
        <v>1</v>
      </c>
      <c r="E295" s="402">
        <f t="shared" si="313"/>
        <v>2</v>
      </c>
      <c r="F295" s="402">
        <f t="shared" si="313"/>
        <v>2</v>
      </c>
      <c r="G295" s="401">
        <f t="shared" si="3"/>
        <v>0</v>
      </c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ht="15.75" customHeight="1">
      <c r="A296" s="399">
        <v>42733</v>
      </c>
      <c r="B296" s="400">
        <v>-9.0399285094479032E-3</v>
      </c>
      <c r="C296" s="401">
        <f t="shared" si="0"/>
        <v>0.20270270270270271</v>
      </c>
      <c r="D296" s="402">
        <f t="shared" ref="D296:F296" si="314">ROUNDDOWN($C296*D$2,0) - IF(MOD($C296*D$2,1)=0,1,0) + 1</f>
        <v>1</v>
      </c>
      <c r="E296" s="402">
        <f t="shared" si="314"/>
        <v>1</v>
      </c>
      <c r="F296" s="402">
        <f t="shared" si="314"/>
        <v>1</v>
      </c>
      <c r="G296" s="401">
        <f t="shared" si="3"/>
        <v>0</v>
      </c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ht="15.75" customHeight="1">
      <c r="A297" s="399">
        <v>42734</v>
      </c>
      <c r="B297" s="400">
        <v>-1.9969940534535713E-2</v>
      </c>
      <c r="C297" s="401">
        <f t="shared" si="0"/>
        <v>9.0620031796502382E-2</v>
      </c>
      <c r="D297" s="402">
        <f t="shared" ref="D297:F297" si="315">ROUNDDOWN($C297*D$2,0) - IF(MOD($C297*D$2,1)=0,1,0) + 1</f>
        <v>1</v>
      </c>
      <c r="E297" s="402">
        <f t="shared" si="315"/>
        <v>1</v>
      </c>
      <c r="F297" s="402">
        <f t="shared" si="315"/>
        <v>1</v>
      </c>
      <c r="G297" s="401">
        <f t="shared" si="3"/>
        <v>-1.9969940534535713E-2</v>
      </c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ht="15.75" customHeight="1">
      <c r="A298" s="399">
        <v>42738</v>
      </c>
      <c r="B298" s="400">
        <v>5.0675450411403755E-3</v>
      </c>
      <c r="C298" s="401">
        <f t="shared" si="0"/>
        <v>0.60572337042925273</v>
      </c>
      <c r="D298" s="402">
        <f t="shared" ref="D298:F298" si="316">ROUNDDOWN($C298*D$2,0) - IF(MOD($C298*D$2,1)=0,1,0) + 1</f>
        <v>2</v>
      </c>
      <c r="E298" s="402">
        <f t="shared" si="316"/>
        <v>2</v>
      </c>
      <c r="F298" s="402">
        <f t="shared" si="316"/>
        <v>3</v>
      </c>
      <c r="G298" s="401">
        <f t="shared" si="3"/>
        <v>5.0675450411403755E-3</v>
      </c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 ht="15.75" customHeight="1">
      <c r="A299" s="399">
        <v>42739</v>
      </c>
      <c r="B299" s="400">
        <v>4.6572107155651299E-3</v>
      </c>
      <c r="C299" s="401">
        <f t="shared" si="0"/>
        <v>0.59300476947535774</v>
      </c>
      <c r="D299" s="402">
        <f t="shared" ref="D299:F299" si="317">ROUNDDOWN($C299*D$2,0) - IF(MOD($C299*D$2,1)=0,1,0) + 1</f>
        <v>2</v>
      </c>
      <c r="E299" s="402">
        <f t="shared" si="317"/>
        <v>2</v>
      </c>
      <c r="F299" s="402">
        <f t="shared" si="317"/>
        <v>3</v>
      </c>
      <c r="G299" s="401">
        <f t="shared" si="3"/>
        <v>0</v>
      </c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 ht="15.75" customHeight="1">
      <c r="A300" s="399">
        <v>42740</v>
      </c>
      <c r="B300" s="400">
        <v>3.0732454634301076E-2</v>
      </c>
      <c r="C300" s="401">
        <f t="shared" si="0"/>
        <v>0.95230524642289349</v>
      </c>
      <c r="D300" s="402">
        <f t="shared" ref="D300:F300" si="318">ROUNDDOWN($C300*D$2,0) - IF(MOD($C300*D$2,1)=0,1,0) + 1</f>
        <v>2</v>
      </c>
      <c r="E300" s="402">
        <f t="shared" si="318"/>
        <v>3</v>
      </c>
      <c r="F300" s="402">
        <f t="shared" si="318"/>
        <v>4</v>
      </c>
      <c r="G300" s="401">
        <f t="shared" si="3"/>
        <v>0</v>
      </c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 ht="15.75" customHeight="1">
      <c r="A301" s="399">
        <v>42741</v>
      </c>
      <c r="B301" s="400">
        <v>1.9911589467614732E-2</v>
      </c>
      <c r="C301" s="401">
        <f t="shared" si="0"/>
        <v>0.89904610492845782</v>
      </c>
      <c r="D301" s="402">
        <f t="shared" ref="D301:F301" si="319">ROUNDDOWN($C301*D$2,0) - IF(MOD($C301*D$2,1)=0,1,0) + 1</f>
        <v>2</v>
      </c>
      <c r="E301" s="402">
        <f t="shared" si="319"/>
        <v>3</v>
      </c>
      <c r="F301" s="402">
        <f t="shared" si="319"/>
        <v>4</v>
      </c>
      <c r="G301" s="401">
        <f t="shared" si="3"/>
        <v>0</v>
      </c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ht="15.75" customHeight="1">
      <c r="A302" s="399">
        <v>42744</v>
      </c>
      <c r="B302" s="400">
        <v>1.1683563863866819E-3</v>
      </c>
      <c r="C302" s="401">
        <f t="shared" si="0"/>
        <v>0.48966613672496023</v>
      </c>
      <c r="D302" s="402">
        <f t="shared" ref="D302:F302" si="320">ROUNDDOWN($C302*D$2,0) - IF(MOD($C302*D$2,1)=0,1,0) + 1</f>
        <v>1</v>
      </c>
      <c r="E302" s="402">
        <f t="shared" si="320"/>
        <v>2</v>
      </c>
      <c r="F302" s="402">
        <f t="shared" si="320"/>
        <v>2</v>
      </c>
      <c r="G302" s="401">
        <f t="shared" si="3"/>
        <v>0</v>
      </c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 ht="15.75" customHeight="1">
      <c r="A303" s="399">
        <v>42745</v>
      </c>
      <c r="B303" s="400">
        <v>-1.2799277217285798E-3</v>
      </c>
      <c r="C303" s="401">
        <f t="shared" si="0"/>
        <v>0.40699523052464232</v>
      </c>
      <c r="D303" s="402">
        <f t="shared" ref="D303:F303" si="321">ROUNDDOWN($C303*D$2,0) - IF(MOD($C303*D$2,1)=0,1,0) + 1</f>
        <v>1</v>
      </c>
      <c r="E303" s="402">
        <f t="shared" si="321"/>
        <v>2</v>
      </c>
      <c r="F303" s="402">
        <f t="shared" si="321"/>
        <v>2</v>
      </c>
      <c r="G303" s="401">
        <f t="shared" si="3"/>
        <v>0</v>
      </c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 ht="15.75" customHeight="1">
      <c r="A304" s="399">
        <v>42746</v>
      </c>
      <c r="B304" s="400">
        <v>3.9200904636260692E-3</v>
      </c>
      <c r="C304" s="401">
        <f t="shared" si="0"/>
        <v>0.5731319554848967</v>
      </c>
      <c r="D304" s="402">
        <f t="shared" ref="D304:F304" si="322">ROUNDDOWN($C304*D$2,0) - IF(MOD($C304*D$2,1)=0,1,0) + 1</f>
        <v>2</v>
      </c>
      <c r="E304" s="402">
        <f t="shared" si="322"/>
        <v>2</v>
      </c>
      <c r="F304" s="402">
        <f t="shared" si="322"/>
        <v>3</v>
      </c>
      <c r="G304" s="401">
        <f t="shared" si="3"/>
        <v>0</v>
      </c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 ht="15.75" customHeight="1">
      <c r="A305" s="399">
        <v>42747</v>
      </c>
      <c r="B305" s="400">
        <v>1.8297414332557382E-2</v>
      </c>
      <c r="C305" s="401">
        <f t="shared" si="0"/>
        <v>0.88076311605723367</v>
      </c>
      <c r="D305" s="402">
        <f t="shared" ref="D305:F305" si="323">ROUNDDOWN($C305*D$2,0) - IF(MOD($C305*D$2,1)=0,1,0) + 1</f>
        <v>2</v>
      </c>
      <c r="E305" s="402">
        <f t="shared" si="323"/>
        <v>3</v>
      </c>
      <c r="F305" s="402">
        <f t="shared" si="323"/>
        <v>4</v>
      </c>
      <c r="G305" s="401">
        <f t="shared" si="3"/>
        <v>0</v>
      </c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 ht="15.75" customHeight="1">
      <c r="A306" s="399">
        <v>42748</v>
      </c>
      <c r="B306" s="400">
        <v>4.3016567523721516E-3</v>
      </c>
      <c r="C306" s="401">
        <f t="shared" si="0"/>
        <v>0.58028616852146264</v>
      </c>
      <c r="D306" s="402">
        <f t="shared" ref="D306:F306" si="324">ROUNDDOWN($C306*D$2,0) - IF(MOD($C306*D$2,1)=0,1,0) + 1</f>
        <v>2</v>
      </c>
      <c r="E306" s="402">
        <f t="shared" si="324"/>
        <v>2</v>
      </c>
      <c r="F306" s="402">
        <f t="shared" si="324"/>
        <v>3</v>
      </c>
      <c r="G306" s="401">
        <f t="shared" si="3"/>
        <v>0</v>
      </c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 ht="15.75" customHeight="1">
      <c r="A307" s="399">
        <v>42752</v>
      </c>
      <c r="B307" s="400">
        <v>-9.0804513302493728E-3</v>
      </c>
      <c r="C307" s="401">
        <f t="shared" si="0"/>
        <v>0.20111287758346583</v>
      </c>
      <c r="D307" s="402">
        <f t="shared" ref="D307:F307" si="325">ROUNDDOWN($C307*D$2,0) - IF(MOD($C307*D$2,1)=0,1,0) + 1</f>
        <v>1</v>
      </c>
      <c r="E307" s="402">
        <f t="shared" si="325"/>
        <v>1</v>
      </c>
      <c r="F307" s="402">
        <f t="shared" si="325"/>
        <v>1</v>
      </c>
      <c r="G307" s="401">
        <f t="shared" si="3"/>
        <v>0</v>
      </c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 ht="15.75" customHeight="1">
      <c r="A308" s="399">
        <v>42753</v>
      </c>
      <c r="B308" s="400">
        <v>-2.7663883811688272E-3</v>
      </c>
      <c r="C308" s="401">
        <f t="shared" si="0"/>
        <v>0.36804451510333863</v>
      </c>
      <c r="D308" s="402">
        <f t="shared" ref="D308:F308" si="326">ROUNDDOWN($C308*D$2,0) - IF(MOD($C308*D$2,1)=0,1,0) + 1</f>
        <v>1</v>
      </c>
      <c r="E308" s="402">
        <f t="shared" si="326"/>
        <v>2</v>
      </c>
      <c r="F308" s="402">
        <f t="shared" si="326"/>
        <v>2</v>
      </c>
      <c r="G308" s="401">
        <f t="shared" si="3"/>
        <v>-2.7663883811688272E-3</v>
      </c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 ht="15.75" customHeight="1">
      <c r="A309" s="399">
        <v>42754</v>
      </c>
      <c r="B309" s="400">
        <v>1.9319363947094548E-3</v>
      </c>
      <c r="C309" s="401">
        <f t="shared" si="0"/>
        <v>0.51987281399046104</v>
      </c>
      <c r="D309" s="402">
        <f t="shared" ref="D309:F309" si="327">ROUNDDOWN($C309*D$2,0) - IF(MOD($C309*D$2,1)=0,1,0) + 1</f>
        <v>2</v>
      </c>
      <c r="E309" s="402">
        <f t="shared" si="327"/>
        <v>2</v>
      </c>
      <c r="F309" s="402">
        <f t="shared" si="327"/>
        <v>3</v>
      </c>
      <c r="G309" s="401">
        <f t="shared" si="3"/>
        <v>0</v>
      </c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 ht="15.75" customHeight="1">
      <c r="A310" s="399">
        <v>42755</v>
      </c>
      <c r="B310" s="400">
        <v>-8.7758330861253953E-4</v>
      </c>
      <c r="C310" s="401">
        <f t="shared" si="0"/>
        <v>0.41653418124006358</v>
      </c>
      <c r="D310" s="402">
        <f t="shared" ref="D310:F310" si="328">ROUNDDOWN($C310*D$2,0) - IF(MOD($C310*D$2,1)=0,1,0) + 1</f>
        <v>1</v>
      </c>
      <c r="E310" s="402">
        <f t="shared" si="328"/>
        <v>2</v>
      </c>
      <c r="F310" s="402">
        <f t="shared" si="328"/>
        <v>2</v>
      </c>
      <c r="G310" s="401">
        <f t="shared" si="3"/>
        <v>0</v>
      </c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ht="15.75" customHeight="1">
      <c r="A311" s="399">
        <v>42758</v>
      </c>
      <c r="B311" s="400">
        <v>1.1814481709202962E-2</v>
      </c>
      <c r="C311" s="401">
        <f t="shared" si="0"/>
        <v>0.7813990461049285</v>
      </c>
      <c r="D311" s="402">
        <f t="shared" ref="D311:F311" si="329">ROUNDDOWN($C311*D$2,0) - IF(MOD($C311*D$2,1)=0,1,0) + 1</f>
        <v>2</v>
      </c>
      <c r="E311" s="402">
        <f t="shared" si="329"/>
        <v>3</v>
      </c>
      <c r="F311" s="402">
        <f t="shared" si="329"/>
        <v>4</v>
      </c>
      <c r="G311" s="401">
        <f t="shared" si="3"/>
        <v>0</v>
      </c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 ht="15.75" customHeight="1">
      <c r="A312" s="399">
        <v>42759</v>
      </c>
      <c r="B312" s="400">
        <v>5.5753900327677464E-3</v>
      </c>
      <c r="C312" s="401">
        <f t="shared" si="0"/>
        <v>0.62003179650238471</v>
      </c>
      <c r="D312" s="402">
        <f t="shared" ref="D312:F312" si="330">ROUNDDOWN($C312*D$2,0) - IF(MOD($C312*D$2,1)=0,1,0) + 1</f>
        <v>2</v>
      </c>
      <c r="E312" s="402">
        <f t="shared" si="330"/>
        <v>2</v>
      </c>
      <c r="F312" s="402">
        <f t="shared" si="330"/>
        <v>3</v>
      </c>
      <c r="G312" s="401">
        <f t="shared" si="3"/>
        <v>0</v>
      </c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 ht="15.75" customHeight="1">
      <c r="A313" s="399">
        <v>42760</v>
      </c>
      <c r="B313" s="400">
        <v>1.7119789893487614E-2</v>
      </c>
      <c r="C313" s="401">
        <f t="shared" si="0"/>
        <v>0.86804451510333869</v>
      </c>
      <c r="D313" s="402">
        <f t="shared" ref="D313:F313" si="331">ROUNDDOWN($C313*D$2,0) - IF(MOD($C313*D$2,1)=0,1,0) + 1</f>
        <v>2</v>
      </c>
      <c r="E313" s="402">
        <f t="shared" si="331"/>
        <v>3</v>
      </c>
      <c r="F313" s="402">
        <f t="shared" si="331"/>
        <v>4</v>
      </c>
      <c r="G313" s="401">
        <f t="shared" si="3"/>
        <v>0</v>
      </c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ht="15.75" customHeight="1">
      <c r="A314" s="399">
        <v>42761</v>
      </c>
      <c r="B314" s="400">
        <v>3.1439774303065882E-3</v>
      </c>
      <c r="C314" s="401">
        <f t="shared" si="0"/>
        <v>0.55405405405405406</v>
      </c>
      <c r="D314" s="402">
        <f t="shared" ref="D314:F314" si="332">ROUNDDOWN($C314*D$2,0) - IF(MOD($C314*D$2,1)=0,1,0) + 1</f>
        <v>2</v>
      </c>
      <c r="E314" s="402">
        <f t="shared" si="332"/>
        <v>2</v>
      </c>
      <c r="F314" s="402">
        <f t="shared" si="332"/>
        <v>3</v>
      </c>
      <c r="G314" s="401">
        <f t="shared" si="3"/>
        <v>0</v>
      </c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 ht="15.75" customHeight="1">
      <c r="A315" s="399">
        <v>42762</v>
      </c>
      <c r="B315" s="400">
        <v>-4.0278853601859455E-3</v>
      </c>
      <c r="C315" s="401">
        <f t="shared" si="0"/>
        <v>0.32591414944356123</v>
      </c>
      <c r="D315" s="402">
        <f t="shared" ref="D315:F315" si="333">ROUNDDOWN($C315*D$2,0) - IF(MOD($C315*D$2,1)=0,1,0) + 1</f>
        <v>1</v>
      </c>
      <c r="E315" s="402">
        <f t="shared" si="333"/>
        <v>1</v>
      </c>
      <c r="F315" s="402">
        <f t="shared" si="333"/>
        <v>2</v>
      </c>
      <c r="G315" s="401">
        <f t="shared" si="3"/>
        <v>0</v>
      </c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 ht="15.75" customHeight="1">
      <c r="A316" s="399">
        <v>42765</v>
      </c>
      <c r="B316" s="400">
        <v>-6.4491427067254747E-3</v>
      </c>
      <c r="C316" s="401">
        <f t="shared" si="0"/>
        <v>0.2559618441971383</v>
      </c>
      <c r="D316" s="402">
        <f t="shared" ref="D316:F316" si="334">ROUNDDOWN($C316*D$2,0) - IF(MOD($C316*D$2,1)=0,1,0) + 1</f>
        <v>1</v>
      </c>
      <c r="E316" s="402">
        <f t="shared" si="334"/>
        <v>1</v>
      </c>
      <c r="F316" s="402">
        <f t="shared" si="334"/>
        <v>2</v>
      </c>
      <c r="G316" s="401">
        <f t="shared" si="3"/>
        <v>0</v>
      </c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 ht="15.75" customHeight="1">
      <c r="A317" s="399">
        <v>42766</v>
      </c>
      <c r="B317" s="400">
        <v>-8.3094486861436945E-3</v>
      </c>
      <c r="C317" s="401">
        <f t="shared" si="0"/>
        <v>0.21303656597774245</v>
      </c>
      <c r="D317" s="402">
        <f t="shared" ref="D317:F317" si="335">ROUNDDOWN($C317*D$2,0) - IF(MOD($C317*D$2,1)=0,1,0) + 1</f>
        <v>1</v>
      </c>
      <c r="E317" s="402">
        <f t="shared" si="335"/>
        <v>1</v>
      </c>
      <c r="F317" s="402">
        <f t="shared" si="335"/>
        <v>1</v>
      </c>
      <c r="G317" s="401">
        <f t="shared" si="3"/>
        <v>0</v>
      </c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 ht="15.75" customHeight="1">
      <c r="A318" s="399">
        <v>42767</v>
      </c>
      <c r="B318" s="400">
        <v>1.0771360567348287E-2</v>
      </c>
      <c r="C318" s="401">
        <f t="shared" si="0"/>
        <v>0.75437201907790141</v>
      </c>
      <c r="D318" s="402">
        <f t="shared" ref="D318:F318" si="336">ROUNDDOWN($C318*D$2,0) - IF(MOD($C318*D$2,1)=0,1,0) + 1</f>
        <v>2</v>
      </c>
      <c r="E318" s="402">
        <f t="shared" si="336"/>
        <v>3</v>
      </c>
      <c r="F318" s="402">
        <f t="shared" si="336"/>
        <v>4</v>
      </c>
      <c r="G318" s="401">
        <f t="shared" si="3"/>
        <v>1.0771360567348287E-2</v>
      </c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ht="15.75" customHeight="1">
      <c r="A319" s="399">
        <v>42768</v>
      </c>
      <c r="B319" s="400">
        <v>9.1307743136901376E-3</v>
      </c>
      <c r="C319" s="401">
        <f t="shared" si="0"/>
        <v>0.71939586645469</v>
      </c>
      <c r="D319" s="402">
        <f t="shared" ref="D319:F319" si="337">ROUNDDOWN($C319*D$2,0) - IF(MOD($C319*D$2,1)=0,1,0) + 1</f>
        <v>2</v>
      </c>
      <c r="E319" s="402">
        <f t="shared" si="337"/>
        <v>3</v>
      </c>
      <c r="F319" s="402">
        <f t="shared" si="337"/>
        <v>3</v>
      </c>
      <c r="G319" s="401">
        <f t="shared" si="3"/>
        <v>0</v>
      </c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 ht="15.75" customHeight="1">
      <c r="A320" s="399">
        <v>42769</v>
      </c>
      <c r="B320" s="400">
        <v>-3.5418774927079011E-2</v>
      </c>
      <c r="C320" s="401">
        <f t="shared" si="0"/>
        <v>3.4976152623211444E-2</v>
      </c>
      <c r="D320" s="402">
        <f t="shared" ref="D320:F320" si="338">ROUNDDOWN($C320*D$2,0) - IF(MOD($C320*D$2,1)=0,1,0) + 1</f>
        <v>1</v>
      </c>
      <c r="E320" s="402">
        <f t="shared" si="338"/>
        <v>1</v>
      </c>
      <c r="F320" s="402">
        <f t="shared" si="338"/>
        <v>1</v>
      </c>
      <c r="G320" s="401">
        <f t="shared" si="3"/>
        <v>0</v>
      </c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 ht="15.75" customHeight="1">
      <c r="A321" s="399">
        <v>42772</v>
      </c>
      <c r="B321" s="400">
        <v>-3.1597136509504686E-3</v>
      </c>
      <c r="C321" s="401">
        <f t="shared" si="0"/>
        <v>0.35850556438791731</v>
      </c>
      <c r="D321" s="402">
        <f t="shared" ref="D321:F321" si="339">ROUNDDOWN($C321*D$2,0) - IF(MOD($C321*D$2,1)=0,1,0) + 1</f>
        <v>1</v>
      </c>
      <c r="E321" s="402">
        <f t="shared" si="339"/>
        <v>2</v>
      </c>
      <c r="F321" s="402">
        <f t="shared" si="339"/>
        <v>2</v>
      </c>
      <c r="G321" s="401">
        <f t="shared" si="3"/>
        <v>-3.1597136509504686E-3</v>
      </c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ht="15.75" customHeight="1">
      <c r="A322" s="399">
        <v>42773</v>
      </c>
      <c r="B322" s="400">
        <v>6.0175325640137167E-3</v>
      </c>
      <c r="C322" s="401">
        <f t="shared" si="0"/>
        <v>0.6335453100158982</v>
      </c>
      <c r="D322" s="402">
        <f t="shared" ref="D322:F322" si="340">ROUNDDOWN($C322*D$2,0) - IF(MOD($C322*D$2,1)=0,1,0) + 1</f>
        <v>2</v>
      </c>
      <c r="E322" s="402">
        <f t="shared" si="340"/>
        <v>2</v>
      </c>
      <c r="F322" s="402">
        <f t="shared" si="340"/>
        <v>3</v>
      </c>
      <c r="G322" s="401">
        <f t="shared" si="3"/>
        <v>0</v>
      </c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ht="15.75" customHeight="1">
      <c r="A323" s="399">
        <v>42774</v>
      </c>
      <c r="B323" s="400">
        <v>8.8738461538462321E-3</v>
      </c>
      <c r="C323" s="401">
        <f t="shared" si="0"/>
        <v>0.71224165341812395</v>
      </c>
      <c r="D323" s="402">
        <f t="shared" ref="D323:F323" si="341">ROUNDDOWN($C323*D$2,0) - IF(MOD($C323*D$2,1)=0,1,0) + 1</f>
        <v>2</v>
      </c>
      <c r="E323" s="402">
        <f t="shared" si="341"/>
        <v>3</v>
      </c>
      <c r="F323" s="402">
        <f t="shared" si="341"/>
        <v>3</v>
      </c>
      <c r="G323" s="401">
        <f t="shared" si="3"/>
        <v>0</v>
      </c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ht="15.75" customHeight="1">
      <c r="A324" s="399">
        <v>42775</v>
      </c>
      <c r="B324" s="400">
        <v>2.0129070036964958E-3</v>
      </c>
      <c r="C324" s="401">
        <f t="shared" si="0"/>
        <v>0.52384737678855331</v>
      </c>
      <c r="D324" s="402">
        <f t="shared" ref="D324:F324" si="342">ROUNDDOWN($C324*D$2,0) - IF(MOD($C324*D$2,1)=0,1,0) + 1</f>
        <v>2</v>
      </c>
      <c r="E324" s="402">
        <f t="shared" si="342"/>
        <v>2</v>
      </c>
      <c r="F324" s="402">
        <f t="shared" si="342"/>
        <v>3</v>
      </c>
      <c r="G324" s="401">
        <f t="shared" si="3"/>
        <v>0</v>
      </c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ht="15.75" customHeight="1">
      <c r="A325" s="399">
        <v>42776</v>
      </c>
      <c r="B325" s="400">
        <v>7.4267069250999462E-3</v>
      </c>
      <c r="C325" s="401">
        <f t="shared" si="0"/>
        <v>0.67408585055643877</v>
      </c>
      <c r="D325" s="402">
        <f t="shared" ref="D325:F325" si="343">ROUNDDOWN($C325*D$2,0) - IF(MOD($C325*D$2,1)=0,1,0) + 1</f>
        <v>2</v>
      </c>
      <c r="E325" s="402">
        <f t="shared" si="343"/>
        <v>3</v>
      </c>
      <c r="F325" s="402">
        <f t="shared" si="343"/>
        <v>3</v>
      </c>
      <c r="G325" s="401">
        <f t="shared" si="3"/>
        <v>0</v>
      </c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ht="15.75" customHeight="1">
      <c r="A326" s="399">
        <v>42779</v>
      </c>
      <c r="B326" s="400">
        <v>1.096125492470934E-2</v>
      </c>
      <c r="C326" s="401">
        <f t="shared" si="0"/>
        <v>0.76152623211446746</v>
      </c>
      <c r="D326" s="402">
        <f t="shared" ref="D326:F326" si="344">ROUNDDOWN($C326*D$2,0) - IF(MOD($C326*D$2,1)=0,1,0) + 1</f>
        <v>2</v>
      </c>
      <c r="E326" s="402">
        <f t="shared" si="344"/>
        <v>3</v>
      </c>
      <c r="F326" s="402">
        <f t="shared" si="344"/>
        <v>4</v>
      </c>
      <c r="G326" s="401">
        <f t="shared" si="3"/>
        <v>0</v>
      </c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 ht="15.75" customHeight="1">
      <c r="A327" s="399">
        <v>42780</v>
      </c>
      <c r="B327" s="400">
        <v>-1.6735801465572742E-4</v>
      </c>
      <c r="C327" s="401">
        <f t="shared" si="0"/>
        <v>0.43561208267090618</v>
      </c>
      <c r="D327" s="402">
        <f t="shared" ref="D327:F327" si="345">ROUNDDOWN($C327*D$2,0) - IF(MOD($C327*D$2,1)=0,1,0) + 1</f>
        <v>1</v>
      </c>
      <c r="E327" s="402">
        <f t="shared" si="345"/>
        <v>2</v>
      </c>
      <c r="F327" s="402">
        <f t="shared" si="345"/>
        <v>2</v>
      </c>
      <c r="G327" s="401">
        <f t="shared" si="3"/>
        <v>0</v>
      </c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ht="15.75" customHeight="1">
      <c r="A328" s="399">
        <v>42781</v>
      </c>
      <c r="B328" s="400">
        <v>7.5443274070710054E-3</v>
      </c>
      <c r="C328" s="401">
        <f t="shared" si="0"/>
        <v>0.68124006359300482</v>
      </c>
      <c r="D328" s="402">
        <f t="shared" ref="D328:F328" si="346">ROUNDDOWN($C328*D$2,0) - IF(MOD($C328*D$2,1)=0,1,0) + 1</f>
        <v>2</v>
      </c>
      <c r="E328" s="402">
        <f t="shared" si="346"/>
        <v>3</v>
      </c>
      <c r="F328" s="402">
        <f t="shared" si="346"/>
        <v>3</v>
      </c>
      <c r="G328" s="401">
        <f t="shared" si="3"/>
        <v>0</v>
      </c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 ht="15.75" customHeight="1">
      <c r="A329" s="399">
        <v>42782</v>
      </c>
      <c r="B329" s="400">
        <v>1.7087931648271937E-3</v>
      </c>
      <c r="C329" s="401">
        <f t="shared" si="0"/>
        <v>0.50953895071542132</v>
      </c>
      <c r="D329" s="402">
        <f t="shared" ref="D329:F329" si="347">ROUNDDOWN($C329*D$2,0) - IF(MOD($C329*D$2,1)=0,1,0) + 1</f>
        <v>2</v>
      </c>
      <c r="E329" s="402">
        <f t="shared" si="347"/>
        <v>2</v>
      </c>
      <c r="F329" s="402">
        <f t="shared" si="347"/>
        <v>3</v>
      </c>
      <c r="G329" s="401">
        <f t="shared" si="3"/>
        <v>0</v>
      </c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 ht="15.75" customHeight="1">
      <c r="A330" s="399">
        <v>42783</v>
      </c>
      <c r="B330" s="400">
        <v>1.1017129859975938E-3</v>
      </c>
      <c r="C330" s="401">
        <f t="shared" si="0"/>
        <v>0.48648648648648651</v>
      </c>
      <c r="D330" s="402">
        <f t="shared" ref="D330:F330" si="348">ROUNDDOWN($C330*D$2,0) - IF(MOD($C330*D$2,1)=0,1,0) + 1</f>
        <v>1</v>
      </c>
      <c r="E330" s="402">
        <f t="shared" si="348"/>
        <v>2</v>
      </c>
      <c r="F330" s="402">
        <f t="shared" si="348"/>
        <v>2</v>
      </c>
      <c r="G330" s="401">
        <f t="shared" si="3"/>
        <v>0</v>
      </c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ht="15.75" customHeight="1">
      <c r="A331" s="399">
        <v>42787</v>
      </c>
      <c r="B331" s="400">
        <v>1.3454506727253346E-2</v>
      </c>
      <c r="C331" s="401">
        <f t="shared" si="0"/>
        <v>0.81399046104928463</v>
      </c>
      <c r="D331" s="402">
        <f t="shared" ref="D331:F331" si="349">ROUNDDOWN($C331*D$2,0) - IF(MOD($C331*D$2,1)=0,1,0) + 1</f>
        <v>2</v>
      </c>
      <c r="E331" s="402">
        <f t="shared" si="349"/>
        <v>3</v>
      </c>
      <c r="F331" s="402">
        <f t="shared" si="349"/>
        <v>4</v>
      </c>
      <c r="G331" s="401">
        <f t="shared" si="3"/>
        <v>0</v>
      </c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 ht="15.75" customHeight="1">
      <c r="A332" s="399">
        <v>42788</v>
      </c>
      <c r="B332" s="400">
        <v>-9.6912801830839612E-4</v>
      </c>
      <c r="C332" s="401">
        <f t="shared" si="0"/>
        <v>0.41414944356120825</v>
      </c>
      <c r="D332" s="402">
        <f t="shared" ref="D332:F332" si="350">ROUNDDOWN($C332*D$2,0) - IF(MOD($C332*D$2,1)=0,1,0) + 1</f>
        <v>1</v>
      </c>
      <c r="E332" s="402">
        <f t="shared" si="350"/>
        <v>2</v>
      </c>
      <c r="F332" s="402">
        <f t="shared" si="350"/>
        <v>2</v>
      </c>
      <c r="G332" s="401">
        <f t="shared" si="3"/>
        <v>0</v>
      </c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 ht="15.75" customHeight="1">
      <c r="A333" s="399">
        <v>42789</v>
      </c>
      <c r="B333" s="400">
        <v>-3.9971482334240083E-3</v>
      </c>
      <c r="C333" s="401">
        <f t="shared" si="0"/>
        <v>0.32829888712241656</v>
      </c>
      <c r="D333" s="402">
        <f t="shared" ref="D333:F333" si="351">ROUNDDOWN($C333*D$2,0) - IF(MOD($C333*D$2,1)=0,1,0) + 1</f>
        <v>1</v>
      </c>
      <c r="E333" s="402">
        <f t="shared" si="351"/>
        <v>1</v>
      </c>
      <c r="F333" s="402">
        <f t="shared" si="351"/>
        <v>2</v>
      </c>
      <c r="G333" s="401">
        <f t="shared" si="3"/>
        <v>0</v>
      </c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 ht="15.75" customHeight="1">
      <c r="A334" s="399">
        <v>42790</v>
      </c>
      <c r="B334" s="400">
        <v>-8.1554582898180072E-3</v>
      </c>
      <c r="C334" s="401">
        <f t="shared" si="0"/>
        <v>0.21701112877583467</v>
      </c>
      <c r="D334" s="402">
        <f t="shared" ref="D334:F334" si="352">ROUNDDOWN($C334*D$2,0) - IF(MOD($C334*D$2,1)=0,1,0) + 1</f>
        <v>1</v>
      </c>
      <c r="E334" s="402">
        <f t="shared" si="352"/>
        <v>1</v>
      </c>
      <c r="F334" s="402">
        <f t="shared" si="352"/>
        <v>1</v>
      </c>
      <c r="G334" s="401">
        <f t="shared" si="3"/>
        <v>0</v>
      </c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ht="15.75" customHeight="1">
      <c r="A335" s="399">
        <v>42793</v>
      </c>
      <c r="B335" s="400">
        <v>4.022526146419958E-3</v>
      </c>
      <c r="C335" s="401">
        <f t="shared" si="0"/>
        <v>0.57551669316375198</v>
      </c>
      <c r="D335" s="402">
        <f t="shared" ref="D335:F335" si="353">ROUNDDOWN($C335*D$2,0) - IF(MOD($C335*D$2,1)=0,1,0) + 1</f>
        <v>2</v>
      </c>
      <c r="E335" s="402">
        <f t="shared" si="353"/>
        <v>2</v>
      </c>
      <c r="F335" s="402">
        <f t="shared" si="353"/>
        <v>3</v>
      </c>
      <c r="G335" s="401">
        <f t="shared" si="3"/>
        <v>4.022526146419958E-3</v>
      </c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 ht="15.75" customHeight="1">
      <c r="A336" s="399">
        <v>42794</v>
      </c>
      <c r="B336" s="400">
        <v>-4.2420814479637858E-3</v>
      </c>
      <c r="C336" s="401">
        <f t="shared" si="0"/>
        <v>0.31796502384737679</v>
      </c>
      <c r="D336" s="402">
        <f t="shared" ref="D336:F336" si="354">ROUNDDOWN($C336*D$2,0) - IF(MOD($C336*D$2,1)=0,1,0) + 1</f>
        <v>1</v>
      </c>
      <c r="E336" s="402">
        <f t="shared" si="354"/>
        <v>1</v>
      </c>
      <c r="F336" s="402">
        <f t="shared" si="354"/>
        <v>2</v>
      </c>
      <c r="G336" s="401">
        <f t="shared" si="3"/>
        <v>0</v>
      </c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 ht="15.75" customHeight="1">
      <c r="A337" s="399">
        <v>42795</v>
      </c>
      <c r="B337" s="400">
        <v>9.5143425163306539E-3</v>
      </c>
      <c r="C337" s="401">
        <f t="shared" si="0"/>
        <v>0.72972972972972971</v>
      </c>
      <c r="D337" s="402">
        <f t="shared" ref="D337:F337" si="355">ROUNDDOWN($C337*D$2,0) - IF(MOD($C337*D$2,1)=0,1,0) + 1</f>
        <v>2</v>
      </c>
      <c r="E337" s="402">
        <f t="shared" si="355"/>
        <v>3</v>
      </c>
      <c r="F337" s="402">
        <f t="shared" si="355"/>
        <v>3</v>
      </c>
      <c r="G337" s="401">
        <f t="shared" si="3"/>
        <v>0</v>
      </c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 ht="15.75" customHeight="1">
      <c r="A338" s="399">
        <v>42796</v>
      </c>
      <c r="B338" s="400">
        <v>-4.888169925446717E-3</v>
      </c>
      <c r="C338" s="401">
        <f t="shared" si="0"/>
        <v>0.29729729729729731</v>
      </c>
      <c r="D338" s="402">
        <f t="shared" ref="D338:F338" si="356">ROUNDDOWN($C338*D$2,0) - IF(MOD($C338*D$2,1)=0,1,0) + 1</f>
        <v>1</v>
      </c>
      <c r="E338" s="402">
        <f t="shared" si="356"/>
        <v>1</v>
      </c>
      <c r="F338" s="402">
        <f t="shared" si="356"/>
        <v>2</v>
      </c>
      <c r="G338" s="401">
        <f t="shared" si="3"/>
        <v>0</v>
      </c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 ht="15.75" customHeight="1">
      <c r="A339" s="399">
        <v>42797</v>
      </c>
      <c r="B339" s="400">
        <v>1.142641740585093E-3</v>
      </c>
      <c r="C339" s="401">
        <f t="shared" si="0"/>
        <v>0.48807631160572335</v>
      </c>
      <c r="D339" s="402">
        <f t="shared" ref="D339:F339" si="357">ROUNDDOWN($C339*D$2,0) - IF(MOD($C339*D$2,1)=0,1,0) + 1</f>
        <v>1</v>
      </c>
      <c r="E339" s="402">
        <f t="shared" si="357"/>
        <v>2</v>
      </c>
      <c r="F339" s="402">
        <f t="shared" si="357"/>
        <v>2</v>
      </c>
      <c r="G339" s="401">
        <f t="shared" si="3"/>
        <v>0</v>
      </c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 ht="15.75" customHeight="1">
      <c r="A340" s="399">
        <v>42800</v>
      </c>
      <c r="B340" s="400">
        <v>-3.8476020144020406E-3</v>
      </c>
      <c r="C340" s="401">
        <f t="shared" si="0"/>
        <v>0.33306836248012717</v>
      </c>
      <c r="D340" s="402">
        <f t="shared" ref="D340:F340" si="358">ROUNDDOWN($C340*D$2,0) - IF(MOD($C340*D$2,1)=0,1,0) + 1</f>
        <v>1</v>
      </c>
      <c r="E340" s="402">
        <f t="shared" si="358"/>
        <v>1</v>
      </c>
      <c r="F340" s="402">
        <f t="shared" si="358"/>
        <v>2</v>
      </c>
      <c r="G340" s="401">
        <f t="shared" si="3"/>
        <v>0</v>
      </c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 ht="15.75" customHeight="1">
      <c r="A341" s="399">
        <v>42801</v>
      </c>
      <c r="B341" s="400">
        <v>-6.9689703641584444E-4</v>
      </c>
      <c r="C341" s="401">
        <f t="shared" si="0"/>
        <v>0.42209856915739269</v>
      </c>
      <c r="D341" s="402">
        <f t="shared" ref="D341:F341" si="359">ROUNDDOWN($C341*D$2,0) - IF(MOD($C341*D$2,1)=0,1,0) + 1</f>
        <v>1</v>
      </c>
      <c r="E341" s="402">
        <f t="shared" si="359"/>
        <v>2</v>
      </c>
      <c r="F341" s="402">
        <f t="shared" si="359"/>
        <v>2</v>
      </c>
      <c r="G341" s="401">
        <f t="shared" si="3"/>
        <v>0</v>
      </c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 ht="15.75" customHeight="1">
      <c r="A342" s="399">
        <v>42802</v>
      </c>
      <c r="B342" s="400">
        <v>5.2953830878703645E-3</v>
      </c>
      <c r="C342" s="401">
        <f t="shared" si="0"/>
        <v>0.61367249602543716</v>
      </c>
      <c r="D342" s="402">
        <f t="shared" ref="D342:F342" si="360">ROUNDDOWN($C342*D$2,0) - IF(MOD($C342*D$2,1)=0,1,0) + 1</f>
        <v>2</v>
      </c>
      <c r="E342" s="402">
        <f t="shared" si="360"/>
        <v>2</v>
      </c>
      <c r="F342" s="402">
        <f t="shared" si="360"/>
        <v>3</v>
      </c>
      <c r="G342" s="401">
        <f t="shared" si="3"/>
        <v>0</v>
      </c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 ht="15.75" customHeight="1">
      <c r="A343" s="399">
        <v>42803</v>
      </c>
      <c r="B343" s="400">
        <v>2.9394473838917357E-3</v>
      </c>
      <c r="C343" s="401">
        <f t="shared" si="0"/>
        <v>0.55007949125596189</v>
      </c>
      <c r="D343" s="402">
        <f t="shared" ref="D343:F343" si="361">ROUNDDOWN($C343*D$2,0) - IF(MOD($C343*D$2,1)=0,1,0) + 1</f>
        <v>2</v>
      </c>
      <c r="E343" s="402">
        <f t="shared" si="361"/>
        <v>2</v>
      </c>
      <c r="F343" s="402">
        <f t="shared" si="361"/>
        <v>3</v>
      </c>
      <c r="G343" s="401">
        <f t="shared" si="3"/>
        <v>0</v>
      </c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 ht="15.75" customHeight="1">
      <c r="A344" s="399">
        <v>42804</v>
      </c>
      <c r="B344" s="400">
        <v>-6.3305978897998383E-4</v>
      </c>
      <c r="C344" s="401">
        <f t="shared" si="0"/>
        <v>0.42368839427662958</v>
      </c>
      <c r="D344" s="402">
        <f t="shared" ref="D344:F344" si="362">ROUNDDOWN($C344*D$2,0) - IF(MOD($C344*D$2,1)=0,1,0) + 1</f>
        <v>1</v>
      </c>
      <c r="E344" s="402">
        <f t="shared" si="362"/>
        <v>2</v>
      </c>
      <c r="F344" s="402">
        <f t="shared" si="362"/>
        <v>2</v>
      </c>
      <c r="G344" s="401">
        <f t="shared" si="3"/>
        <v>0</v>
      </c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 ht="15.75" customHeight="1">
      <c r="A345" s="399">
        <v>42807</v>
      </c>
      <c r="B345" s="400">
        <v>2.4986509630950948E-3</v>
      </c>
      <c r="C345" s="401">
        <f t="shared" si="0"/>
        <v>0.53974562798092207</v>
      </c>
      <c r="D345" s="402">
        <f t="shared" ref="D345:F345" si="363">ROUNDDOWN($C345*D$2,0) - IF(MOD($C345*D$2,1)=0,1,0) + 1</f>
        <v>2</v>
      </c>
      <c r="E345" s="402">
        <f t="shared" si="363"/>
        <v>2</v>
      </c>
      <c r="F345" s="402">
        <f t="shared" si="363"/>
        <v>3</v>
      </c>
      <c r="G345" s="401">
        <f t="shared" si="3"/>
        <v>0</v>
      </c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 ht="15.75" customHeight="1">
      <c r="A346" s="399">
        <v>42808</v>
      </c>
      <c r="B346" s="400">
        <v>-2.4105126434899038E-3</v>
      </c>
      <c r="C346" s="401">
        <f t="shared" si="0"/>
        <v>0.37519872813990462</v>
      </c>
      <c r="D346" s="402">
        <f t="shared" ref="D346:F346" si="364">ROUNDDOWN($C346*D$2,0) - IF(MOD($C346*D$2,1)=0,1,0) + 1</f>
        <v>1</v>
      </c>
      <c r="E346" s="402">
        <f t="shared" si="364"/>
        <v>2</v>
      </c>
      <c r="F346" s="402">
        <f t="shared" si="364"/>
        <v>2</v>
      </c>
      <c r="G346" s="401">
        <f t="shared" si="3"/>
        <v>0</v>
      </c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 ht="15.75" customHeight="1">
      <c r="A347" s="399">
        <v>42809</v>
      </c>
      <c r="B347" s="400">
        <v>5.1611086999869826E-4</v>
      </c>
      <c r="C347" s="401">
        <f t="shared" si="0"/>
        <v>0.46422893481717009</v>
      </c>
      <c r="D347" s="402">
        <f t="shared" ref="D347:F347" si="365">ROUNDDOWN($C347*D$2,0) - IF(MOD($C347*D$2,1)=0,1,0) + 1</f>
        <v>1</v>
      </c>
      <c r="E347" s="402">
        <f t="shared" si="365"/>
        <v>2</v>
      </c>
      <c r="F347" s="402">
        <f t="shared" si="365"/>
        <v>2</v>
      </c>
      <c r="G347" s="401">
        <f t="shared" si="3"/>
        <v>0</v>
      </c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 ht="15.75" customHeight="1">
      <c r="A348" s="399">
        <v>42810</v>
      </c>
      <c r="B348" s="400">
        <v>5.2756837872358631E-4</v>
      </c>
      <c r="C348" s="401">
        <f t="shared" si="0"/>
        <v>0.46502384737678853</v>
      </c>
      <c r="D348" s="402">
        <f t="shared" ref="D348:F348" si="366">ROUNDDOWN($C348*D$2,0) - IF(MOD($C348*D$2,1)=0,1,0) + 1</f>
        <v>1</v>
      </c>
      <c r="E348" s="402">
        <f t="shared" si="366"/>
        <v>2</v>
      </c>
      <c r="F348" s="402">
        <f t="shared" si="366"/>
        <v>2</v>
      </c>
      <c r="G348" s="401">
        <f t="shared" si="3"/>
        <v>0</v>
      </c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 ht="15.75" customHeight="1">
      <c r="A349" s="399">
        <v>42811</v>
      </c>
      <c r="B349" s="400">
        <v>-1.3006491528204656E-3</v>
      </c>
      <c r="C349" s="401">
        <f t="shared" si="0"/>
        <v>0.40461049284578698</v>
      </c>
      <c r="D349" s="402">
        <f t="shared" ref="D349:F349" si="367">ROUNDDOWN($C349*D$2,0) - IF(MOD($C349*D$2,1)=0,1,0) + 1</f>
        <v>1</v>
      </c>
      <c r="E349" s="402">
        <f t="shared" si="367"/>
        <v>2</v>
      </c>
      <c r="F349" s="402">
        <f t="shared" si="367"/>
        <v>2</v>
      </c>
      <c r="G349" s="401">
        <f t="shared" si="3"/>
        <v>0</v>
      </c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 ht="15.75" customHeight="1">
      <c r="A350" s="399">
        <v>42814</v>
      </c>
      <c r="B350" s="400">
        <v>5.467494221586211E-3</v>
      </c>
      <c r="C350" s="401">
        <f t="shared" si="0"/>
        <v>0.61764705882352944</v>
      </c>
      <c r="D350" s="402">
        <f t="shared" ref="D350:F350" si="368">ROUNDDOWN($C350*D$2,0) - IF(MOD($C350*D$2,1)=0,1,0) + 1</f>
        <v>2</v>
      </c>
      <c r="E350" s="402">
        <f t="shared" si="368"/>
        <v>2</v>
      </c>
      <c r="F350" s="402">
        <f t="shared" si="368"/>
        <v>3</v>
      </c>
      <c r="G350" s="401">
        <f t="shared" si="3"/>
        <v>0</v>
      </c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 ht="15.75" customHeight="1">
      <c r="A351" s="399">
        <v>42815</v>
      </c>
      <c r="B351" s="400">
        <v>-1.6068240428486424E-2</v>
      </c>
      <c r="C351" s="401">
        <f t="shared" si="0"/>
        <v>0.1232114467408585</v>
      </c>
      <c r="D351" s="402">
        <f t="shared" ref="D351:F351" si="369">ROUNDDOWN($C351*D$2,0) - IF(MOD($C351*D$2,1)=0,1,0) + 1</f>
        <v>1</v>
      </c>
      <c r="E351" s="402">
        <f t="shared" si="369"/>
        <v>1</v>
      </c>
      <c r="F351" s="402">
        <f t="shared" si="369"/>
        <v>1</v>
      </c>
      <c r="G351" s="401">
        <f t="shared" si="3"/>
        <v>0</v>
      </c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 ht="15.75" customHeight="1">
      <c r="A352" s="399">
        <v>42816</v>
      </c>
      <c r="B352" s="400">
        <v>5.7637571157493905E-3</v>
      </c>
      <c r="C352" s="401">
        <f t="shared" si="0"/>
        <v>0.62798092209856915</v>
      </c>
      <c r="D352" s="402">
        <f t="shared" ref="D352:F352" si="370">ROUNDDOWN($C352*D$2,0) - IF(MOD($C352*D$2,1)=0,1,0) + 1</f>
        <v>2</v>
      </c>
      <c r="E352" s="402">
        <f t="shared" si="370"/>
        <v>2</v>
      </c>
      <c r="F352" s="402">
        <f t="shared" si="370"/>
        <v>3</v>
      </c>
      <c r="G352" s="401">
        <f t="shared" si="3"/>
        <v>5.7637571157493905E-3</v>
      </c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 ht="15.75" customHeight="1">
      <c r="A353" s="399">
        <v>42817</v>
      </c>
      <c r="B353" s="400">
        <v>-8.018300591938754E-4</v>
      </c>
      <c r="C353" s="401">
        <f t="shared" si="0"/>
        <v>0.41971383147853736</v>
      </c>
      <c r="D353" s="402">
        <f t="shared" ref="D353:F353" si="371">ROUNDDOWN($C353*D$2,0) - IF(MOD($C353*D$2,1)=0,1,0) + 1</f>
        <v>1</v>
      </c>
      <c r="E353" s="402">
        <f t="shared" si="371"/>
        <v>2</v>
      </c>
      <c r="F353" s="402">
        <f t="shared" si="371"/>
        <v>2</v>
      </c>
      <c r="G353" s="401">
        <f t="shared" si="3"/>
        <v>0</v>
      </c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 ht="15.75" customHeight="1">
      <c r="A354" s="399">
        <v>42818</v>
      </c>
      <c r="B354" s="400">
        <v>-2.0887913332860997E-3</v>
      </c>
      <c r="C354" s="401">
        <f t="shared" si="0"/>
        <v>0.38473767885532589</v>
      </c>
      <c r="D354" s="402">
        <f t="shared" ref="D354:F354" si="372">ROUNDDOWN($C354*D$2,0) - IF(MOD($C354*D$2,1)=0,1,0) + 1</f>
        <v>1</v>
      </c>
      <c r="E354" s="402">
        <f t="shared" si="372"/>
        <v>2</v>
      </c>
      <c r="F354" s="402">
        <f t="shared" si="372"/>
        <v>2</v>
      </c>
      <c r="G354" s="401">
        <f t="shared" si="3"/>
        <v>0</v>
      </c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 ht="15.75" customHeight="1">
      <c r="A355" s="399">
        <v>42821</v>
      </c>
      <c r="B355" s="400">
        <v>1.4309196911106437E-3</v>
      </c>
      <c r="C355" s="401">
        <f t="shared" si="0"/>
        <v>0.50158982511923689</v>
      </c>
      <c r="D355" s="402">
        <f t="shared" ref="D355:F355" si="373">ROUNDDOWN($C355*D$2,0) - IF(MOD($C355*D$2,1)=0,1,0) + 1</f>
        <v>2</v>
      </c>
      <c r="E355" s="402">
        <f t="shared" si="373"/>
        <v>2</v>
      </c>
      <c r="F355" s="402">
        <f t="shared" si="373"/>
        <v>3</v>
      </c>
      <c r="G355" s="401">
        <f t="shared" si="3"/>
        <v>0</v>
      </c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 ht="15.75" customHeight="1">
      <c r="A356" s="399">
        <v>42822</v>
      </c>
      <c r="B356" s="400">
        <v>1.0840556434661419E-2</v>
      </c>
      <c r="C356" s="401">
        <f t="shared" si="0"/>
        <v>0.75755166931637519</v>
      </c>
      <c r="D356" s="402">
        <f t="shared" ref="D356:F356" si="374">ROUNDDOWN($C356*D$2,0) - IF(MOD($C356*D$2,1)=0,1,0) + 1</f>
        <v>2</v>
      </c>
      <c r="E356" s="402">
        <f t="shared" si="374"/>
        <v>3</v>
      </c>
      <c r="F356" s="402">
        <f t="shared" si="374"/>
        <v>4</v>
      </c>
      <c r="G356" s="401">
        <f t="shared" si="3"/>
        <v>0</v>
      </c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 ht="15.75" customHeight="1">
      <c r="A357" s="399">
        <v>42823</v>
      </c>
      <c r="B357" s="400">
        <v>2.140186915887865E-2</v>
      </c>
      <c r="C357" s="401">
        <f t="shared" si="0"/>
        <v>0.90699523052464226</v>
      </c>
      <c r="D357" s="402">
        <f t="shared" ref="D357:F357" si="375">ROUNDDOWN($C357*D$2,0) - IF(MOD($C357*D$2,1)=0,1,0) + 1</f>
        <v>2</v>
      </c>
      <c r="E357" s="402">
        <f t="shared" si="375"/>
        <v>3</v>
      </c>
      <c r="F357" s="402">
        <f t="shared" si="375"/>
        <v>4</v>
      </c>
      <c r="G357" s="401">
        <f t="shared" si="3"/>
        <v>0</v>
      </c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 ht="15.75" customHeight="1">
      <c r="A358" s="399">
        <v>42824</v>
      </c>
      <c r="B358" s="400">
        <v>2.3103669137158889E-3</v>
      </c>
      <c r="C358" s="401">
        <f t="shared" si="0"/>
        <v>0.53338632750397452</v>
      </c>
      <c r="D358" s="402">
        <f t="shared" ref="D358:F358" si="376">ROUNDDOWN($C358*D$2,0) - IF(MOD($C358*D$2,1)=0,1,0) + 1</f>
        <v>2</v>
      </c>
      <c r="E358" s="402">
        <f t="shared" si="376"/>
        <v>2</v>
      </c>
      <c r="F358" s="402">
        <f t="shared" si="376"/>
        <v>3</v>
      </c>
      <c r="G358" s="401">
        <f t="shared" si="3"/>
        <v>0</v>
      </c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 ht="15.75" customHeight="1">
      <c r="A359" s="399">
        <v>42825</v>
      </c>
      <c r="B359" s="400">
        <v>1.1639318072893978E-2</v>
      </c>
      <c r="C359" s="401">
        <f t="shared" si="0"/>
        <v>0.77503974562798095</v>
      </c>
      <c r="D359" s="402">
        <f t="shared" ref="D359:F359" si="377">ROUNDDOWN($C359*D$2,0) - IF(MOD($C359*D$2,1)=0,1,0) + 1</f>
        <v>2</v>
      </c>
      <c r="E359" s="402">
        <f t="shared" si="377"/>
        <v>3</v>
      </c>
      <c r="F359" s="402">
        <f t="shared" si="377"/>
        <v>4</v>
      </c>
      <c r="G359" s="401">
        <f t="shared" si="3"/>
        <v>0</v>
      </c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 ht="15.75" customHeight="1">
      <c r="A360" s="399">
        <v>42828</v>
      </c>
      <c r="B360" s="400">
        <v>5.6060640241839543E-3</v>
      </c>
      <c r="C360" s="401">
        <f t="shared" si="0"/>
        <v>0.62082670906200321</v>
      </c>
      <c r="D360" s="402">
        <f t="shared" ref="D360:F360" si="378">ROUNDDOWN($C360*D$2,0) - IF(MOD($C360*D$2,1)=0,1,0) + 1</f>
        <v>2</v>
      </c>
      <c r="E360" s="402">
        <f t="shared" si="378"/>
        <v>2</v>
      </c>
      <c r="F360" s="402">
        <f t="shared" si="378"/>
        <v>3</v>
      </c>
      <c r="G360" s="401">
        <f t="shared" si="3"/>
        <v>0</v>
      </c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 ht="15.75" customHeight="1">
      <c r="A361" s="399">
        <v>42829</v>
      </c>
      <c r="B361" s="400">
        <v>1.7184327713654524E-2</v>
      </c>
      <c r="C361" s="401">
        <f t="shared" si="0"/>
        <v>0.86963434022257546</v>
      </c>
      <c r="D361" s="402">
        <f t="shared" ref="D361:F361" si="379">ROUNDDOWN($C361*D$2,0) - IF(MOD($C361*D$2,1)=0,1,0) + 1</f>
        <v>2</v>
      </c>
      <c r="E361" s="402">
        <f t="shared" si="379"/>
        <v>3</v>
      </c>
      <c r="F361" s="402">
        <f t="shared" si="379"/>
        <v>4</v>
      </c>
      <c r="G361" s="401">
        <f t="shared" si="3"/>
        <v>0</v>
      </c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 ht="15.75" customHeight="1">
      <c r="A362" s="399">
        <v>42830</v>
      </c>
      <c r="B362" s="400">
        <v>2.7017191755895897E-3</v>
      </c>
      <c r="C362" s="401">
        <f t="shared" si="0"/>
        <v>0.54531001589825123</v>
      </c>
      <c r="D362" s="402">
        <f t="shared" ref="D362:F362" si="380">ROUNDDOWN($C362*D$2,0) - IF(MOD($C362*D$2,1)=0,1,0) + 1</f>
        <v>2</v>
      </c>
      <c r="E362" s="402">
        <f t="shared" si="380"/>
        <v>2</v>
      </c>
      <c r="F362" s="402">
        <f t="shared" si="380"/>
        <v>3</v>
      </c>
      <c r="G362" s="401">
        <f t="shared" si="3"/>
        <v>0</v>
      </c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 ht="15.75" customHeight="1">
      <c r="A363" s="399">
        <v>42831</v>
      </c>
      <c r="B363" s="400">
        <v>-1.2097483723385483E-2</v>
      </c>
      <c r="C363" s="401">
        <f t="shared" si="0"/>
        <v>0.16534181240063592</v>
      </c>
      <c r="D363" s="402">
        <f t="shared" ref="D363:F363" si="381">ROUNDDOWN($C363*D$2,0) - IF(MOD($C363*D$2,1)=0,1,0) + 1</f>
        <v>1</v>
      </c>
      <c r="E363" s="402">
        <f t="shared" si="381"/>
        <v>1</v>
      </c>
      <c r="F363" s="402">
        <f t="shared" si="381"/>
        <v>1</v>
      </c>
      <c r="G363" s="401">
        <f t="shared" si="3"/>
        <v>0</v>
      </c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 ht="15.75" customHeight="1">
      <c r="A364" s="399">
        <v>42832</v>
      </c>
      <c r="B364" s="400">
        <v>-3.7850113550340625E-3</v>
      </c>
      <c r="C364" s="401">
        <f t="shared" si="0"/>
        <v>0.33704292527821939</v>
      </c>
      <c r="D364" s="402">
        <f t="shared" ref="D364:F364" si="382">ROUNDDOWN($C364*D$2,0) - IF(MOD($C364*D$2,1)=0,1,0) + 1</f>
        <v>1</v>
      </c>
      <c r="E364" s="402">
        <f t="shared" si="382"/>
        <v>2</v>
      </c>
      <c r="F364" s="402">
        <f t="shared" si="382"/>
        <v>2</v>
      </c>
      <c r="G364" s="401">
        <f t="shared" si="3"/>
        <v>-3.7850113550340625E-3</v>
      </c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 ht="15.75" customHeight="1">
      <c r="A365" s="399">
        <v>42835</v>
      </c>
      <c r="B365" s="400">
        <v>1.358841408903988E-2</v>
      </c>
      <c r="C365" s="401">
        <f t="shared" si="0"/>
        <v>0.81558028616852152</v>
      </c>
      <c r="D365" s="402">
        <f t="shared" ref="D365:F365" si="383">ROUNDDOWN($C365*D$2,0) - IF(MOD($C365*D$2,1)=0,1,0) + 1</f>
        <v>2</v>
      </c>
      <c r="E365" s="402">
        <f t="shared" si="383"/>
        <v>3</v>
      </c>
      <c r="F365" s="402">
        <f t="shared" si="383"/>
        <v>4</v>
      </c>
      <c r="G365" s="401">
        <f t="shared" si="3"/>
        <v>0</v>
      </c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 ht="15.75" customHeight="1">
      <c r="A366" s="399">
        <v>42836</v>
      </c>
      <c r="B366" s="400">
        <v>-5.1596401481742715E-3</v>
      </c>
      <c r="C366" s="401">
        <f t="shared" si="0"/>
        <v>0.29093799682034976</v>
      </c>
      <c r="D366" s="402">
        <f t="shared" ref="D366:F366" si="384">ROUNDDOWN($C366*D$2,0) - IF(MOD($C366*D$2,1)=0,1,0) + 1</f>
        <v>1</v>
      </c>
      <c r="E366" s="402">
        <f t="shared" si="384"/>
        <v>1</v>
      </c>
      <c r="F366" s="402">
        <f t="shared" si="384"/>
        <v>2</v>
      </c>
      <c r="G366" s="401">
        <f t="shared" si="3"/>
        <v>0</v>
      </c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 ht="15.75" customHeight="1">
      <c r="A367" s="399">
        <v>42837</v>
      </c>
      <c r="B367" s="400">
        <v>-6.7932975752471592E-3</v>
      </c>
      <c r="C367" s="401">
        <f t="shared" si="0"/>
        <v>0.24801271860095389</v>
      </c>
      <c r="D367" s="402">
        <f t="shared" ref="D367:F367" si="385">ROUNDDOWN($C367*D$2,0) - IF(MOD($C367*D$2,1)=0,1,0) + 1</f>
        <v>1</v>
      </c>
      <c r="E367" s="402">
        <f t="shared" si="385"/>
        <v>1</v>
      </c>
      <c r="F367" s="402">
        <f t="shared" si="385"/>
        <v>1</v>
      </c>
      <c r="G367" s="401">
        <f t="shared" si="3"/>
        <v>0</v>
      </c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 ht="15.75" customHeight="1">
      <c r="A368" s="399">
        <v>42838</v>
      </c>
      <c r="B368" s="400">
        <v>-1.2898474721890651E-2</v>
      </c>
      <c r="C368" s="401">
        <f t="shared" si="0"/>
        <v>0.1518282988871224</v>
      </c>
      <c r="D368" s="402">
        <f t="shared" ref="D368:F368" si="386">ROUNDDOWN($C368*D$2,0) - IF(MOD($C368*D$2,1)=0,1,0) + 1</f>
        <v>1</v>
      </c>
      <c r="E368" s="402">
        <f t="shared" si="386"/>
        <v>1</v>
      </c>
      <c r="F368" s="402">
        <f t="shared" si="386"/>
        <v>1</v>
      </c>
      <c r="G368" s="401">
        <f t="shared" si="3"/>
        <v>-1.2898474721890651E-2</v>
      </c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 ht="15.75" customHeight="1">
      <c r="A369" s="399">
        <v>42842</v>
      </c>
      <c r="B369" s="400">
        <v>1.9577921710920432E-2</v>
      </c>
      <c r="C369" s="401">
        <f t="shared" si="0"/>
        <v>0.89666136724960255</v>
      </c>
      <c r="D369" s="402">
        <f t="shared" ref="D369:F369" si="387">ROUNDDOWN($C369*D$2,0) - IF(MOD($C369*D$2,1)=0,1,0) + 1</f>
        <v>2</v>
      </c>
      <c r="E369" s="402">
        <f t="shared" si="387"/>
        <v>3</v>
      </c>
      <c r="F369" s="402">
        <f t="shared" si="387"/>
        <v>4</v>
      </c>
      <c r="G369" s="401">
        <f t="shared" si="3"/>
        <v>1.9577921710920432E-2</v>
      </c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spans="1:20" ht="15.75" customHeight="1">
      <c r="A370" s="399">
        <v>42843</v>
      </c>
      <c r="B370" s="400">
        <v>1.9845009368173461E-3</v>
      </c>
      <c r="C370" s="401">
        <f t="shared" si="0"/>
        <v>0.52066772655007953</v>
      </c>
      <c r="D370" s="402">
        <f t="shared" ref="D370:F370" si="388">ROUNDDOWN($C370*D$2,0) - IF(MOD($C370*D$2,1)=0,1,0) + 1</f>
        <v>2</v>
      </c>
      <c r="E370" s="402">
        <f t="shared" si="388"/>
        <v>2</v>
      </c>
      <c r="F370" s="402">
        <f t="shared" si="388"/>
        <v>3</v>
      </c>
      <c r="G370" s="401">
        <f t="shared" si="3"/>
        <v>0</v>
      </c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1:20" ht="15.75" customHeight="1">
      <c r="A371" s="399">
        <v>42844</v>
      </c>
      <c r="B371" s="400">
        <v>-5.0676049481067631E-3</v>
      </c>
      <c r="C371" s="401">
        <f t="shared" si="0"/>
        <v>0.29252782193958665</v>
      </c>
      <c r="D371" s="402">
        <f t="shared" ref="D371:F371" si="389">ROUNDDOWN($C371*D$2,0) - IF(MOD($C371*D$2,1)=0,1,0) + 1</f>
        <v>1</v>
      </c>
      <c r="E371" s="402">
        <f t="shared" si="389"/>
        <v>1</v>
      </c>
      <c r="F371" s="402">
        <f t="shared" si="389"/>
        <v>2</v>
      </c>
      <c r="G371" s="401">
        <f t="shared" si="3"/>
        <v>0</v>
      </c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1:20" ht="15.75" customHeight="1">
      <c r="A372" s="399">
        <v>42845</v>
      </c>
      <c r="B372" s="400">
        <v>3.1806049822062921E-3</v>
      </c>
      <c r="C372" s="401">
        <f t="shared" si="0"/>
        <v>0.55643879173290933</v>
      </c>
      <c r="D372" s="402">
        <f t="shared" ref="D372:F372" si="390">ROUNDDOWN($C372*D$2,0) - IF(MOD($C372*D$2,1)=0,1,0) + 1</f>
        <v>2</v>
      </c>
      <c r="E372" s="402">
        <f t="shared" si="390"/>
        <v>2</v>
      </c>
      <c r="F372" s="402">
        <f t="shared" si="390"/>
        <v>3</v>
      </c>
      <c r="G372" s="401">
        <f t="shared" si="3"/>
        <v>0</v>
      </c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20" ht="15.75" customHeight="1">
      <c r="A373" s="399">
        <v>42846</v>
      </c>
      <c r="B373" s="400">
        <v>-3.913265193002613E-3</v>
      </c>
      <c r="C373" s="401">
        <f t="shared" si="0"/>
        <v>0.33147853736089028</v>
      </c>
      <c r="D373" s="402">
        <f t="shared" ref="D373:F373" si="391">ROUNDDOWN($C373*D$2,0) - IF(MOD($C373*D$2,1)=0,1,0) + 1</f>
        <v>1</v>
      </c>
      <c r="E373" s="402">
        <f t="shared" si="391"/>
        <v>1</v>
      </c>
      <c r="F373" s="402">
        <f t="shared" si="391"/>
        <v>2</v>
      </c>
      <c r="G373" s="401">
        <f t="shared" si="3"/>
        <v>0</v>
      </c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20" ht="15.75" customHeight="1">
      <c r="A374" s="399">
        <v>42849</v>
      </c>
      <c r="B374" s="400">
        <v>9.8828085873594596E-3</v>
      </c>
      <c r="C374" s="401">
        <f t="shared" si="0"/>
        <v>0.74085850556438793</v>
      </c>
      <c r="D374" s="402">
        <f t="shared" ref="D374:F374" si="392">ROUNDDOWN($C374*D$2,0) - IF(MOD($C374*D$2,1)=0,1,0) + 1</f>
        <v>2</v>
      </c>
      <c r="E374" s="402">
        <f t="shared" si="392"/>
        <v>3</v>
      </c>
      <c r="F374" s="402">
        <f t="shared" si="392"/>
        <v>3</v>
      </c>
      <c r="G374" s="401">
        <f t="shared" si="3"/>
        <v>0</v>
      </c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 ht="15.75" customHeight="1">
      <c r="A375" s="399">
        <v>42850</v>
      </c>
      <c r="B375" s="400">
        <v>2.3142791020602793E-4</v>
      </c>
      <c r="C375" s="401">
        <f t="shared" si="0"/>
        <v>0.45548489666136727</v>
      </c>
      <c r="D375" s="402">
        <f t="shared" ref="D375:F375" si="393">ROUNDDOWN($C375*D$2,0) - IF(MOD($C375*D$2,1)=0,1,0) + 1</f>
        <v>1</v>
      </c>
      <c r="E375" s="402">
        <f t="shared" si="393"/>
        <v>2</v>
      </c>
      <c r="F375" s="402">
        <f t="shared" si="393"/>
        <v>2</v>
      </c>
      <c r="G375" s="401">
        <f t="shared" si="3"/>
        <v>0</v>
      </c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 ht="15.75" customHeight="1">
      <c r="A376" s="399">
        <v>42851</v>
      </c>
      <c r="B376" s="400">
        <v>1.8399770829200524E-3</v>
      </c>
      <c r="C376" s="401">
        <f t="shared" si="0"/>
        <v>0.51589825119236887</v>
      </c>
      <c r="D376" s="402">
        <f t="shared" ref="D376:F376" si="394">ROUNDDOWN($C376*D$2,0) - IF(MOD($C376*D$2,1)=0,1,0) + 1</f>
        <v>2</v>
      </c>
      <c r="E376" s="402">
        <f t="shared" si="394"/>
        <v>2</v>
      </c>
      <c r="F376" s="402">
        <f t="shared" si="394"/>
        <v>3</v>
      </c>
      <c r="G376" s="401">
        <f t="shared" si="3"/>
        <v>0</v>
      </c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 ht="15.75" customHeight="1">
      <c r="A377" s="399">
        <v>42852</v>
      </c>
      <c r="B377" s="400">
        <v>9.9968106984571481E-3</v>
      </c>
      <c r="C377" s="401">
        <f t="shared" si="0"/>
        <v>0.74483306836248009</v>
      </c>
      <c r="D377" s="402">
        <f t="shared" ref="D377:F377" si="395">ROUNDDOWN($C377*D$2,0) - IF(MOD($C377*D$2,1)=0,1,0) + 1</f>
        <v>2</v>
      </c>
      <c r="E377" s="402">
        <f t="shared" si="395"/>
        <v>3</v>
      </c>
      <c r="F377" s="402">
        <f t="shared" si="395"/>
        <v>3</v>
      </c>
      <c r="G377" s="401">
        <f t="shared" si="3"/>
        <v>0</v>
      </c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1:20" ht="15.75" customHeight="1">
      <c r="A378" s="399">
        <v>42853</v>
      </c>
      <c r="B378" s="400">
        <v>7.1974563906007649E-3</v>
      </c>
      <c r="C378" s="401">
        <f t="shared" si="0"/>
        <v>0.66852146263910972</v>
      </c>
      <c r="D378" s="402">
        <f t="shared" ref="D378:F378" si="396">ROUNDDOWN($C378*D$2,0) - IF(MOD($C378*D$2,1)=0,1,0) + 1</f>
        <v>2</v>
      </c>
      <c r="E378" s="402">
        <f t="shared" si="396"/>
        <v>3</v>
      </c>
      <c r="F378" s="402">
        <f t="shared" si="396"/>
        <v>3</v>
      </c>
      <c r="G378" s="401">
        <f t="shared" si="3"/>
        <v>0</v>
      </c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1:20" ht="15.75" customHeight="1">
      <c r="A379" s="399">
        <v>42856</v>
      </c>
      <c r="B379" s="400">
        <v>2.5124595941577788E-2</v>
      </c>
      <c r="C379" s="401">
        <f t="shared" si="0"/>
        <v>0.92766295707472179</v>
      </c>
      <c r="D379" s="402">
        <f t="shared" ref="D379:F379" si="397">ROUNDDOWN($C379*D$2,0) - IF(MOD($C379*D$2,1)=0,1,0) + 1</f>
        <v>2</v>
      </c>
      <c r="E379" s="402">
        <f t="shared" si="397"/>
        <v>3</v>
      </c>
      <c r="F379" s="402">
        <f t="shared" si="397"/>
        <v>4</v>
      </c>
      <c r="G379" s="401">
        <f t="shared" si="3"/>
        <v>0</v>
      </c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1:20" ht="15.75" customHeight="1">
      <c r="A380" s="399">
        <v>42857</v>
      </c>
      <c r="B380" s="400">
        <v>-1.360429431677912E-3</v>
      </c>
      <c r="C380" s="401">
        <f t="shared" si="0"/>
        <v>0.40381558028616854</v>
      </c>
      <c r="D380" s="402">
        <f t="shared" ref="D380:F380" si="398">ROUNDDOWN($C380*D$2,0) - IF(MOD($C380*D$2,1)=0,1,0) + 1</f>
        <v>1</v>
      </c>
      <c r="E380" s="402">
        <f t="shared" si="398"/>
        <v>2</v>
      </c>
      <c r="F380" s="402">
        <f t="shared" si="398"/>
        <v>2</v>
      </c>
      <c r="G380" s="401">
        <f t="shared" si="3"/>
        <v>0</v>
      </c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spans="1:20" ht="15.75" customHeight="1">
      <c r="A381" s="399">
        <v>42858</v>
      </c>
      <c r="B381" s="400">
        <v>-6.2411557226434988E-3</v>
      </c>
      <c r="C381" s="401">
        <f t="shared" si="0"/>
        <v>0.26391096979332274</v>
      </c>
      <c r="D381" s="402">
        <f t="shared" ref="D381:F381" si="399">ROUNDDOWN($C381*D$2,0) - IF(MOD($C381*D$2,1)=0,1,0) + 1</f>
        <v>1</v>
      </c>
      <c r="E381" s="402">
        <f t="shared" si="399"/>
        <v>1</v>
      </c>
      <c r="F381" s="402">
        <f t="shared" si="399"/>
        <v>2</v>
      </c>
      <c r="G381" s="401">
        <f t="shared" si="3"/>
        <v>0</v>
      </c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spans="1:20" ht="15.75" customHeight="1">
      <c r="A382" s="399">
        <v>42859</v>
      </c>
      <c r="B382" s="400">
        <v>-3.7193288205477071E-3</v>
      </c>
      <c r="C382" s="401">
        <f t="shared" si="0"/>
        <v>0.34022257551669316</v>
      </c>
      <c r="D382" s="402">
        <f t="shared" ref="D382:F382" si="400">ROUNDDOWN($C382*D$2,0) - IF(MOD($C382*D$2,1)=0,1,0) + 1</f>
        <v>1</v>
      </c>
      <c r="E382" s="402">
        <f t="shared" si="400"/>
        <v>2</v>
      </c>
      <c r="F382" s="402">
        <f t="shared" si="400"/>
        <v>2</v>
      </c>
      <c r="G382" s="401">
        <f t="shared" si="3"/>
        <v>0</v>
      </c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spans="1:20" ht="15.75" customHeight="1">
      <c r="A383" s="399">
        <v>42860</v>
      </c>
      <c r="B383" s="400">
        <v>-3.6052179663583761E-3</v>
      </c>
      <c r="C383" s="401">
        <f t="shared" si="0"/>
        <v>0.34499205087440382</v>
      </c>
      <c r="D383" s="402">
        <f t="shared" ref="D383:F383" si="401">ROUNDDOWN($C383*D$2,0) - IF(MOD($C383*D$2,1)=0,1,0) + 1</f>
        <v>1</v>
      </c>
      <c r="E383" s="402">
        <f t="shared" si="401"/>
        <v>2</v>
      </c>
      <c r="F383" s="402">
        <f t="shared" si="401"/>
        <v>2</v>
      </c>
      <c r="G383" s="401">
        <f t="shared" si="3"/>
        <v>0</v>
      </c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spans="1:20" ht="15.75" customHeight="1">
      <c r="A384" s="399">
        <v>42863</v>
      </c>
      <c r="B384" s="400">
        <v>1.5939624257346185E-2</v>
      </c>
      <c r="C384" s="401">
        <f t="shared" si="0"/>
        <v>0.85453100158982509</v>
      </c>
      <c r="D384" s="402">
        <f t="shared" ref="D384:F384" si="402">ROUNDDOWN($C384*D$2,0) - IF(MOD($C384*D$2,1)=0,1,0) + 1</f>
        <v>2</v>
      </c>
      <c r="E384" s="402">
        <f t="shared" si="402"/>
        <v>3</v>
      </c>
      <c r="F384" s="402">
        <f t="shared" si="402"/>
        <v>4</v>
      </c>
      <c r="G384" s="401">
        <f t="shared" si="3"/>
        <v>0</v>
      </c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spans="1:20" ht="15.75" customHeight="1">
      <c r="A385" s="399">
        <v>42864</v>
      </c>
      <c r="B385" s="400">
        <v>3.9829722667117373E-3</v>
      </c>
      <c r="C385" s="401">
        <f t="shared" si="0"/>
        <v>0.57392686804451509</v>
      </c>
      <c r="D385" s="402">
        <f t="shared" ref="D385:F385" si="403">ROUNDDOWN($C385*D$2,0) - IF(MOD($C385*D$2,1)=0,1,0) + 1</f>
        <v>2</v>
      </c>
      <c r="E385" s="402">
        <f t="shared" si="403"/>
        <v>2</v>
      </c>
      <c r="F385" s="402">
        <f t="shared" si="403"/>
        <v>3</v>
      </c>
      <c r="G385" s="401">
        <f t="shared" si="3"/>
        <v>0</v>
      </c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spans="1:20" ht="15.75" customHeight="1">
      <c r="A386" s="399">
        <v>42865</v>
      </c>
      <c r="B386" s="400">
        <v>-4.0616275896812049E-3</v>
      </c>
      <c r="C386" s="401">
        <f t="shared" si="0"/>
        <v>0.32432432432432434</v>
      </c>
      <c r="D386" s="402">
        <f t="shared" ref="D386:F386" si="404">ROUNDDOWN($C386*D$2,0) - IF(MOD($C386*D$2,1)=0,1,0) + 1</f>
        <v>1</v>
      </c>
      <c r="E386" s="402">
        <f t="shared" si="404"/>
        <v>1</v>
      </c>
      <c r="F386" s="402">
        <f t="shared" si="404"/>
        <v>2</v>
      </c>
      <c r="G386" s="401">
        <f t="shared" si="3"/>
        <v>0</v>
      </c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1:20" ht="15.75" customHeight="1">
      <c r="A387" s="399">
        <v>42866</v>
      </c>
      <c r="B387" s="400">
        <v>-1.4015490805627806E-3</v>
      </c>
      <c r="C387" s="401">
        <f t="shared" si="0"/>
        <v>0.40222575516693165</v>
      </c>
      <c r="D387" s="402">
        <f t="shared" ref="D387:F387" si="405">ROUNDDOWN($C387*D$2,0) - IF(MOD($C387*D$2,1)=0,1,0) + 1</f>
        <v>1</v>
      </c>
      <c r="E387" s="402">
        <f t="shared" si="405"/>
        <v>2</v>
      </c>
      <c r="F387" s="402">
        <f t="shared" si="405"/>
        <v>2</v>
      </c>
      <c r="G387" s="401">
        <f t="shared" si="3"/>
        <v>0</v>
      </c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1:20" ht="15.75" customHeight="1">
      <c r="A388" s="399">
        <v>42867</v>
      </c>
      <c r="B388" s="400">
        <v>1.4488930161879354E-2</v>
      </c>
      <c r="C388" s="401">
        <f t="shared" si="0"/>
        <v>0.83147853736089028</v>
      </c>
      <c r="D388" s="402">
        <f t="shared" ref="D388:F388" si="406">ROUNDDOWN($C388*D$2,0) - IF(MOD($C388*D$2,1)=0,1,0) + 1</f>
        <v>2</v>
      </c>
      <c r="E388" s="402">
        <f t="shared" si="406"/>
        <v>3</v>
      </c>
      <c r="F388" s="402">
        <f t="shared" si="406"/>
        <v>4</v>
      </c>
      <c r="G388" s="401">
        <f t="shared" si="3"/>
        <v>0</v>
      </c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1:20" ht="15.75" customHeight="1">
      <c r="A389" s="399">
        <v>42870</v>
      </c>
      <c r="B389" s="400">
        <v>-3.5158891142663684E-3</v>
      </c>
      <c r="C389" s="401">
        <f t="shared" si="0"/>
        <v>0.34658187599364071</v>
      </c>
      <c r="D389" s="402">
        <f t="shared" ref="D389:F389" si="407">ROUNDDOWN($C389*D$2,0) - IF(MOD($C389*D$2,1)=0,1,0) + 1</f>
        <v>1</v>
      </c>
      <c r="E389" s="402">
        <f t="shared" si="407"/>
        <v>2</v>
      </c>
      <c r="F389" s="402">
        <f t="shared" si="407"/>
        <v>2</v>
      </c>
      <c r="G389" s="401">
        <f t="shared" si="3"/>
        <v>0</v>
      </c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1:20" ht="15.75" customHeight="1">
      <c r="A390" s="399">
        <v>42871</v>
      </c>
      <c r="B390" s="400">
        <v>8.4553796047892593E-3</v>
      </c>
      <c r="C390" s="401">
        <f t="shared" si="0"/>
        <v>0.70031796502384736</v>
      </c>
      <c r="D390" s="402">
        <f t="shared" ref="D390:F390" si="408">ROUNDDOWN($C390*D$2,0) - IF(MOD($C390*D$2,1)=0,1,0) + 1</f>
        <v>2</v>
      </c>
      <c r="E390" s="402">
        <f t="shared" si="408"/>
        <v>3</v>
      </c>
      <c r="F390" s="402">
        <f t="shared" si="408"/>
        <v>3</v>
      </c>
      <c r="G390" s="401">
        <f t="shared" si="3"/>
        <v>0</v>
      </c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1:20" ht="15.75" customHeight="1">
      <c r="A391" s="399">
        <v>42872</v>
      </c>
      <c r="B391" s="400">
        <v>-2.205844296997117E-2</v>
      </c>
      <c r="C391" s="401">
        <f t="shared" si="0"/>
        <v>7.9491255961844198E-2</v>
      </c>
      <c r="D391" s="402">
        <f t="shared" ref="D391:F391" si="409">ROUNDDOWN($C391*D$2,0) - IF(MOD($C391*D$2,1)=0,1,0) + 1</f>
        <v>1</v>
      </c>
      <c r="E391" s="402">
        <f t="shared" si="409"/>
        <v>1</v>
      </c>
      <c r="F391" s="402">
        <f t="shared" si="409"/>
        <v>1</v>
      </c>
      <c r="G391" s="401">
        <f t="shared" si="3"/>
        <v>0</v>
      </c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1:20" ht="15.75" customHeight="1">
      <c r="A392" s="399">
        <v>42873</v>
      </c>
      <c r="B392" s="400">
        <v>1.4532791396756783E-2</v>
      </c>
      <c r="C392" s="401">
        <f t="shared" si="0"/>
        <v>0.83306836248012717</v>
      </c>
      <c r="D392" s="402">
        <f t="shared" ref="D392:F392" si="410">ROUNDDOWN($C392*D$2,0) - IF(MOD($C392*D$2,1)=0,1,0) + 1</f>
        <v>2</v>
      </c>
      <c r="E392" s="402">
        <f t="shared" si="410"/>
        <v>3</v>
      </c>
      <c r="F392" s="402">
        <f t="shared" si="410"/>
        <v>4</v>
      </c>
      <c r="G392" s="401">
        <f t="shared" si="3"/>
        <v>1.4532791396756783E-2</v>
      </c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 ht="15.75" customHeight="1">
      <c r="A393" s="399">
        <v>42874</v>
      </c>
      <c r="B393" s="400">
        <v>1.4084653987000983E-3</v>
      </c>
      <c r="C393" s="401">
        <f t="shared" si="0"/>
        <v>0.5</v>
      </c>
      <c r="D393" s="402">
        <f t="shared" ref="D393:F393" si="411">ROUNDDOWN($C393*D$2,0) - IF(MOD($C393*D$2,1)=0,1,0) + 1</f>
        <v>1</v>
      </c>
      <c r="E393" s="402">
        <f t="shared" si="411"/>
        <v>2</v>
      </c>
      <c r="F393" s="402">
        <f t="shared" si="411"/>
        <v>2</v>
      </c>
      <c r="G393" s="401">
        <f t="shared" si="3"/>
        <v>0</v>
      </c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1:20" ht="15.75" customHeight="1">
      <c r="A394" s="399">
        <v>42877</v>
      </c>
      <c r="B394" s="400">
        <v>1.1283130521753559E-2</v>
      </c>
      <c r="C394" s="401">
        <f t="shared" si="0"/>
        <v>0.76947535771065179</v>
      </c>
      <c r="D394" s="402">
        <f t="shared" ref="D394:F394" si="412">ROUNDDOWN($C394*D$2,0) - IF(MOD($C394*D$2,1)=0,1,0) + 1</f>
        <v>2</v>
      </c>
      <c r="E394" s="402">
        <f t="shared" si="412"/>
        <v>3</v>
      </c>
      <c r="F394" s="402">
        <f t="shared" si="412"/>
        <v>4</v>
      </c>
      <c r="G394" s="401">
        <f t="shared" si="3"/>
        <v>0</v>
      </c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 ht="15.75" customHeight="1">
      <c r="A395" s="399">
        <v>42878</v>
      </c>
      <c r="B395" s="400">
        <v>8.9628813087871961E-4</v>
      </c>
      <c r="C395" s="401">
        <f t="shared" si="0"/>
        <v>0.48092209856915741</v>
      </c>
      <c r="D395" s="402">
        <f t="shared" ref="D395:F395" si="413">ROUNDDOWN($C395*D$2,0) - IF(MOD($C395*D$2,1)=0,1,0) + 1</f>
        <v>1</v>
      </c>
      <c r="E395" s="402">
        <f t="shared" si="413"/>
        <v>2</v>
      </c>
      <c r="F395" s="402">
        <f t="shared" si="413"/>
        <v>2</v>
      </c>
      <c r="G395" s="401">
        <f t="shared" si="3"/>
        <v>0</v>
      </c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 ht="15.75" customHeight="1">
      <c r="A396" s="399">
        <v>42879</v>
      </c>
      <c r="B396" s="400">
        <v>9.068077485229642E-3</v>
      </c>
      <c r="C396" s="401">
        <f t="shared" si="0"/>
        <v>0.71542130365659773</v>
      </c>
      <c r="D396" s="402">
        <f t="shared" ref="D396:F396" si="414">ROUNDDOWN($C396*D$2,0) - IF(MOD($C396*D$2,1)=0,1,0) + 1</f>
        <v>2</v>
      </c>
      <c r="E396" s="402">
        <f t="shared" si="414"/>
        <v>3</v>
      </c>
      <c r="F396" s="402">
        <f t="shared" si="414"/>
        <v>3</v>
      </c>
      <c r="G396" s="401">
        <f t="shared" si="3"/>
        <v>0</v>
      </c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 ht="15.75" customHeight="1">
      <c r="A397" s="399">
        <v>42880</v>
      </c>
      <c r="B397" s="400">
        <v>1.32911715203754E-2</v>
      </c>
      <c r="C397" s="401">
        <f t="shared" si="0"/>
        <v>0.80922098569157397</v>
      </c>
      <c r="D397" s="402">
        <f t="shared" ref="D397:F397" si="415">ROUNDDOWN($C397*D$2,0) - IF(MOD($C397*D$2,1)=0,1,0) + 1</f>
        <v>2</v>
      </c>
      <c r="E397" s="402">
        <f t="shared" si="415"/>
        <v>3</v>
      </c>
      <c r="F397" s="402">
        <f t="shared" si="415"/>
        <v>4</v>
      </c>
      <c r="G397" s="401">
        <f t="shared" si="3"/>
        <v>0</v>
      </c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 ht="15.75" customHeight="1">
      <c r="A398" s="399">
        <v>42881</v>
      </c>
      <c r="B398" s="400">
        <v>2.4159938794821034E-3</v>
      </c>
      <c r="C398" s="401">
        <f t="shared" si="0"/>
        <v>0.5365659777424483</v>
      </c>
      <c r="D398" s="402">
        <f t="shared" ref="D398:F398" si="416">ROUNDDOWN($C398*D$2,0) - IF(MOD($C398*D$2,1)=0,1,0) + 1</f>
        <v>2</v>
      </c>
      <c r="E398" s="402">
        <f t="shared" si="416"/>
        <v>2</v>
      </c>
      <c r="F398" s="402">
        <f t="shared" si="416"/>
        <v>3</v>
      </c>
      <c r="G398" s="401">
        <f t="shared" si="3"/>
        <v>0</v>
      </c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1:20" ht="15.75" customHeight="1">
      <c r="A399" s="399">
        <v>42885</v>
      </c>
      <c r="B399" s="400">
        <v>9.2389885316035425E-4</v>
      </c>
      <c r="C399" s="401">
        <f t="shared" si="0"/>
        <v>0.48171701112877585</v>
      </c>
      <c r="D399" s="402">
        <f t="shared" ref="D399:F399" si="417">ROUNDDOWN($C399*D$2,0) - IF(MOD($C399*D$2,1)=0,1,0) + 1</f>
        <v>1</v>
      </c>
      <c r="E399" s="402">
        <f t="shared" si="417"/>
        <v>2</v>
      </c>
      <c r="F399" s="402">
        <f t="shared" si="417"/>
        <v>2</v>
      </c>
      <c r="G399" s="401">
        <f t="shared" si="3"/>
        <v>0</v>
      </c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1:20" ht="15.75" customHeight="1">
      <c r="A400" s="399">
        <v>42886</v>
      </c>
      <c r="B400" s="400">
        <v>-2.0868867261965018E-3</v>
      </c>
      <c r="C400" s="401">
        <f t="shared" si="0"/>
        <v>0.38553259141494434</v>
      </c>
      <c r="D400" s="402">
        <f t="shared" ref="D400:F400" si="418">ROUNDDOWN($C400*D$2,0) - IF(MOD($C400*D$2,1)=0,1,0) + 1</f>
        <v>1</v>
      </c>
      <c r="E400" s="402">
        <f t="shared" si="418"/>
        <v>2</v>
      </c>
      <c r="F400" s="402">
        <f t="shared" si="418"/>
        <v>2</v>
      </c>
      <c r="G400" s="401">
        <f t="shared" si="3"/>
        <v>0</v>
      </c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 ht="15.75" customHeight="1">
      <c r="A401" s="399">
        <v>42887</v>
      </c>
      <c r="B401" s="400">
        <v>1.3371941042810143E-3</v>
      </c>
      <c r="C401" s="401">
        <f t="shared" si="0"/>
        <v>0.49523052464228934</v>
      </c>
      <c r="D401" s="402">
        <f t="shared" ref="D401:F401" si="419">ROUNDDOWN($C401*D$2,0) - IF(MOD($C401*D$2,1)=0,1,0) + 1</f>
        <v>1</v>
      </c>
      <c r="E401" s="402">
        <f t="shared" si="419"/>
        <v>2</v>
      </c>
      <c r="F401" s="402">
        <f t="shared" si="419"/>
        <v>2</v>
      </c>
      <c r="G401" s="401">
        <f t="shared" si="3"/>
        <v>0</v>
      </c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 ht="15.75" customHeight="1">
      <c r="A402" s="399">
        <v>42888</v>
      </c>
      <c r="B402" s="400">
        <v>1.0823836537978693E-2</v>
      </c>
      <c r="C402" s="401">
        <f t="shared" si="0"/>
        <v>0.7567567567567568</v>
      </c>
      <c r="D402" s="402">
        <f t="shared" ref="D402:F402" si="420">ROUNDDOWN($C402*D$2,0) - IF(MOD($C402*D$2,1)=0,1,0) + 1</f>
        <v>2</v>
      </c>
      <c r="E402" s="402">
        <f t="shared" si="420"/>
        <v>3</v>
      </c>
      <c r="F402" s="402">
        <f t="shared" si="420"/>
        <v>4</v>
      </c>
      <c r="G402" s="401">
        <f t="shared" si="3"/>
        <v>0</v>
      </c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 ht="15.75" customHeight="1">
      <c r="A403" s="399">
        <v>42891</v>
      </c>
      <c r="B403" s="400">
        <v>4.5791821044371961E-3</v>
      </c>
      <c r="C403" s="401">
        <f t="shared" si="0"/>
        <v>0.59062003179650235</v>
      </c>
      <c r="D403" s="402">
        <f t="shared" ref="D403:F403" si="421">ROUNDDOWN($C403*D$2,0) - IF(MOD($C403*D$2,1)=0,1,0) + 1</f>
        <v>2</v>
      </c>
      <c r="E403" s="402">
        <f t="shared" si="421"/>
        <v>2</v>
      </c>
      <c r="F403" s="402">
        <f t="shared" si="421"/>
        <v>3</v>
      </c>
      <c r="G403" s="401">
        <f t="shared" si="3"/>
        <v>0</v>
      </c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 ht="15.75" customHeight="1">
      <c r="A404" s="399">
        <v>42892</v>
      </c>
      <c r="B404" s="400">
        <v>-8.2464848616686792E-3</v>
      </c>
      <c r="C404" s="401">
        <f t="shared" si="0"/>
        <v>0.21462639109697934</v>
      </c>
      <c r="D404" s="402">
        <f t="shared" ref="D404:F404" si="422">ROUNDDOWN($C404*D$2,0) - IF(MOD($C404*D$2,1)=0,1,0) + 1</f>
        <v>1</v>
      </c>
      <c r="E404" s="402">
        <f t="shared" si="422"/>
        <v>1</v>
      </c>
      <c r="F404" s="402">
        <f t="shared" si="422"/>
        <v>1</v>
      </c>
      <c r="G404" s="401">
        <f t="shared" si="3"/>
        <v>0</v>
      </c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1:20" ht="15.75" customHeight="1">
      <c r="A405" s="399">
        <v>42893</v>
      </c>
      <c r="B405" s="400">
        <v>7.0488534396810909E-3</v>
      </c>
      <c r="C405" s="401">
        <f t="shared" si="0"/>
        <v>0.66534181240063595</v>
      </c>
      <c r="D405" s="402">
        <f t="shared" ref="D405:F405" si="423">ROUNDDOWN($C405*D$2,0) - IF(MOD($C405*D$2,1)=0,1,0) + 1</f>
        <v>2</v>
      </c>
      <c r="E405" s="402">
        <f t="shared" si="423"/>
        <v>2</v>
      </c>
      <c r="F405" s="402">
        <f t="shared" si="423"/>
        <v>3</v>
      </c>
      <c r="G405" s="401">
        <f t="shared" si="3"/>
        <v>7.0488534396810909E-3</v>
      </c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 ht="15.75" customHeight="1">
      <c r="A406" s="399">
        <v>42894</v>
      </c>
      <c r="B406" s="400">
        <v>1.9800607878650567E-4</v>
      </c>
      <c r="C406" s="401">
        <f t="shared" si="0"/>
        <v>0.45389507154213038</v>
      </c>
      <c r="D406" s="402">
        <f t="shared" ref="D406:F406" si="424">ROUNDDOWN($C406*D$2,0) - IF(MOD($C406*D$2,1)=0,1,0) + 1</f>
        <v>1</v>
      </c>
      <c r="E406" s="402">
        <f t="shared" si="424"/>
        <v>2</v>
      </c>
      <c r="F406" s="402">
        <f t="shared" si="424"/>
        <v>2</v>
      </c>
      <c r="G406" s="401">
        <f t="shared" si="3"/>
        <v>0</v>
      </c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spans="1:20" ht="15.75" customHeight="1">
      <c r="A407" s="399">
        <v>42895</v>
      </c>
      <c r="B407" s="400">
        <v>-3.1635107446524202E-2</v>
      </c>
      <c r="C407" s="401">
        <f t="shared" si="0"/>
        <v>4.2925278219395867E-2</v>
      </c>
      <c r="D407" s="402">
        <f t="shared" ref="D407:F407" si="425">ROUNDDOWN($C407*D$2,0) - IF(MOD($C407*D$2,1)=0,1,0) + 1</f>
        <v>1</v>
      </c>
      <c r="E407" s="402">
        <f t="shared" si="425"/>
        <v>1</v>
      </c>
      <c r="F407" s="402">
        <f t="shared" si="425"/>
        <v>1</v>
      </c>
      <c r="G407" s="401">
        <f t="shared" si="3"/>
        <v>0</v>
      </c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1:20" ht="15.75" customHeight="1">
      <c r="A408" s="399">
        <v>42898</v>
      </c>
      <c r="B408" s="400">
        <v>-1.3697089879486035E-2</v>
      </c>
      <c r="C408" s="401">
        <f t="shared" si="0"/>
        <v>0.14546899841017488</v>
      </c>
      <c r="D408" s="402">
        <f t="shared" ref="D408:F408" si="426">ROUNDDOWN($C408*D$2,0) - IF(MOD($C408*D$2,1)=0,1,0) + 1</f>
        <v>1</v>
      </c>
      <c r="E408" s="402">
        <f t="shared" si="426"/>
        <v>1</v>
      </c>
      <c r="F408" s="402">
        <f t="shared" si="426"/>
        <v>1</v>
      </c>
      <c r="G408" s="401">
        <f t="shared" si="3"/>
        <v>-1.3697089879486035E-2</v>
      </c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1:20" ht="15.75" customHeight="1">
      <c r="A409" s="399">
        <v>42899</v>
      </c>
      <c r="B409" s="400">
        <v>1.6457493444984594E-2</v>
      </c>
      <c r="C409" s="401">
        <f t="shared" si="0"/>
        <v>0.86168521462639114</v>
      </c>
      <c r="D409" s="402">
        <f t="shared" ref="D409:F409" si="427">ROUNDDOWN($C409*D$2,0) - IF(MOD($C409*D$2,1)=0,1,0) + 1</f>
        <v>2</v>
      </c>
      <c r="E409" s="402">
        <f t="shared" si="427"/>
        <v>3</v>
      </c>
      <c r="F409" s="402">
        <f t="shared" si="427"/>
        <v>4</v>
      </c>
      <c r="G409" s="401">
        <f t="shared" si="3"/>
        <v>1.6457493444984594E-2</v>
      </c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 ht="15.75" customHeight="1">
      <c r="A410" s="399">
        <v>42900</v>
      </c>
      <c r="B410" s="400">
        <v>-4.404612608203573E-3</v>
      </c>
      <c r="C410" s="401">
        <f t="shared" si="0"/>
        <v>0.31478537360890302</v>
      </c>
      <c r="D410" s="402">
        <f t="shared" ref="D410:F410" si="428">ROUNDDOWN($C410*D$2,0) - IF(MOD($C410*D$2,1)=0,1,0) + 1</f>
        <v>1</v>
      </c>
      <c r="E410" s="402">
        <f t="shared" si="428"/>
        <v>1</v>
      </c>
      <c r="F410" s="402">
        <f t="shared" si="428"/>
        <v>2</v>
      </c>
      <c r="G410" s="401">
        <f t="shared" si="3"/>
        <v>0</v>
      </c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spans="1:20" ht="15.75" customHeight="1">
      <c r="A411" s="399">
        <v>42901</v>
      </c>
      <c r="B411" s="400">
        <v>-1.2596393130357431E-2</v>
      </c>
      <c r="C411" s="401">
        <f t="shared" si="0"/>
        <v>0.15500794912559618</v>
      </c>
      <c r="D411" s="402">
        <f t="shared" ref="D411:F411" si="429">ROUNDDOWN($C411*D$2,0) - IF(MOD($C411*D$2,1)=0,1,0) + 1</f>
        <v>1</v>
      </c>
      <c r="E411" s="402">
        <f t="shared" si="429"/>
        <v>1</v>
      </c>
      <c r="F411" s="402">
        <f t="shared" si="429"/>
        <v>1</v>
      </c>
      <c r="G411" s="401">
        <f t="shared" si="3"/>
        <v>0</v>
      </c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1:20" ht="15.75" customHeight="1">
      <c r="A412" s="399">
        <v>42902</v>
      </c>
      <c r="B412" s="400">
        <v>2.4414781625647031E-2</v>
      </c>
      <c r="C412" s="401">
        <f t="shared" si="0"/>
        <v>0.92209856915739263</v>
      </c>
      <c r="D412" s="402">
        <f t="shared" ref="D412:F412" si="430">ROUNDDOWN($C412*D$2,0) - IF(MOD($C412*D$2,1)=0,1,0) + 1</f>
        <v>2</v>
      </c>
      <c r="E412" s="402">
        <f t="shared" si="430"/>
        <v>3</v>
      </c>
      <c r="F412" s="402">
        <f t="shared" si="430"/>
        <v>4</v>
      </c>
      <c r="G412" s="401">
        <f t="shared" si="3"/>
        <v>2.4414781625647031E-2</v>
      </c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1:20" ht="15.75" customHeight="1">
      <c r="A413" s="399">
        <v>42905</v>
      </c>
      <c r="B413" s="400">
        <v>7.5528242095350695E-3</v>
      </c>
      <c r="C413" s="401">
        <f t="shared" si="0"/>
        <v>0.68203497615262321</v>
      </c>
      <c r="D413" s="402">
        <f t="shared" ref="D413:F413" si="431">ROUNDDOWN($C413*D$2,0) - IF(MOD($C413*D$2,1)=0,1,0) + 1</f>
        <v>2</v>
      </c>
      <c r="E413" s="402">
        <f t="shared" si="431"/>
        <v>3</v>
      </c>
      <c r="F413" s="402">
        <f t="shared" si="431"/>
        <v>3</v>
      </c>
      <c r="G413" s="401">
        <f t="shared" si="3"/>
        <v>0</v>
      </c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 ht="15.75" customHeight="1">
      <c r="A414" s="399">
        <v>42906</v>
      </c>
      <c r="B414" s="400">
        <v>-2.5925218806835959E-3</v>
      </c>
      <c r="C414" s="401">
        <f t="shared" si="0"/>
        <v>0.37122416534181241</v>
      </c>
      <c r="D414" s="402">
        <f t="shared" ref="D414:F414" si="432">ROUNDDOWN($C414*D$2,0) - IF(MOD($C414*D$2,1)=0,1,0) + 1</f>
        <v>1</v>
      </c>
      <c r="E414" s="402">
        <f t="shared" si="432"/>
        <v>2</v>
      </c>
      <c r="F414" s="402">
        <f t="shared" si="432"/>
        <v>2</v>
      </c>
      <c r="G414" s="401">
        <f t="shared" si="3"/>
        <v>0</v>
      </c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 ht="15.75" customHeight="1">
      <c r="A415" s="399">
        <v>42907</v>
      </c>
      <c r="B415" s="400">
        <v>9.7119656655819675E-3</v>
      </c>
      <c r="C415" s="401">
        <f t="shared" si="0"/>
        <v>0.73449920508744038</v>
      </c>
      <c r="D415" s="402">
        <f t="shared" ref="D415:F415" si="433">ROUNDDOWN($C415*D$2,0) - IF(MOD($C415*D$2,1)=0,1,0) + 1</f>
        <v>2</v>
      </c>
      <c r="E415" s="402">
        <f t="shared" si="433"/>
        <v>3</v>
      </c>
      <c r="F415" s="402">
        <f t="shared" si="433"/>
        <v>3</v>
      </c>
      <c r="G415" s="401">
        <f t="shared" si="3"/>
        <v>0</v>
      </c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 ht="15.75" customHeight="1">
      <c r="A416" s="399">
        <v>42908</v>
      </c>
      <c r="B416" s="400">
        <v>-9.2793071450669729E-4</v>
      </c>
      <c r="C416" s="401">
        <f t="shared" si="0"/>
        <v>0.41573926868044514</v>
      </c>
      <c r="D416" s="402">
        <f t="shared" ref="D416:F416" si="434">ROUNDDOWN($C416*D$2,0) - IF(MOD($C416*D$2,1)=0,1,0) + 1</f>
        <v>1</v>
      </c>
      <c r="E416" s="402">
        <f t="shared" si="434"/>
        <v>2</v>
      </c>
      <c r="F416" s="402">
        <f t="shared" si="434"/>
        <v>2</v>
      </c>
      <c r="G416" s="401">
        <f t="shared" si="3"/>
        <v>0</v>
      </c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1:20" ht="15.75" customHeight="1">
      <c r="A417" s="399">
        <v>42909</v>
      </c>
      <c r="B417" s="400">
        <v>2.4368321182464125E-3</v>
      </c>
      <c r="C417" s="401">
        <f t="shared" si="0"/>
        <v>0.53895071542130368</v>
      </c>
      <c r="D417" s="402">
        <f t="shared" ref="D417:F417" si="435">ROUNDDOWN($C417*D$2,0) - IF(MOD($C417*D$2,1)=0,1,0) + 1</f>
        <v>2</v>
      </c>
      <c r="E417" s="402">
        <f t="shared" si="435"/>
        <v>2</v>
      </c>
      <c r="F417" s="402">
        <f t="shared" si="435"/>
        <v>3</v>
      </c>
      <c r="G417" s="401">
        <f t="shared" si="3"/>
        <v>0</v>
      </c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 ht="15.75" customHeight="1">
      <c r="A418" s="399">
        <v>42912</v>
      </c>
      <c r="B418" s="400">
        <v>-9.7236336102974885E-3</v>
      </c>
      <c r="C418" s="401">
        <f t="shared" si="0"/>
        <v>0.19077901430842609</v>
      </c>
      <c r="D418" s="402">
        <f t="shared" ref="D418:F418" si="436">ROUNDDOWN($C418*D$2,0) - IF(MOD($C418*D$2,1)=0,1,0) + 1</f>
        <v>1</v>
      </c>
      <c r="E418" s="402">
        <f t="shared" si="436"/>
        <v>1</v>
      </c>
      <c r="F418" s="402">
        <f t="shared" si="436"/>
        <v>1</v>
      </c>
      <c r="G418" s="401">
        <f t="shared" si="3"/>
        <v>0</v>
      </c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 ht="15.75" customHeight="1">
      <c r="A419" s="399">
        <v>42913</v>
      </c>
      <c r="B419" s="400">
        <v>-1.7304171110082756E-2</v>
      </c>
      <c r="C419" s="401">
        <f t="shared" si="0"/>
        <v>0.11049284578696343</v>
      </c>
      <c r="D419" s="402">
        <f t="shared" ref="D419:F419" si="437">ROUNDDOWN($C419*D$2,0) - IF(MOD($C419*D$2,1)=0,1,0) + 1</f>
        <v>1</v>
      </c>
      <c r="E419" s="402">
        <f t="shared" si="437"/>
        <v>1</v>
      </c>
      <c r="F419" s="402">
        <f t="shared" si="437"/>
        <v>1</v>
      </c>
      <c r="G419" s="401">
        <f t="shared" si="3"/>
        <v>-1.7304171110082756E-2</v>
      </c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 ht="15.75" customHeight="1">
      <c r="A420" s="399">
        <v>42914</v>
      </c>
      <c r="B420" s="400">
        <v>1.3872110403571059E-2</v>
      </c>
      <c r="C420" s="401">
        <f t="shared" si="0"/>
        <v>0.81796502384737679</v>
      </c>
      <c r="D420" s="402">
        <f t="shared" ref="D420:F420" si="438">ROUNDDOWN($C420*D$2,0) - IF(MOD($C420*D$2,1)=0,1,0) + 1</f>
        <v>2</v>
      </c>
      <c r="E420" s="402">
        <f t="shared" si="438"/>
        <v>3</v>
      </c>
      <c r="F420" s="402">
        <f t="shared" si="438"/>
        <v>4</v>
      </c>
      <c r="G420" s="401">
        <f t="shared" si="3"/>
        <v>1.3872110403571059E-2</v>
      </c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 ht="15.75" customHeight="1">
      <c r="A421" s="399">
        <v>42915</v>
      </c>
      <c r="B421" s="400">
        <v>-1.4540607676229222E-2</v>
      </c>
      <c r="C421" s="401">
        <f t="shared" si="0"/>
        <v>0.13751987281399047</v>
      </c>
      <c r="D421" s="402">
        <f t="shared" ref="D421:F421" si="439">ROUNDDOWN($C421*D$2,0) - IF(MOD($C421*D$2,1)=0,1,0) + 1</f>
        <v>1</v>
      </c>
      <c r="E421" s="402">
        <f t="shared" si="439"/>
        <v>1</v>
      </c>
      <c r="F421" s="402">
        <f t="shared" si="439"/>
        <v>1</v>
      </c>
      <c r="G421" s="401">
        <f t="shared" si="3"/>
        <v>0</v>
      </c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1:20" ht="15.75" customHeight="1">
      <c r="A422" s="399">
        <v>42916</v>
      </c>
      <c r="B422" s="400">
        <v>-8.125582777453233E-3</v>
      </c>
      <c r="C422" s="401">
        <f t="shared" si="0"/>
        <v>0.21780604133545309</v>
      </c>
      <c r="D422" s="402">
        <f t="shared" ref="D422:F422" si="440">ROUNDDOWN($C422*D$2,0) - IF(MOD($C422*D$2,1)=0,1,0) + 1</f>
        <v>1</v>
      </c>
      <c r="E422" s="402">
        <f t="shared" si="440"/>
        <v>1</v>
      </c>
      <c r="F422" s="402">
        <f t="shared" si="440"/>
        <v>1</v>
      </c>
      <c r="G422" s="401">
        <f t="shared" si="3"/>
        <v>-8.125582777453233E-3</v>
      </c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1:20" ht="15.75" customHeight="1">
      <c r="A423" s="399">
        <v>42919</v>
      </c>
      <c r="B423" s="400">
        <v>-1.4814049586776901E-2</v>
      </c>
      <c r="C423" s="401">
        <f t="shared" si="0"/>
        <v>0.13672496025437203</v>
      </c>
      <c r="D423" s="402">
        <f t="shared" ref="D423:F423" si="441">ROUNDDOWN($C423*D$2,0) - IF(MOD($C423*D$2,1)=0,1,0) + 1</f>
        <v>1</v>
      </c>
      <c r="E423" s="402">
        <f t="shared" si="441"/>
        <v>1</v>
      </c>
      <c r="F423" s="402">
        <f t="shared" si="441"/>
        <v>1</v>
      </c>
      <c r="G423" s="401">
        <f t="shared" si="3"/>
        <v>-1.4814049586776901E-2</v>
      </c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 ht="15.75" customHeight="1">
      <c r="A424" s="399">
        <v>42921</v>
      </c>
      <c r="B424" s="400">
        <v>1.8602017490510159E-2</v>
      </c>
      <c r="C424" s="401">
        <f t="shared" si="0"/>
        <v>0.88314785373608906</v>
      </c>
      <c r="D424" s="402">
        <f t="shared" ref="D424:F424" si="442">ROUNDDOWN($C424*D$2,0) - IF(MOD($C424*D$2,1)=0,1,0) + 1</f>
        <v>2</v>
      </c>
      <c r="E424" s="402">
        <f t="shared" si="442"/>
        <v>3</v>
      </c>
      <c r="F424" s="402">
        <f t="shared" si="442"/>
        <v>4</v>
      </c>
      <c r="G424" s="401">
        <f t="shared" si="3"/>
        <v>1.8602017490510159E-2</v>
      </c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 ht="15.75" customHeight="1">
      <c r="A425" s="399">
        <v>42922</v>
      </c>
      <c r="B425" s="400">
        <v>-6.4443071855054823E-3</v>
      </c>
      <c r="C425" s="401">
        <f t="shared" si="0"/>
        <v>0.25675675675675674</v>
      </c>
      <c r="D425" s="402">
        <f t="shared" ref="D425:F425" si="443">ROUNDDOWN($C425*D$2,0) - IF(MOD($C425*D$2,1)=0,1,0) + 1</f>
        <v>1</v>
      </c>
      <c r="E425" s="402">
        <f t="shared" si="443"/>
        <v>1</v>
      </c>
      <c r="F425" s="402">
        <f t="shared" si="443"/>
        <v>2</v>
      </c>
      <c r="G425" s="401">
        <f t="shared" si="3"/>
        <v>0</v>
      </c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1:20" ht="15.75" customHeight="1">
      <c r="A426" s="399">
        <v>42923</v>
      </c>
      <c r="B426" s="400">
        <v>1.4111942308887793E-2</v>
      </c>
      <c r="C426" s="401">
        <f t="shared" si="0"/>
        <v>0.82034976152623207</v>
      </c>
      <c r="D426" s="402">
        <f t="shared" ref="D426:F426" si="444">ROUNDDOWN($C426*D$2,0) - IF(MOD($C426*D$2,1)=0,1,0) + 1</f>
        <v>2</v>
      </c>
      <c r="E426" s="402">
        <f t="shared" si="444"/>
        <v>3</v>
      </c>
      <c r="F426" s="402">
        <f t="shared" si="444"/>
        <v>4</v>
      </c>
      <c r="G426" s="401">
        <f t="shared" si="3"/>
        <v>0</v>
      </c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0" ht="15.75" customHeight="1">
      <c r="A427" s="399">
        <v>42926</v>
      </c>
      <c r="B427" s="400">
        <v>1.8094323429645787E-2</v>
      </c>
      <c r="C427" s="401">
        <f t="shared" si="0"/>
        <v>0.87996820349761529</v>
      </c>
      <c r="D427" s="402">
        <f t="shared" ref="D427:F427" si="445">ROUNDDOWN($C427*D$2,0) - IF(MOD($C427*D$2,1)=0,1,0) + 1</f>
        <v>2</v>
      </c>
      <c r="E427" s="402">
        <f t="shared" si="445"/>
        <v>3</v>
      </c>
      <c r="F427" s="402">
        <f t="shared" si="445"/>
        <v>4</v>
      </c>
      <c r="G427" s="401">
        <f t="shared" si="3"/>
        <v>0</v>
      </c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 ht="15.75" customHeight="1">
      <c r="A428" s="399">
        <v>42927</v>
      </c>
      <c r="B428" s="400">
        <v>-2.3482894618002126E-3</v>
      </c>
      <c r="C428" s="401">
        <f t="shared" si="0"/>
        <v>0.37758346581875996</v>
      </c>
      <c r="D428" s="402">
        <f t="shared" ref="D428:F428" si="446">ROUNDDOWN($C428*D$2,0) - IF(MOD($C428*D$2,1)=0,1,0) + 1</f>
        <v>1</v>
      </c>
      <c r="E428" s="402">
        <f t="shared" si="446"/>
        <v>2</v>
      </c>
      <c r="F428" s="402">
        <f t="shared" si="446"/>
        <v>2</v>
      </c>
      <c r="G428" s="401">
        <f t="shared" si="3"/>
        <v>0</v>
      </c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 ht="15.75" customHeight="1">
      <c r="A429" s="399">
        <v>42928</v>
      </c>
      <c r="B429" s="400">
        <v>1.2453099695210801E-2</v>
      </c>
      <c r="C429" s="401">
        <f t="shared" si="0"/>
        <v>0.79570747217806037</v>
      </c>
      <c r="D429" s="402">
        <f t="shared" ref="D429:F429" si="447">ROUNDDOWN($C429*D$2,0) - IF(MOD($C429*D$2,1)=0,1,0) + 1</f>
        <v>2</v>
      </c>
      <c r="E429" s="402">
        <f t="shared" si="447"/>
        <v>3</v>
      </c>
      <c r="F429" s="402">
        <f t="shared" si="447"/>
        <v>4</v>
      </c>
      <c r="G429" s="401">
        <f t="shared" si="3"/>
        <v>0</v>
      </c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1:20" ht="15.75" customHeight="1">
      <c r="A430" s="399">
        <v>42929</v>
      </c>
      <c r="B430" s="400">
        <v>-5.8419687832211853E-3</v>
      </c>
      <c r="C430" s="401">
        <f t="shared" si="0"/>
        <v>0.27265500794912562</v>
      </c>
      <c r="D430" s="402">
        <f t="shared" ref="D430:F430" si="448">ROUNDDOWN($C430*D$2,0) - IF(MOD($C430*D$2,1)=0,1,0) + 1</f>
        <v>1</v>
      </c>
      <c r="E430" s="402">
        <f t="shared" si="448"/>
        <v>1</v>
      </c>
      <c r="F430" s="402">
        <f t="shared" si="448"/>
        <v>2</v>
      </c>
      <c r="G430" s="401">
        <f t="shared" si="3"/>
        <v>0</v>
      </c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1:20" ht="15.75" customHeight="1">
      <c r="A431" s="399">
        <v>42930</v>
      </c>
      <c r="B431" s="400">
        <v>1.1792570680471126E-3</v>
      </c>
      <c r="C431" s="401">
        <f t="shared" si="0"/>
        <v>0.49046104928457868</v>
      </c>
      <c r="D431" s="402">
        <f t="shared" ref="D431:F431" si="449">ROUNDDOWN($C431*D$2,0) - IF(MOD($C431*D$2,1)=0,1,0) + 1</f>
        <v>1</v>
      </c>
      <c r="E431" s="402">
        <f t="shared" si="449"/>
        <v>2</v>
      </c>
      <c r="F431" s="402">
        <f t="shared" si="449"/>
        <v>2</v>
      </c>
      <c r="G431" s="401">
        <f t="shared" si="3"/>
        <v>0</v>
      </c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1:20" ht="15.75" customHeight="1">
      <c r="A432" s="399">
        <v>42933</v>
      </c>
      <c r="B432" s="400">
        <v>8.2151306135893609E-3</v>
      </c>
      <c r="C432" s="401">
        <f t="shared" si="0"/>
        <v>0.69554848966613669</v>
      </c>
      <c r="D432" s="402">
        <f t="shared" ref="D432:F432" si="450">ROUNDDOWN($C432*D$2,0) - IF(MOD($C432*D$2,1)=0,1,0) + 1</f>
        <v>2</v>
      </c>
      <c r="E432" s="402">
        <f t="shared" si="450"/>
        <v>3</v>
      </c>
      <c r="F432" s="402">
        <f t="shared" si="450"/>
        <v>3</v>
      </c>
      <c r="G432" s="401">
        <f t="shared" si="3"/>
        <v>0</v>
      </c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 ht="15.75" customHeight="1">
      <c r="A433" s="399">
        <v>42934</v>
      </c>
      <c r="B433" s="400">
        <v>1.4266761712407483E-2</v>
      </c>
      <c r="C433" s="401">
        <f t="shared" si="0"/>
        <v>0.82511923688394273</v>
      </c>
      <c r="D433" s="402">
        <f t="shared" ref="D433:F433" si="451">ROUNDDOWN($C433*D$2,0) - IF(MOD($C433*D$2,1)=0,1,0) + 1</f>
        <v>2</v>
      </c>
      <c r="E433" s="402">
        <f t="shared" si="451"/>
        <v>3</v>
      </c>
      <c r="F433" s="402">
        <f t="shared" si="451"/>
        <v>4</v>
      </c>
      <c r="G433" s="401">
        <f t="shared" si="3"/>
        <v>0</v>
      </c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1:20" ht="15.75" customHeight="1">
      <c r="A434" s="399">
        <v>42935</v>
      </c>
      <c r="B434" s="400">
        <v>2.3622431548633305E-3</v>
      </c>
      <c r="C434" s="401">
        <f t="shared" si="0"/>
        <v>0.53577106518282991</v>
      </c>
      <c r="D434" s="402">
        <f t="shared" ref="D434:F434" si="452">ROUNDDOWN($C434*D$2,0) - IF(MOD($C434*D$2,1)=0,1,0) + 1</f>
        <v>2</v>
      </c>
      <c r="E434" s="402">
        <f t="shared" si="452"/>
        <v>2</v>
      </c>
      <c r="F434" s="402">
        <f t="shared" si="452"/>
        <v>3</v>
      </c>
      <c r="G434" s="401">
        <f t="shared" si="3"/>
        <v>0</v>
      </c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 ht="15.75" customHeight="1">
      <c r="A435" s="399">
        <v>42936</v>
      </c>
      <c r="B435" s="400">
        <v>1.7821145812031425E-3</v>
      </c>
      <c r="C435" s="401">
        <f t="shared" si="0"/>
        <v>0.51510333863275037</v>
      </c>
      <c r="D435" s="402">
        <f t="shared" ref="D435:F435" si="453">ROUNDDOWN($C435*D$2,0) - IF(MOD($C435*D$2,1)=0,1,0) + 1</f>
        <v>2</v>
      </c>
      <c r="E435" s="402">
        <f t="shared" si="453"/>
        <v>2</v>
      </c>
      <c r="F435" s="402">
        <f t="shared" si="453"/>
        <v>3</v>
      </c>
      <c r="G435" s="401">
        <f t="shared" si="3"/>
        <v>0</v>
      </c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1:20" ht="15.75" customHeight="1">
      <c r="A436" s="399">
        <v>42937</v>
      </c>
      <c r="B436" s="400">
        <v>-2.9454651501895635E-3</v>
      </c>
      <c r="C436" s="401">
        <f t="shared" si="0"/>
        <v>0.36486486486486486</v>
      </c>
      <c r="D436" s="402">
        <f t="shared" ref="D436:F436" si="454">ROUNDDOWN($C436*D$2,0) - IF(MOD($C436*D$2,1)=0,1,0) + 1</f>
        <v>1</v>
      </c>
      <c r="E436" s="402">
        <f t="shared" si="454"/>
        <v>2</v>
      </c>
      <c r="F436" s="402">
        <f t="shared" si="454"/>
        <v>2</v>
      </c>
      <c r="G436" s="401">
        <f t="shared" si="3"/>
        <v>0</v>
      </c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1:20" ht="15.75" customHeight="1">
      <c r="A437" s="399">
        <v>42940</v>
      </c>
      <c r="B437" s="400">
        <v>1.2947634229333094E-2</v>
      </c>
      <c r="C437" s="401">
        <f t="shared" si="0"/>
        <v>0.80365659777424481</v>
      </c>
      <c r="D437" s="402">
        <f t="shared" ref="D437:F437" si="455">ROUNDDOWN($C437*D$2,0) - IF(MOD($C437*D$2,1)=0,1,0) + 1</f>
        <v>2</v>
      </c>
      <c r="E437" s="402">
        <f t="shared" si="455"/>
        <v>3</v>
      </c>
      <c r="F437" s="402">
        <f t="shared" si="455"/>
        <v>4</v>
      </c>
      <c r="G437" s="401">
        <f t="shared" si="3"/>
        <v>0</v>
      </c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1:20" ht="15.75" customHeight="1">
      <c r="A438" s="399">
        <v>42941</v>
      </c>
      <c r="B438" s="400">
        <v>8.8550940853737714E-4</v>
      </c>
      <c r="C438" s="401">
        <f t="shared" si="0"/>
        <v>0.48012718600953896</v>
      </c>
      <c r="D438" s="402">
        <f t="shared" ref="D438:F438" si="456">ROUNDDOWN($C438*D$2,0) - IF(MOD($C438*D$2,1)=0,1,0) + 1</f>
        <v>1</v>
      </c>
      <c r="E438" s="402">
        <f t="shared" si="456"/>
        <v>2</v>
      </c>
      <c r="F438" s="402">
        <f t="shared" si="456"/>
        <v>2</v>
      </c>
      <c r="G438" s="401">
        <f t="shared" si="3"/>
        <v>0</v>
      </c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 ht="15.75" customHeight="1">
      <c r="A439" s="399">
        <v>42942</v>
      </c>
      <c r="B439" s="400">
        <v>1.2434246588515885E-2</v>
      </c>
      <c r="C439" s="401">
        <f t="shared" si="0"/>
        <v>0.79491255961844198</v>
      </c>
      <c r="D439" s="402">
        <f t="shared" ref="D439:F439" si="457">ROUNDDOWN($C439*D$2,0) - IF(MOD($C439*D$2,1)=0,1,0) + 1</f>
        <v>2</v>
      </c>
      <c r="E439" s="402">
        <f t="shared" si="457"/>
        <v>3</v>
      </c>
      <c r="F439" s="402">
        <f t="shared" si="457"/>
        <v>4</v>
      </c>
      <c r="G439" s="401">
        <f t="shared" si="3"/>
        <v>0</v>
      </c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1:20" ht="15.75" customHeight="1">
      <c r="A440" s="399">
        <v>42943</v>
      </c>
      <c r="B440" s="400">
        <v>-6.4589665653494999E-3</v>
      </c>
      <c r="C440" s="401">
        <f t="shared" si="0"/>
        <v>0.25437201907790141</v>
      </c>
      <c r="D440" s="402">
        <f t="shared" ref="D440:F440" si="458">ROUNDDOWN($C440*D$2,0) - IF(MOD($C440*D$2,1)=0,1,0) + 1</f>
        <v>1</v>
      </c>
      <c r="E440" s="402">
        <f t="shared" si="458"/>
        <v>1</v>
      </c>
      <c r="F440" s="402">
        <f t="shared" si="458"/>
        <v>2</v>
      </c>
      <c r="G440" s="401">
        <f t="shared" si="3"/>
        <v>0</v>
      </c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 ht="15.75" customHeight="1">
      <c r="A441" s="399">
        <v>42944</v>
      </c>
      <c r="B441" s="400">
        <v>-2.4818355640535361E-2</v>
      </c>
      <c r="C441" s="401">
        <f t="shared" si="0"/>
        <v>6.5977742448330684E-2</v>
      </c>
      <c r="D441" s="402">
        <f t="shared" ref="D441:F441" si="459">ROUNDDOWN($C441*D$2,0) - IF(MOD($C441*D$2,1)=0,1,0) + 1</f>
        <v>1</v>
      </c>
      <c r="E441" s="402">
        <f t="shared" si="459"/>
        <v>1</v>
      </c>
      <c r="F441" s="402">
        <f t="shared" si="459"/>
        <v>1</v>
      </c>
      <c r="G441" s="401">
        <f t="shared" si="3"/>
        <v>0</v>
      </c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 ht="15.75" customHeight="1">
      <c r="A442" s="399">
        <v>42947</v>
      </c>
      <c r="B442" s="400">
        <v>-3.1626210736833804E-2</v>
      </c>
      <c r="C442" s="401">
        <f t="shared" si="0"/>
        <v>4.372019077901431E-2</v>
      </c>
      <c r="D442" s="402">
        <f t="shared" ref="D442:F442" si="460">ROUNDDOWN($C442*D$2,0) - IF(MOD($C442*D$2,1)=0,1,0) + 1</f>
        <v>1</v>
      </c>
      <c r="E442" s="402">
        <f t="shared" si="460"/>
        <v>1</v>
      </c>
      <c r="F442" s="402">
        <f t="shared" si="460"/>
        <v>1</v>
      </c>
      <c r="G442" s="401">
        <f t="shared" si="3"/>
        <v>-3.1626210736833804E-2</v>
      </c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 ht="15.75" customHeight="1">
      <c r="A443" s="399">
        <v>42948</v>
      </c>
      <c r="B443" s="400">
        <v>8.514041588207899E-3</v>
      </c>
      <c r="C443" s="401">
        <f t="shared" si="0"/>
        <v>0.70270270270270274</v>
      </c>
      <c r="D443" s="402">
        <f t="shared" ref="D443:F443" si="461">ROUNDDOWN($C443*D$2,0) - IF(MOD($C443*D$2,1)=0,1,0) + 1</f>
        <v>2</v>
      </c>
      <c r="E443" s="402">
        <f t="shared" si="461"/>
        <v>3</v>
      </c>
      <c r="F443" s="402">
        <f t="shared" si="461"/>
        <v>3</v>
      </c>
      <c r="G443" s="401">
        <f t="shared" si="3"/>
        <v>8.514041588207899E-3</v>
      </c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 ht="15.75" customHeight="1">
      <c r="A444" s="399">
        <v>42949</v>
      </c>
      <c r="B444" s="400">
        <v>-3.0114737148545512E-4</v>
      </c>
      <c r="C444" s="401">
        <f t="shared" si="0"/>
        <v>0.43243243243243246</v>
      </c>
      <c r="D444" s="402">
        <f t="shared" ref="D444:F444" si="462">ROUNDDOWN($C444*D$2,0) - IF(MOD($C444*D$2,1)=0,1,0) + 1</f>
        <v>1</v>
      </c>
      <c r="E444" s="402">
        <f t="shared" si="462"/>
        <v>2</v>
      </c>
      <c r="F444" s="402">
        <f t="shared" si="462"/>
        <v>2</v>
      </c>
      <c r="G444" s="401">
        <f t="shared" si="3"/>
        <v>0</v>
      </c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 ht="15.75" customHeight="1">
      <c r="A445" s="399">
        <v>42950</v>
      </c>
      <c r="B445" s="400">
        <v>-9.007018847463133E-3</v>
      </c>
      <c r="C445" s="401">
        <f t="shared" si="0"/>
        <v>0.20429252782193957</v>
      </c>
      <c r="D445" s="402">
        <f t="shared" ref="D445:F445" si="463">ROUNDDOWN($C445*D$2,0) - IF(MOD($C445*D$2,1)=0,1,0) + 1</f>
        <v>1</v>
      </c>
      <c r="E445" s="402">
        <f t="shared" si="463"/>
        <v>1</v>
      </c>
      <c r="F445" s="402">
        <f t="shared" si="463"/>
        <v>1</v>
      </c>
      <c r="G445" s="401">
        <f t="shared" si="3"/>
        <v>0</v>
      </c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20" ht="15.75" customHeight="1">
      <c r="A446" s="399">
        <v>42951</v>
      </c>
      <c r="B446" s="400">
        <v>6.6874721355336675E-4</v>
      </c>
      <c r="C446" s="401">
        <f t="shared" si="0"/>
        <v>0.47058823529411764</v>
      </c>
      <c r="D446" s="402">
        <f t="shared" ref="D446:F446" si="464">ROUNDDOWN($C446*D$2,0) - IF(MOD($C446*D$2,1)=0,1,0) + 1</f>
        <v>1</v>
      </c>
      <c r="E446" s="402">
        <f t="shared" si="464"/>
        <v>2</v>
      </c>
      <c r="F446" s="402">
        <f t="shared" si="464"/>
        <v>2</v>
      </c>
      <c r="G446" s="401">
        <f t="shared" si="3"/>
        <v>6.6874721355336675E-4</v>
      </c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 ht="15.75" customHeight="1">
      <c r="A447" s="399">
        <v>42954</v>
      </c>
      <c r="B447" s="400">
        <v>4.7489823609225823E-3</v>
      </c>
      <c r="C447" s="401">
        <f t="shared" si="0"/>
        <v>0.5969793322734499</v>
      </c>
      <c r="D447" s="402">
        <f t="shared" ref="D447:F447" si="465">ROUNDDOWN($C447*D$2,0) - IF(MOD($C447*D$2,1)=0,1,0) + 1</f>
        <v>2</v>
      </c>
      <c r="E447" s="402">
        <f t="shared" si="465"/>
        <v>2</v>
      </c>
      <c r="F447" s="402">
        <f t="shared" si="465"/>
        <v>3</v>
      </c>
      <c r="G447" s="401">
        <f t="shared" si="3"/>
        <v>0</v>
      </c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 ht="15.75" customHeight="1">
      <c r="A448" s="399">
        <v>42955</v>
      </c>
      <c r="B448" s="400">
        <v>-2.4489302306831551E-3</v>
      </c>
      <c r="C448" s="401">
        <f t="shared" si="0"/>
        <v>0.37360890302066774</v>
      </c>
      <c r="D448" s="402">
        <f t="shared" ref="D448:F448" si="466">ROUNDDOWN($C448*D$2,0) - IF(MOD($C448*D$2,1)=0,1,0) + 1</f>
        <v>1</v>
      </c>
      <c r="E448" s="402">
        <f t="shared" si="466"/>
        <v>2</v>
      </c>
      <c r="F448" s="402">
        <f t="shared" si="466"/>
        <v>2</v>
      </c>
      <c r="G448" s="401">
        <f t="shared" si="3"/>
        <v>0</v>
      </c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 ht="15.75" customHeight="1">
      <c r="A449" s="399">
        <v>42956</v>
      </c>
      <c r="B449" s="400">
        <v>-7.9103693526226815E-3</v>
      </c>
      <c r="C449" s="401">
        <f t="shared" si="0"/>
        <v>0.22337042925278219</v>
      </c>
      <c r="D449" s="402">
        <f t="shared" ref="D449:F449" si="467">ROUNDDOWN($C449*D$2,0) - IF(MOD($C449*D$2,1)=0,1,0) + 1</f>
        <v>1</v>
      </c>
      <c r="E449" s="402">
        <f t="shared" si="467"/>
        <v>1</v>
      </c>
      <c r="F449" s="402">
        <f t="shared" si="467"/>
        <v>1</v>
      </c>
      <c r="G449" s="401">
        <f t="shared" si="3"/>
        <v>0</v>
      </c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20" ht="15.75" customHeight="1">
      <c r="A450" s="399">
        <v>42957</v>
      </c>
      <c r="B450" s="400">
        <v>-2.5549637987393181E-2</v>
      </c>
      <c r="C450" s="401">
        <f t="shared" si="0"/>
        <v>6.3593004769475353E-2</v>
      </c>
      <c r="D450" s="402">
        <f t="shared" ref="D450:F450" si="468">ROUNDDOWN($C450*D$2,0) - IF(MOD($C450*D$2,1)=0,1,0) + 1</f>
        <v>1</v>
      </c>
      <c r="E450" s="402">
        <f t="shared" si="468"/>
        <v>1</v>
      </c>
      <c r="F450" s="402">
        <f t="shared" si="468"/>
        <v>1</v>
      </c>
      <c r="G450" s="401">
        <f t="shared" si="3"/>
        <v>-2.5549637987393181E-2</v>
      </c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1:20" ht="15.75" customHeight="1">
      <c r="A451" s="399">
        <v>42958</v>
      </c>
      <c r="B451" s="400">
        <v>1.1568365171592321E-2</v>
      </c>
      <c r="C451" s="401">
        <f t="shared" si="0"/>
        <v>0.77424483306836245</v>
      </c>
      <c r="D451" s="402">
        <f t="shared" ref="D451:F451" si="469">ROUNDDOWN($C451*D$2,0) - IF(MOD($C451*D$2,1)=0,1,0) + 1</f>
        <v>2</v>
      </c>
      <c r="E451" s="402">
        <f t="shared" si="469"/>
        <v>3</v>
      </c>
      <c r="F451" s="402">
        <f t="shared" si="469"/>
        <v>4</v>
      </c>
      <c r="G451" s="401">
        <f t="shared" si="3"/>
        <v>1.1568365171592321E-2</v>
      </c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1:20" ht="15.75" customHeight="1">
      <c r="A452" s="399">
        <v>42961</v>
      </c>
      <c r="B452" s="400">
        <v>1.5816279093792129E-2</v>
      </c>
      <c r="C452" s="401">
        <f t="shared" si="0"/>
        <v>0.8529411764705882</v>
      </c>
      <c r="D452" s="402">
        <f t="shared" ref="D452:F452" si="470">ROUNDDOWN($C452*D$2,0) - IF(MOD($C452*D$2,1)=0,1,0) + 1</f>
        <v>2</v>
      </c>
      <c r="E452" s="402">
        <f t="shared" si="470"/>
        <v>3</v>
      </c>
      <c r="F452" s="402">
        <f t="shared" si="470"/>
        <v>4</v>
      </c>
      <c r="G452" s="401">
        <f t="shared" si="3"/>
        <v>0</v>
      </c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1:20" ht="15.75" customHeight="1">
      <c r="A453" s="399">
        <v>42962</v>
      </c>
      <c r="B453" s="400">
        <v>-5.6951083087553034E-4</v>
      </c>
      <c r="C453" s="401">
        <f t="shared" si="0"/>
        <v>0.42527821939586646</v>
      </c>
      <c r="D453" s="402">
        <f t="shared" ref="D453:F453" si="471">ROUNDDOWN($C453*D$2,0) - IF(MOD($C453*D$2,1)=0,1,0) + 1</f>
        <v>1</v>
      </c>
      <c r="E453" s="402">
        <f t="shared" si="471"/>
        <v>2</v>
      </c>
      <c r="F453" s="402">
        <f t="shared" si="471"/>
        <v>2</v>
      </c>
      <c r="G453" s="401">
        <f t="shared" si="3"/>
        <v>0</v>
      </c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1:20" ht="15.75" customHeight="1">
      <c r="A454" s="399">
        <v>42963</v>
      </c>
      <c r="B454" s="400">
        <v>-4.6400879174552934E-3</v>
      </c>
      <c r="C454" s="401">
        <f t="shared" si="0"/>
        <v>0.30683624801271858</v>
      </c>
      <c r="D454" s="402">
        <f t="shared" ref="D454:F454" si="472">ROUNDDOWN($C454*D$2,0) - IF(MOD($C454*D$2,1)=0,1,0) + 1</f>
        <v>1</v>
      </c>
      <c r="E454" s="402">
        <f t="shared" si="472"/>
        <v>1</v>
      </c>
      <c r="F454" s="402">
        <f t="shared" si="472"/>
        <v>2</v>
      </c>
      <c r="G454" s="401">
        <f t="shared" si="3"/>
        <v>0</v>
      </c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1:20" ht="15.75" customHeight="1">
      <c r="A455" s="399">
        <v>42964</v>
      </c>
      <c r="B455" s="400">
        <v>-1.8002821566582727E-2</v>
      </c>
      <c r="C455" s="401">
        <f t="shared" si="0"/>
        <v>0.1041335453100159</v>
      </c>
      <c r="D455" s="402">
        <f t="shared" ref="D455:F455" si="473">ROUNDDOWN($C455*D$2,0) - IF(MOD($C455*D$2,1)=0,1,0) + 1</f>
        <v>1</v>
      </c>
      <c r="E455" s="402">
        <f t="shared" si="473"/>
        <v>1</v>
      </c>
      <c r="F455" s="402">
        <f t="shared" si="473"/>
        <v>1</v>
      </c>
      <c r="G455" s="401">
        <f t="shared" si="3"/>
        <v>0</v>
      </c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1:20" ht="15.75" customHeight="1">
      <c r="A456" s="399">
        <v>42965</v>
      </c>
      <c r="B456" s="400">
        <v>-2.1862019425965551E-3</v>
      </c>
      <c r="C456" s="401">
        <f t="shared" si="0"/>
        <v>0.38235294117647056</v>
      </c>
      <c r="D456" s="402">
        <f t="shared" ref="D456:F456" si="474">ROUNDDOWN($C456*D$2,0) - IF(MOD($C456*D$2,1)=0,1,0) + 1</f>
        <v>1</v>
      </c>
      <c r="E456" s="402">
        <f t="shared" si="474"/>
        <v>2</v>
      </c>
      <c r="F456" s="402">
        <f t="shared" si="474"/>
        <v>2</v>
      </c>
      <c r="G456" s="401">
        <f t="shared" si="3"/>
        <v>-2.1862019425965551E-3</v>
      </c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1:20" ht="15.75" customHeight="1">
      <c r="A457" s="399">
        <v>42968</v>
      </c>
      <c r="B457" s="400">
        <v>-5.4044466702140026E-3</v>
      </c>
      <c r="C457" s="401">
        <f t="shared" si="0"/>
        <v>0.2861685214626391</v>
      </c>
      <c r="D457" s="402">
        <f t="shared" ref="D457:F457" si="475">ROUNDDOWN($C457*D$2,0) - IF(MOD($C457*D$2,1)=0,1,0) + 1</f>
        <v>1</v>
      </c>
      <c r="E457" s="402">
        <f t="shared" si="475"/>
        <v>1</v>
      </c>
      <c r="F457" s="402">
        <f t="shared" si="475"/>
        <v>2</v>
      </c>
      <c r="G457" s="401">
        <f t="shared" si="3"/>
        <v>0</v>
      </c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spans="1:20" ht="15.75" customHeight="1">
      <c r="A458" s="399">
        <v>42969</v>
      </c>
      <c r="B458" s="400">
        <v>1.4276872724984013E-2</v>
      </c>
      <c r="C458" s="401">
        <f t="shared" si="0"/>
        <v>0.82591414944356123</v>
      </c>
      <c r="D458" s="402">
        <f t="shared" ref="D458:F458" si="476">ROUNDDOWN($C458*D$2,0) - IF(MOD($C458*D$2,1)=0,1,0) + 1</f>
        <v>2</v>
      </c>
      <c r="E458" s="402">
        <f t="shared" si="476"/>
        <v>3</v>
      </c>
      <c r="F458" s="402">
        <f t="shared" si="476"/>
        <v>4</v>
      </c>
      <c r="G458" s="401">
        <f t="shared" si="3"/>
        <v>0</v>
      </c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spans="1:20" ht="15.75" customHeight="1">
      <c r="A459" s="399">
        <v>42970</v>
      </c>
      <c r="B459" s="400">
        <v>-9.2046747336849144E-3</v>
      </c>
      <c r="C459" s="401">
        <f t="shared" si="0"/>
        <v>0.19952305246422894</v>
      </c>
      <c r="D459" s="402">
        <f t="shared" ref="D459:F459" si="477">ROUNDDOWN($C459*D$2,0) - IF(MOD($C459*D$2,1)=0,1,0) + 1</f>
        <v>1</v>
      </c>
      <c r="E459" s="402">
        <f t="shared" si="477"/>
        <v>1</v>
      </c>
      <c r="F459" s="402">
        <f t="shared" si="477"/>
        <v>1</v>
      </c>
      <c r="G459" s="401">
        <f t="shared" si="3"/>
        <v>0</v>
      </c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spans="1:20" ht="15.75" customHeight="1">
      <c r="A460" s="399">
        <v>42971</v>
      </c>
      <c r="B460" s="400">
        <v>-5.7933194154488055E-3</v>
      </c>
      <c r="C460" s="401">
        <f t="shared" si="0"/>
        <v>0.27344992050874406</v>
      </c>
      <c r="D460" s="402">
        <f t="shared" ref="D460:F460" si="478">ROUNDDOWN($C460*D$2,0) - IF(MOD($C460*D$2,1)=0,1,0) + 1</f>
        <v>1</v>
      </c>
      <c r="E460" s="402">
        <f t="shared" si="478"/>
        <v>1</v>
      </c>
      <c r="F460" s="402">
        <f t="shared" si="478"/>
        <v>2</v>
      </c>
      <c r="G460" s="401">
        <f t="shared" si="3"/>
        <v>-5.7933194154488055E-3</v>
      </c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1:20" ht="15.75" customHeight="1">
      <c r="A461" s="399">
        <v>42972</v>
      </c>
      <c r="B461" s="400">
        <v>-7.5489527009292567E-3</v>
      </c>
      <c r="C461" s="401">
        <f t="shared" si="0"/>
        <v>0.2313195548489666</v>
      </c>
      <c r="D461" s="402">
        <f t="shared" ref="D461:F461" si="479">ROUNDDOWN($C461*D$2,0) - IF(MOD($C461*D$2,1)=0,1,0) + 1</f>
        <v>1</v>
      </c>
      <c r="E461" s="402">
        <f t="shared" si="479"/>
        <v>1</v>
      </c>
      <c r="F461" s="402">
        <f t="shared" si="479"/>
        <v>1</v>
      </c>
      <c r="G461" s="401">
        <f t="shared" si="3"/>
        <v>0</v>
      </c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1:20" ht="15.75" customHeight="1">
      <c r="A462" s="399">
        <v>42975</v>
      </c>
      <c r="B462" s="400">
        <v>8.0401159469345451E-4</v>
      </c>
      <c r="C462" s="401">
        <f t="shared" si="0"/>
        <v>0.47615262321144675</v>
      </c>
      <c r="D462" s="402">
        <f t="shared" ref="D462:F462" si="480">ROUNDDOWN($C462*D$2,0) - IF(MOD($C462*D$2,1)=0,1,0) + 1</f>
        <v>1</v>
      </c>
      <c r="E462" s="402">
        <f t="shared" si="480"/>
        <v>2</v>
      </c>
      <c r="F462" s="402">
        <f t="shared" si="480"/>
        <v>2</v>
      </c>
      <c r="G462" s="401">
        <f t="shared" si="3"/>
        <v>8.0401159469345451E-4</v>
      </c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 ht="15.75" customHeight="1">
      <c r="A463" s="399">
        <v>42976</v>
      </c>
      <c r="B463" s="400">
        <v>8.4987632396777979E-3</v>
      </c>
      <c r="C463" s="401">
        <f t="shared" si="0"/>
        <v>0.70111287758346585</v>
      </c>
      <c r="D463" s="402">
        <f t="shared" ref="D463:F463" si="481">ROUNDDOWN($C463*D$2,0) - IF(MOD($C463*D$2,1)=0,1,0) + 1</f>
        <v>2</v>
      </c>
      <c r="E463" s="402">
        <f t="shared" si="481"/>
        <v>3</v>
      </c>
      <c r="F463" s="402">
        <f t="shared" si="481"/>
        <v>3</v>
      </c>
      <c r="G463" s="401">
        <f t="shared" si="3"/>
        <v>0</v>
      </c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 ht="15.75" customHeight="1">
      <c r="A464" s="399">
        <v>42977</v>
      </c>
      <c r="B464" s="400">
        <v>1.4181498018992711E-2</v>
      </c>
      <c r="C464" s="401">
        <f t="shared" si="0"/>
        <v>0.82193958664546896</v>
      </c>
      <c r="D464" s="402">
        <f t="shared" ref="D464:F464" si="482">ROUNDDOWN($C464*D$2,0) - IF(MOD($C464*D$2,1)=0,1,0) + 1</f>
        <v>2</v>
      </c>
      <c r="E464" s="402">
        <f t="shared" si="482"/>
        <v>3</v>
      </c>
      <c r="F464" s="402">
        <f t="shared" si="482"/>
        <v>4</v>
      </c>
      <c r="G464" s="401">
        <f t="shared" si="3"/>
        <v>0</v>
      </c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1:20" ht="15.75" customHeight="1">
      <c r="A465" s="399">
        <v>42978</v>
      </c>
      <c r="B465" s="400">
        <v>1.3445777653758206E-2</v>
      </c>
      <c r="C465" s="401">
        <f t="shared" si="0"/>
        <v>0.81319554848966613</v>
      </c>
      <c r="D465" s="402">
        <f t="shared" ref="D465:F465" si="483">ROUNDDOWN($C465*D$2,0) - IF(MOD($C465*D$2,1)=0,1,0) + 1</f>
        <v>2</v>
      </c>
      <c r="E465" s="402">
        <f t="shared" si="483"/>
        <v>3</v>
      </c>
      <c r="F465" s="402">
        <f t="shared" si="483"/>
        <v>4</v>
      </c>
      <c r="G465" s="401">
        <f t="shared" si="3"/>
        <v>0</v>
      </c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1:20" ht="15.75" customHeight="1">
      <c r="A466" s="399">
        <v>42979</v>
      </c>
      <c r="B466" s="400">
        <v>-2.3964919437079457E-3</v>
      </c>
      <c r="C466" s="401">
        <f t="shared" si="0"/>
        <v>0.37678855325914151</v>
      </c>
      <c r="D466" s="402">
        <f t="shared" ref="D466:F466" si="484">ROUNDDOWN($C466*D$2,0) - IF(MOD($C466*D$2,1)=0,1,0) + 1</f>
        <v>1</v>
      </c>
      <c r="E466" s="402">
        <f t="shared" si="484"/>
        <v>2</v>
      </c>
      <c r="F466" s="402">
        <f t="shared" si="484"/>
        <v>2</v>
      </c>
      <c r="G466" s="401">
        <f t="shared" si="3"/>
        <v>0</v>
      </c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1:20" ht="15.75" customHeight="1">
      <c r="A467" s="399">
        <v>42983</v>
      </c>
      <c r="B467" s="400">
        <v>-1.326859187324303E-2</v>
      </c>
      <c r="C467" s="401">
        <f t="shared" si="0"/>
        <v>0.1494435612082671</v>
      </c>
      <c r="D467" s="402">
        <f t="shared" ref="D467:F467" si="485">ROUNDDOWN($C467*D$2,0) - IF(MOD($C467*D$2,1)=0,1,0) + 1</f>
        <v>1</v>
      </c>
      <c r="E467" s="402">
        <f t="shared" si="485"/>
        <v>1</v>
      </c>
      <c r="F467" s="402">
        <f t="shared" si="485"/>
        <v>1</v>
      </c>
      <c r="G467" s="401">
        <f t="shared" si="3"/>
        <v>0</v>
      </c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1:20" ht="15.75" customHeight="1">
      <c r="A468" s="399">
        <v>42984</v>
      </c>
      <c r="B468" s="400">
        <v>2.6210283133216716E-3</v>
      </c>
      <c r="C468" s="401">
        <f t="shared" si="0"/>
        <v>0.54372019077901435</v>
      </c>
      <c r="D468" s="402">
        <f t="shared" ref="D468:F468" si="486">ROUNDDOWN($C468*D$2,0) - IF(MOD($C468*D$2,1)=0,1,0) + 1</f>
        <v>2</v>
      </c>
      <c r="E468" s="402">
        <f t="shared" si="486"/>
        <v>2</v>
      </c>
      <c r="F468" s="402">
        <f t="shared" si="486"/>
        <v>3</v>
      </c>
      <c r="G468" s="401">
        <f t="shared" si="3"/>
        <v>2.6210283133216716E-3</v>
      </c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 ht="15.75" customHeight="1">
      <c r="A469" s="399">
        <v>42985</v>
      </c>
      <c r="B469" s="400">
        <v>1.2058276503409848E-2</v>
      </c>
      <c r="C469" s="401">
        <f t="shared" si="0"/>
        <v>0.78298887122416538</v>
      </c>
      <c r="D469" s="402">
        <f t="shared" ref="D469:F469" si="487">ROUNDDOWN($C469*D$2,0) - IF(MOD($C469*D$2,1)=0,1,0) + 1</f>
        <v>2</v>
      </c>
      <c r="E469" s="402">
        <f t="shared" si="487"/>
        <v>3</v>
      </c>
      <c r="F469" s="402">
        <f t="shared" si="487"/>
        <v>4</v>
      </c>
      <c r="G469" s="401">
        <f t="shared" si="3"/>
        <v>0</v>
      </c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1:20" ht="15.75" customHeight="1">
      <c r="A470" s="399">
        <v>42986</v>
      </c>
      <c r="B470" s="400">
        <v>-1.3854431478248497E-2</v>
      </c>
      <c r="C470" s="401">
        <f t="shared" si="0"/>
        <v>0.14308426073131955</v>
      </c>
      <c r="D470" s="402">
        <f t="shared" ref="D470:F470" si="488">ROUNDDOWN($C470*D$2,0) - IF(MOD($C470*D$2,1)=0,1,0) + 1</f>
        <v>1</v>
      </c>
      <c r="E470" s="402">
        <f t="shared" si="488"/>
        <v>1</v>
      </c>
      <c r="F470" s="402">
        <f t="shared" si="488"/>
        <v>1</v>
      </c>
      <c r="G470" s="401">
        <f t="shared" si="3"/>
        <v>0</v>
      </c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1:20" ht="15.75" customHeight="1">
      <c r="A471" s="399">
        <v>42989</v>
      </c>
      <c r="B471" s="400">
        <v>1.248576457190187E-2</v>
      </c>
      <c r="C471" s="401">
        <f t="shared" si="0"/>
        <v>0.79650238473767887</v>
      </c>
      <c r="D471" s="402">
        <f t="shared" ref="D471:F471" si="489">ROUNDDOWN($C471*D$2,0) - IF(MOD($C471*D$2,1)=0,1,0) + 1</f>
        <v>2</v>
      </c>
      <c r="E471" s="402">
        <f t="shared" si="489"/>
        <v>3</v>
      </c>
      <c r="F471" s="402">
        <f t="shared" si="489"/>
        <v>4</v>
      </c>
      <c r="G471" s="401">
        <f t="shared" si="3"/>
        <v>1.248576457190187E-2</v>
      </c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1:20" ht="15.75" customHeight="1">
      <c r="A472" s="399">
        <v>42990</v>
      </c>
      <c r="B472" s="400">
        <v>4.7241195958935833E-3</v>
      </c>
      <c r="C472" s="401">
        <f t="shared" si="0"/>
        <v>0.59618441971383151</v>
      </c>
      <c r="D472" s="402">
        <f t="shared" ref="D472:F472" si="490">ROUNDDOWN($C472*D$2,0) - IF(MOD($C472*D$2,1)=0,1,0) + 1</f>
        <v>2</v>
      </c>
      <c r="E472" s="402">
        <f t="shared" si="490"/>
        <v>2</v>
      </c>
      <c r="F472" s="402">
        <f t="shared" si="490"/>
        <v>3</v>
      </c>
      <c r="G472" s="401">
        <f t="shared" si="3"/>
        <v>0</v>
      </c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spans="1:20" ht="15.75" customHeight="1">
      <c r="A473" s="399">
        <v>42991</v>
      </c>
      <c r="B473" s="400">
        <v>1.7321744794317029E-2</v>
      </c>
      <c r="C473" s="401">
        <f t="shared" si="0"/>
        <v>0.87201907790143085</v>
      </c>
      <c r="D473" s="402">
        <f t="shared" ref="D473:F473" si="491">ROUNDDOWN($C473*D$2,0) - IF(MOD($C473*D$2,1)=0,1,0) + 1</f>
        <v>2</v>
      </c>
      <c r="E473" s="402">
        <f t="shared" si="491"/>
        <v>3</v>
      </c>
      <c r="F473" s="402">
        <f t="shared" si="491"/>
        <v>4</v>
      </c>
      <c r="G473" s="401">
        <f t="shared" si="3"/>
        <v>0</v>
      </c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spans="1:20" ht="15.75" customHeight="1">
      <c r="A474" s="399">
        <v>42992</v>
      </c>
      <c r="B474" s="400">
        <v>-7.3929571828731389E-3</v>
      </c>
      <c r="C474" s="401">
        <f t="shared" si="0"/>
        <v>0.23608903020667726</v>
      </c>
      <c r="D474" s="402">
        <f t="shared" ref="D474:F474" si="492">ROUNDDOWN($C474*D$2,0) - IF(MOD($C474*D$2,1)=0,1,0) + 1</f>
        <v>1</v>
      </c>
      <c r="E474" s="402">
        <f t="shared" si="492"/>
        <v>1</v>
      </c>
      <c r="F474" s="402">
        <f t="shared" si="492"/>
        <v>1</v>
      </c>
      <c r="G474" s="401">
        <f t="shared" si="3"/>
        <v>0</v>
      </c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 ht="15.75" customHeight="1">
      <c r="A475" s="399">
        <v>42993</v>
      </c>
      <c r="B475" s="400">
        <v>-5.4625532901302343E-3</v>
      </c>
      <c r="C475" s="401">
        <f t="shared" si="0"/>
        <v>0.28298887122416533</v>
      </c>
      <c r="D475" s="402">
        <f t="shared" ref="D475:F475" si="493">ROUNDDOWN($C475*D$2,0) - IF(MOD($C475*D$2,1)=0,1,0) + 1</f>
        <v>1</v>
      </c>
      <c r="E475" s="402">
        <f t="shared" si="493"/>
        <v>1</v>
      </c>
      <c r="F475" s="402">
        <f t="shared" si="493"/>
        <v>2</v>
      </c>
      <c r="G475" s="401">
        <f t="shared" si="3"/>
        <v>-5.4625532901302343E-3</v>
      </c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spans="1:20" ht="15.75" customHeight="1">
      <c r="A476" s="399">
        <v>42996</v>
      </c>
      <c r="B476" s="400">
        <v>-1.276867418599692E-2</v>
      </c>
      <c r="C476" s="401">
        <f t="shared" si="0"/>
        <v>0.15262321144674085</v>
      </c>
      <c r="D476" s="402">
        <f t="shared" ref="D476:F476" si="494">ROUNDDOWN($C476*D$2,0) - IF(MOD($C476*D$2,1)=0,1,0) + 1</f>
        <v>1</v>
      </c>
      <c r="E476" s="402">
        <f t="shared" si="494"/>
        <v>1</v>
      </c>
      <c r="F476" s="402">
        <f t="shared" si="494"/>
        <v>1</v>
      </c>
      <c r="G476" s="401">
        <f t="shared" si="3"/>
        <v>0</v>
      </c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spans="1:20" ht="15.75" customHeight="1">
      <c r="A477" s="399">
        <v>42997</v>
      </c>
      <c r="B477" s="400">
        <v>-4.4447181761257948E-3</v>
      </c>
      <c r="C477" s="401">
        <f t="shared" si="0"/>
        <v>0.31399046104928457</v>
      </c>
      <c r="D477" s="402">
        <f t="shared" ref="D477:F477" si="495">ROUNDDOWN($C477*D$2,0) - IF(MOD($C477*D$2,1)=0,1,0) + 1</f>
        <v>1</v>
      </c>
      <c r="E477" s="402">
        <f t="shared" si="495"/>
        <v>1</v>
      </c>
      <c r="F477" s="402">
        <f t="shared" si="495"/>
        <v>2</v>
      </c>
      <c r="G477" s="401">
        <f t="shared" si="3"/>
        <v>-4.4447181761257948E-3</v>
      </c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spans="1:20" ht="15.75" customHeight="1">
      <c r="A478" s="399">
        <v>42998</v>
      </c>
      <c r="B478" s="400">
        <v>3.4541067782978274E-3</v>
      </c>
      <c r="C478" s="401">
        <f t="shared" si="0"/>
        <v>0.56279809220985688</v>
      </c>
      <c r="D478" s="402">
        <f t="shared" ref="D478:F478" si="496">ROUNDDOWN($C478*D$2,0) - IF(MOD($C478*D$2,1)=0,1,0) + 1</f>
        <v>2</v>
      </c>
      <c r="E478" s="402">
        <f t="shared" si="496"/>
        <v>2</v>
      </c>
      <c r="F478" s="402">
        <f t="shared" si="496"/>
        <v>3</v>
      </c>
      <c r="G478" s="401">
        <f t="shared" si="3"/>
        <v>0</v>
      </c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spans="1:20" ht="15.75" customHeight="1">
      <c r="A479" s="399">
        <v>42999</v>
      </c>
      <c r="B479" s="400">
        <v>-8.7956350633471292E-3</v>
      </c>
      <c r="C479" s="401">
        <f t="shared" si="0"/>
        <v>0.20826709062003179</v>
      </c>
      <c r="D479" s="402">
        <f t="shared" ref="D479:F479" si="497">ROUNDDOWN($C479*D$2,0) - IF(MOD($C479*D$2,1)=0,1,0) + 1</f>
        <v>1</v>
      </c>
      <c r="E479" s="402">
        <f t="shared" si="497"/>
        <v>1</v>
      </c>
      <c r="F479" s="402">
        <f t="shared" si="497"/>
        <v>1</v>
      </c>
      <c r="G479" s="401">
        <f t="shared" si="3"/>
        <v>0</v>
      </c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spans="1:20" ht="15.75" customHeight="1">
      <c r="A480" s="399">
        <v>43000</v>
      </c>
      <c r="B480" s="400">
        <v>-9.8999637174104205E-3</v>
      </c>
      <c r="C480" s="401">
        <f t="shared" si="0"/>
        <v>0.18759936406995231</v>
      </c>
      <c r="D480" s="402">
        <f t="shared" ref="D480:F480" si="498">ROUNDDOWN($C480*D$2,0) - IF(MOD($C480*D$2,1)=0,1,0) + 1</f>
        <v>1</v>
      </c>
      <c r="E480" s="402">
        <f t="shared" si="498"/>
        <v>1</v>
      </c>
      <c r="F480" s="402">
        <f t="shared" si="498"/>
        <v>1</v>
      </c>
      <c r="G480" s="401">
        <f t="shared" si="3"/>
        <v>-9.8999637174104205E-3</v>
      </c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spans="1:20" ht="15.75" customHeight="1">
      <c r="A481" s="399">
        <v>43003</v>
      </c>
      <c r="B481" s="400">
        <v>-1.6029735106271703E-2</v>
      </c>
      <c r="C481" s="401">
        <f t="shared" si="0"/>
        <v>0.12400635930047695</v>
      </c>
      <c r="D481" s="402">
        <f t="shared" ref="D481:F481" si="499">ROUNDDOWN($C481*D$2,0) - IF(MOD($C481*D$2,1)=0,1,0) + 1</f>
        <v>1</v>
      </c>
      <c r="E481" s="402">
        <f t="shared" si="499"/>
        <v>1</v>
      </c>
      <c r="F481" s="402">
        <f t="shared" si="499"/>
        <v>1</v>
      </c>
      <c r="G481" s="401">
        <f t="shared" si="3"/>
        <v>-1.6029735106271703E-2</v>
      </c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spans="1:20" ht="15.75" customHeight="1">
      <c r="A482" s="399">
        <v>43004</v>
      </c>
      <c r="B482" s="400">
        <v>-1.2662403302864389E-3</v>
      </c>
      <c r="C482" s="401">
        <f t="shared" si="0"/>
        <v>0.40779014308426076</v>
      </c>
      <c r="D482" s="402">
        <f t="shared" ref="D482:F482" si="500">ROUNDDOWN($C482*D$2,0) - IF(MOD($C482*D$2,1)=0,1,0) + 1</f>
        <v>1</v>
      </c>
      <c r="E482" s="402">
        <f t="shared" si="500"/>
        <v>2</v>
      </c>
      <c r="F482" s="402">
        <f t="shared" si="500"/>
        <v>2</v>
      </c>
      <c r="G482" s="401">
        <f t="shared" si="3"/>
        <v>-1.2662403302864389E-3</v>
      </c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1:20" ht="15.75" customHeight="1">
      <c r="A483" s="399">
        <v>43005</v>
      </c>
      <c r="B483" s="400">
        <v>1.3072661410611586E-2</v>
      </c>
      <c r="C483" s="401">
        <f t="shared" si="0"/>
        <v>0.80604133545310019</v>
      </c>
      <c r="D483" s="402">
        <f t="shared" ref="D483:F483" si="501">ROUNDDOWN($C483*D$2,0) - IF(MOD($C483*D$2,1)=0,1,0) + 1</f>
        <v>2</v>
      </c>
      <c r="E483" s="402">
        <f t="shared" si="501"/>
        <v>3</v>
      </c>
      <c r="F483" s="402">
        <f t="shared" si="501"/>
        <v>4</v>
      </c>
      <c r="G483" s="401">
        <f t="shared" si="3"/>
        <v>0</v>
      </c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1:20" ht="15.75" customHeight="1">
      <c r="A484" s="399">
        <v>43006</v>
      </c>
      <c r="B484" s="400">
        <v>5.8157266503306992E-3</v>
      </c>
      <c r="C484" s="401">
        <f t="shared" si="0"/>
        <v>0.62957074721780604</v>
      </c>
      <c r="D484" s="402">
        <f t="shared" ref="D484:F484" si="502">ROUNDDOWN($C484*D$2,0) - IF(MOD($C484*D$2,1)=0,1,0) + 1</f>
        <v>2</v>
      </c>
      <c r="E484" s="402">
        <f t="shared" si="502"/>
        <v>2</v>
      </c>
      <c r="F484" s="402">
        <f t="shared" si="502"/>
        <v>3</v>
      </c>
      <c r="G484" s="401">
        <f t="shared" si="3"/>
        <v>0</v>
      </c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1:20" ht="15.75" customHeight="1">
      <c r="A485" s="399">
        <v>43007</v>
      </c>
      <c r="B485" s="400">
        <v>5.1756587202007598E-3</v>
      </c>
      <c r="C485" s="401">
        <f t="shared" si="0"/>
        <v>0.61049284578696339</v>
      </c>
      <c r="D485" s="402">
        <f t="shared" ref="D485:F485" si="503">ROUNDDOWN($C485*D$2,0) - IF(MOD($C485*D$2,1)=0,1,0) + 1</f>
        <v>2</v>
      </c>
      <c r="E485" s="402">
        <f t="shared" si="503"/>
        <v>2</v>
      </c>
      <c r="F485" s="402">
        <f t="shared" si="503"/>
        <v>3</v>
      </c>
      <c r="G485" s="401">
        <f t="shared" si="3"/>
        <v>0</v>
      </c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1:20" ht="15.75" customHeight="1">
      <c r="A486" s="399">
        <v>43010</v>
      </c>
      <c r="B486" s="400">
        <v>-2.2468403807145432E-3</v>
      </c>
      <c r="C486" s="401">
        <f t="shared" si="0"/>
        <v>0.38076311605723373</v>
      </c>
      <c r="D486" s="402">
        <f t="shared" ref="D486:F486" si="504">ROUNDDOWN($C486*D$2,0) - IF(MOD($C486*D$2,1)=0,1,0) + 1</f>
        <v>1</v>
      </c>
      <c r="E486" s="402">
        <f t="shared" si="504"/>
        <v>2</v>
      </c>
      <c r="F486" s="402">
        <f t="shared" si="504"/>
        <v>2</v>
      </c>
      <c r="G486" s="401">
        <f t="shared" si="3"/>
        <v>0</v>
      </c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spans="1:20" ht="15.75" customHeight="1">
      <c r="A487" s="399">
        <v>43011</v>
      </c>
      <c r="B487" s="400">
        <v>-2.178921798600908E-3</v>
      </c>
      <c r="C487" s="401">
        <f t="shared" si="0"/>
        <v>0.38314785373608901</v>
      </c>
      <c r="D487" s="402">
        <f t="shared" ref="D487:F487" si="505">ROUNDDOWN($C487*D$2,0) - IF(MOD($C487*D$2,1)=0,1,0) + 1</f>
        <v>1</v>
      </c>
      <c r="E487" s="402">
        <f t="shared" si="505"/>
        <v>2</v>
      </c>
      <c r="F487" s="402">
        <f t="shared" si="505"/>
        <v>2</v>
      </c>
      <c r="G487" s="401">
        <f t="shared" si="3"/>
        <v>0</v>
      </c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 ht="15.75" customHeight="1">
      <c r="A488" s="399">
        <v>43012</v>
      </c>
      <c r="B488" s="400">
        <v>8.7242712360255936E-3</v>
      </c>
      <c r="C488" s="401">
        <f t="shared" si="0"/>
        <v>0.7074721780604134</v>
      </c>
      <c r="D488" s="402">
        <f t="shared" ref="D488:F488" si="506">ROUNDDOWN($C488*D$2,0) - IF(MOD($C488*D$2,1)=0,1,0) + 1</f>
        <v>2</v>
      </c>
      <c r="E488" s="402">
        <f t="shared" si="506"/>
        <v>3</v>
      </c>
      <c r="F488" s="402">
        <f t="shared" si="506"/>
        <v>3</v>
      </c>
      <c r="G488" s="401">
        <f t="shared" si="3"/>
        <v>0</v>
      </c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20" ht="15.75" customHeight="1">
      <c r="A489" s="399">
        <v>43013</v>
      </c>
      <c r="B489" s="400">
        <v>1.5951110880936259E-2</v>
      </c>
      <c r="C489" s="401">
        <f t="shared" si="0"/>
        <v>0.85532591414944359</v>
      </c>
      <c r="D489" s="402">
        <f t="shared" ref="D489:F489" si="507">ROUNDDOWN($C489*D$2,0) - IF(MOD($C489*D$2,1)=0,1,0) + 1</f>
        <v>2</v>
      </c>
      <c r="E489" s="402">
        <f t="shared" si="507"/>
        <v>3</v>
      </c>
      <c r="F489" s="402">
        <f t="shared" si="507"/>
        <v>4</v>
      </c>
      <c r="G489" s="401">
        <f t="shared" si="3"/>
        <v>0</v>
      </c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1:20" ht="15.75" customHeight="1">
      <c r="A490" s="399">
        <v>43014</v>
      </c>
      <c r="B490" s="400">
        <v>8.9004434928887655E-3</v>
      </c>
      <c r="C490" s="401">
        <f t="shared" si="0"/>
        <v>0.71303656597774245</v>
      </c>
      <c r="D490" s="402">
        <f t="shared" ref="D490:F490" si="508">ROUNDDOWN($C490*D$2,0) - IF(MOD($C490*D$2,1)=0,1,0) + 1</f>
        <v>2</v>
      </c>
      <c r="E490" s="402">
        <f t="shared" si="508"/>
        <v>3</v>
      </c>
      <c r="F490" s="402">
        <f t="shared" si="508"/>
        <v>3</v>
      </c>
      <c r="G490" s="401">
        <f t="shared" si="3"/>
        <v>0</v>
      </c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1:20" ht="15.75" customHeight="1">
      <c r="A491" s="399">
        <v>43017</v>
      </c>
      <c r="B491" s="400">
        <v>1.4248469047475343E-3</v>
      </c>
      <c r="C491" s="401">
        <f t="shared" si="0"/>
        <v>0.50079491255961839</v>
      </c>
      <c r="D491" s="402">
        <f t="shared" ref="D491:F491" si="509">ROUNDDOWN($C491*D$2,0) - IF(MOD($C491*D$2,1)=0,1,0) + 1</f>
        <v>2</v>
      </c>
      <c r="E491" s="402">
        <f t="shared" si="509"/>
        <v>2</v>
      </c>
      <c r="F491" s="402">
        <f t="shared" si="509"/>
        <v>3</v>
      </c>
      <c r="G491" s="401">
        <f t="shared" si="3"/>
        <v>0</v>
      </c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1:20" ht="15.75" customHeight="1">
      <c r="A492" s="399">
        <v>43018</v>
      </c>
      <c r="B492" s="400">
        <v>-3.8244583699128532E-3</v>
      </c>
      <c r="C492" s="401">
        <f t="shared" si="0"/>
        <v>0.3354531001589825</v>
      </c>
      <c r="D492" s="402">
        <f t="shared" ref="D492:F492" si="510">ROUNDDOWN($C492*D$2,0) - IF(MOD($C492*D$2,1)=0,1,0) + 1</f>
        <v>1</v>
      </c>
      <c r="E492" s="402">
        <f t="shared" si="510"/>
        <v>2</v>
      </c>
      <c r="F492" s="402">
        <f t="shared" si="510"/>
        <v>2</v>
      </c>
      <c r="G492" s="401">
        <f t="shared" si="3"/>
        <v>0</v>
      </c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1:20" ht="15.75" customHeight="1">
      <c r="A493" s="399">
        <v>43019</v>
      </c>
      <c r="B493" s="400">
        <v>7.9011345218800155E-3</v>
      </c>
      <c r="C493" s="401">
        <f t="shared" si="0"/>
        <v>0.68521462639109698</v>
      </c>
      <c r="D493" s="402">
        <f t="shared" ref="D493:F493" si="511">ROUNDDOWN($C493*D$2,0) - IF(MOD($C493*D$2,1)=0,1,0) + 1</f>
        <v>2</v>
      </c>
      <c r="E493" s="402">
        <f t="shared" si="511"/>
        <v>3</v>
      </c>
      <c r="F493" s="402">
        <f t="shared" si="511"/>
        <v>3</v>
      </c>
      <c r="G493" s="401">
        <f t="shared" si="3"/>
        <v>0</v>
      </c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20" ht="15.75" customHeight="1">
      <c r="A494" s="399">
        <v>43020</v>
      </c>
      <c r="B494" s="400">
        <v>5.9597989949748964E-3</v>
      </c>
      <c r="C494" s="401">
        <f t="shared" si="0"/>
        <v>0.63275039745627981</v>
      </c>
      <c r="D494" s="402">
        <f t="shared" ref="D494:F494" si="512">ROUNDDOWN($C494*D$2,0) - IF(MOD($C494*D$2,1)=0,1,0) + 1</f>
        <v>2</v>
      </c>
      <c r="E494" s="402">
        <f t="shared" si="512"/>
        <v>2</v>
      </c>
      <c r="F494" s="402">
        <f t="shared" si="512"/>
        <v>3</v>
      </c>
      <c r="G494" s="401">
        <f t="shared" si="3"/>
        <v>0</v>
      </c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 ht="15.75" customHeight="1">
      <c r="A495" s="399">
        <v>43021</v>
      </c>
      <c r="B495" s="400">
        <v>2.0081324368339537E-3</v>
      </c>
      <c r="C495" s="401">
        <f t="shared" si="0"/>
        <v>0.52305246422893481</v>
      </c>
      <c r="D495" s="402">
        <f t="shared" ref="D495:F495" si="513">ROUNDDOWN($C495*D$2,0) - IF(MOD($C495*D$2,1)=0,1,0) + 1</f>
        <v>2</v>
      </c>
      <c r="E495" s="402">
        <f t="shared" si="513"/>
        <v>2</v>
      </c>
      <c r="F495" s="402">
        <f t="shared" si="513"/>
        <v>3</v>
      </c>
      <c r="G495" s="401">
        <f t="shared" si="3"/>
        <v>0</v>
      </c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1:20" ht="15.75" customHeight="1">
      <c r="A496" s="399">
        <v>43024</v>
      </c>
      <c r="B496" s="400">
        <v>3.390033302091755E-3</v>
      </c>
      <c r="C496" s="401">
        <f t="shared" si="0"/>
        <v>0.55882352941176472</v>
      </c>
      <c r="D496" s="402">
        <f t="shared" ref="D496:F496" si="514">ROUNDDOWN($C496*D$2,0) - IF(MOD($C496*D$2,1)=0,1,0) + 1</f>
        <v>2</v>
      </c>
      <c r="E496" s="402">
        <f t="shared" si="514"/>
        <v>2</v>
      </c>
      <c r="F496" s="402">
        <f t="shared" si="514"/>
        <v>3</v>
      </c>
      <c r="G496" s="401">
        <f t="shared" si="3"/>
        <v>0</v>
      </c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 ht="15.75" customHeight="1">
      <c r="A497" s="399">
        <v>43025</v>
      </c>
      <c r="B497" s="400">
        <v>2.7724228391994288E-3</v>
      </c>
      <c r="C497" s="401">
        <f t="shared" si="0"/>
        <v>0.54689984101748812</v>
      </c>
      <c r="D497" s="402">
        <f t="shared" ref="D497:F497" si="515">ROUNDDOWN($C497*D$2,0) - IF(MOD($C497*D$2,1)=0,1,0) + 1</f>
        <v>2</v>
      </c>
      <c r="E497" s="402">
        <f t="shared" si="515"/>
        <v>2</v>
      </c>
      <c r="F497" s="402">
        <f t="shared" si="515"/>
        <v>3</v>
      </c>
      <c r="G497" s="401">
        <f t="shared" si="3"/>
        <v>0</v>
      </c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1:20" ht="15.75" customHeight="1">
      <c r="A498" s="399">
        <v>43026</v>
      </c>
      <c r="B498" s="400">
        <v>-1.202025507119997E-2</v>
      </c>
      <c r="C498" s="401">
        <f t="shared" si="0"/>
        <v>0.16613672496025436</v>
      </c>
      <c r="D498" s="402">
        <f t="shared" ref="D498:F498" si="516">ROUNDDOWN($C498*D$2,0) - IF(MOD($C498*D$2,1)=0,1,0) + 1</f>
        <v>1</v>
      </c>
      <c r="E498" s="402">
        <f t="shared" si="516"/>
        <v>1</v>
      </c>
      <c r="F498" s="402">
        <f t="shared" si="516"/>
        <v>1</v>
      </c>
      <c r="G498" s="401">
        <f t="shared" si="3"/>
        <v>0</v>
      </c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spans="1:20" ht="15.75" customHeight="1">
      <c r="A499" s="399">
        <v>43027</v>
      </c>
      <c r="B499" s="400">
        <v>-1.0421263791374091E-2</v>
      </c>
      <c r="C499" s="401">
        <f t="shared" si="0"/>
        <v>0.18441971383147854</v>
      </c>
      <c r="D499" s="402">
        <f t="shared" ref="D499:F499" si="517">ROUNDDOWN($C499*D$2,0) - IF(MOD($C499*D$2,1)=0,1,0) + 1</f>
        <v>1</v>
      </c>
      <c r="E499" s="402">
        <f t="shared" si="517"/>
        <v>1</v>
      </c>
      <c r="F499" s="402">
        <f t="shared" si="517"/>
        <v>1</v>
      </c>
      <c r="G499" s="401">
        <f t="shared" si="3"/>
        <v>-1.0421263791374091E-2</v>
      </c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1:20" ht="15.75" customHeight="1">
      <c r="A500" s="399">
        <v>43028</v>
      </c>
      <c r="B500" s="400">
        <v>-3.750215383991673E-3</v>
      </c>
      <c r="C500" s="401">
        <f t="shared" si="0"/>
        <v>0.33863275039745627</v>
      </c>
      <c r="D500" s="402">
        <f t="shared" ref="D500:F500" si="518">ROUNDDOWN($C500*D$2,0) - IF(MOD($C500*D$2,1)=0,1,0) + 1</f>
        <v>1</v>
      </c>
      <c r="E500" s="402">
        <f t="shared" si="518"/>
        <v>2</v>
      </c>
      <c r="F500" s="402">
        <f t="shared" si="518"/>
        <v>2</v>
      </c>
      <c r="G500" s="401">
        <f t="shared" si="3"/>
        <v>-3.750215383991673E-3</v>
      </c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spans="1:20" ht="15.75" customHeight="1">
      <c r="A501" s="399">
        <v>43031</v>
      </c>
      <c r="B501" s="400">
        <v>-1.6898800500554478E-2</v>
      </c>
      <c r="C501" s="401">
        <f t="shared" si="0"/>
        <v>0.11446740858505565</v>
      </c>
      <c r="D501" s="402">
        <f t="shared" ref="D501:F501" si="519">ROUNDDOWN($C501*D$2,0) - IF(MOD($C501*D$2,1)=0,1,0) + 1</f>
        <v>1</v>
      </c>
      <c r="E501" s="402">
        <f t="shared" si="519"/>
        <v>1</v>
      </c>
      <c r="F501" s="402">
        <f t="shared" si="519"/>
        <v>1</v>
      </c>
      <c r="G501" s="401">
        <f t="shared" si="3"/>
        <v>0</v>
      </c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spans="1:20" ht="15.75" customHeight="1">
      <c r="A502" s="399">
        <v>43032</v>
      </c>
      <c r="B502" s="400">
        <v>9.9348028562558088E-3</v>
      </c>
      <c r="C502" s="401">
        <f t="shared" si="0"/>
        <v>0.7432432432432432</v>
      </c>
      <c r="D502" s="402">
        <f t="shared" ref="D502:F502" si="520">ROUNDDOWN($C502*D$2,0) - IF(MOD($C502*D$2,1)=0,1,0) + 1</f>
        <v>2</v>
      </c>
      <c r="E502" s="402">
        <f t="shared" si="520"/>
        <v>3</v>
      </c>
      <c r="F502" s="402">
        <f t="shared" si="520"/>
        <v>3</v>
      </c>
      <c r="G502" s="401">
        <f t="shared" si="3"/>
        <v>9.9348028562558088E-3</v>
      </c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1:20" ht="15.75" customHeight="1">
      <c r="A503" s="399">
        <v>43033</v>
      </c>
      <c r="B503" s="400">
        <v>-3.0638385080438146E-3</v>
      </c>
      <c r="C503" s="401">
        <f t="shared" si="0"/>
        <v>0.36327503974562797</v>
      </c>
      <c r="D503" s="402">
        <f t="shared" ref="D503:F503" si="521">ROUNDDOWN($C503*D$2,0) - IF(MOD($C503*D$2,1)=0,1,0) + 1</f>
        <v>1</v>
      </c>
      <c r="E503" s="402">
        <f t="shared" si="521"/>
        <v>2</v>
      </c>
      <c r="F503" s="402">
        <f t="shared" si="521"/>
        <v>2</v>
      </c>
      <c r="G503" s="401">
        <f t="shared" si="3"/>
        <v>0</v>
      </c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spans="1:20" ht="15.75" customHeight="1">
      <c r="A504" s="399">
        <v>43034</v>
      </c>
      <c r="B504" s="400">
        <v>-4.9336526502963274E-4</v>
      </c>
      <c r="C504" s="401">
        <f t="shared" si="0"/>
        <v>0.42845786963434024</v>
      </c>
      <c r="D504" s="402">
        <f t="shared" ref="D504:F504" si="522">ROUNDDOWN($C504*D$2,0) - IF(MOD($C504*D$2,1)=0,1,0) + 1</f>
        <v>1</v>
      </c>
      <c r="E504" s="402">
        <f t="shared" si="522"/>
        <v>2</v>
      </c>
      <c r="F504" s="402">
        <f t="shared" si="522"/>
        <v>2</v>
      </c>
      <c r="G504" s="401">
        <f t="shared" si="3"/>
        <v>0</v>
      </c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spans="1:20" ht="15.75" customHeight="1">
      <c r="A505" s="399">
        <v>43035</v>
      </c>
      <c r="B505" s="400">
        <v>0.13216375471756336</v>
      </c>
      <c r="C505" s="401">
        <f t="shared" si="0"/>
        <v>1</v>
      </c>
      <c r="D505" s="402">
        <f t="shared" ref="D505:F505" si="523">ROUNDDOWN($C505*D$2,0) - IF(MOD($C505*D$2,1)=0,1,0) + 1</f>
        <v>2</v>
      </c>
      <c r="E505" s="402">
        <f t="shared" si="523"/>
        <v>3</v>
      </c>
      <c r="F505" s="402">
        <f t="shared" si="523"/>
        <v>4</v>
      </c>
      <c r="G505" s="401">
        <f t="shared" si="3"/>
        <v>0</v>
      </c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1:20" ht="15.75" customHeight="1">
      <c r="A506" s="399">
        <v>43038</v>
      </c>
      <c r="B506" s="400">
        <v>8.9922339797445794E-3</v>
      </c>
      <c r="C506" s="401">
        <f t="shared" si="0"/>
        <v>0.71462639109697934</v>
      </c>
      <c r="D506" s="402">
        <f t="shared" ref="D506:F506" si="524">ROUNDDOWN($C506*D$2,0) - IF(MOD($C506*D$2,1)=0,1,0) + 1</f>
        <v>2</v>
      </c>
      <c r="E506" s="402">
        <f t="shared" si="524"/>
        <v>3</v>
      </c>
      <c r="F506" s="402">
        <f t="shared" si="524"/>
        <v>3</v>
      </c>
      <c r="G506" s="401">
        <f t="shared" si="3"/>
        <v>0</v>
      </c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1:20" ht="15.75" customHeight="1">
      <c r="A507" s="399">
        <v>43039</v>
      </c>
      <c r="B507" s="400">
        <v>-5.0141783319079813E-3</v>
      </c>
      <c r="C507" s="401">
        <f t="shared" si="0"/>
        <v>0.29491255961844198</v>
      </c>
      <c r="D507" s="402">
        <f t="shared" ref="D507:F507" si="525">ROUNDDOWN($C507*D$2,0) - IF(MOD($C507*D$2,1)=0,1,0) + 1</f>
        <v>1</v>
      </c>
      <c r="E507" s="402">
        <f t="shared" si="525"/>
        <v>1</v>
      </c>
      <c r="F507" s="402">
        <f t="shared" si="525"/>
        <v>2</v>
      </c>
      <c r="G507" s="401">
        <f t="shared" si="3"/>
        <v>0</v>
      </c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1:20" ht="15.75" customHeight="1">
      <c r="A508" s="399">
        <v>43040</v>
      </c>
      <c r="B508" s="400">
        <v>-1.4475969889982121E-3</v>
      </c>
      <c r="C508" s="401">
        <f t="shared" si="0"/>
        <v>0.39984101748807632</v>
      </c>
      <c r="D508" s="402">
        <f t="shared" ref="D508:F508" si="526">ROUNDDOWN($C508*D$2,0) - IF(MOD($C508*D$2,1)=0,1,0) + 1</f>
        <v>1</v>
      </c>
      <c r="E508" s="402">
        <f t="shared" si="526"/>
        <v>2</v>
      </c>
      <c r="F508" s="402">
        <f t="shared" si="526"/>
        <v>2</v>
      </c>
      <c r="G508" s="401">
        <f t="shared" si="3"/>
        <v>0</v>
      </c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1:20" ht="15.75" customHeight="1">
      <c r="A509" s="399">
        <v>43041</v>
      </c>
      <c r="B509" s="400">
        <v>-8.5713250217455128E-3</v>
      </c>
      <c r="C509" s="401">
        <f t="shared" si="0"/>
        <v>0.21065182829888712</v>
      </c>
      <c r="D509" s="402">
        <f t="shared" ref="D509:F509" si="527">ROUNDDOWN($C509*D$2,0) - IF(MOD($C509*D$2,1)=0,1,0) + 1</f>
        <v>1</v>
      </c>
      <c r="E509" s="402">
        <f t="shared" si="527"/>
        <v>1</v>
      </c>
      <c r="F509" s="402">
        <f t="shared" si="527"/>
        <v>1</v>
      </c>
      <c r="G509" s="401">
        <f t="shared" si="3"/>
        <v>0</v>
      </c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1:20" ht="15.75" customHeight="1">
      <c r="A510" s="399">
        <v>43042</v>
      </c>
      <c r="B510" s="400">
        <v>1.5883460364460422E-2</v>
      </c>
      <c r="C510" s="401">
        <f t="shared" si="0"/>
        <v>0.8537360890302067</v>
      </c>
      <c r="D510" s="402">
        <f t="shared" ref="D510:F510" si="528">ROUNDDOWN($C510*D$2,0) - IF(MOD($C510*D$2,1)=0,1,0) + 1</f>
        <v>2</v>
      </c>
      <c r="E510" s="402">
        <f t="shared" si="528"/>
        <v>3</v>
      </c>
      <c r="F510" s="402">
        <f t="shared" si="528"/>
        <v>4</v>
      </c>
      <c r="G510" s="401">
        <f t="shared" si="3"/>
        <v>1.5883460364460422E-2</v>
      </c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20" ht="15.75" customHeight="1">
      <c r="A511" s="399">
        <v>43045</v>
      </c>
      <c r="B511" s="400">
        <v>8.1504138179202545E-3</v>
      </c>
      <c r="C511" s="401">
        <f t="shared" si="0"/>
        <v>0.69395866454689981</v>
      </c>
      <c r="D511" s="402">
        <f t="shared" ref="D511:F511" si="529">ROUNDDOWN($C511*D$2,0) - IF(MOD($C511*D$2,1)=0,1,0) + 1</f>
        <v>2</v>
      </c>
      <c r="E511" s="402">
        <f t="shared" si="529"/>
        <v>3</v>
      </c>
      <c r="F511" s="402">
        <f t="shared" si="529"/>
        <v>3</v>
      </c>
      <c r="G511" s="401">
        <f t="shared" si="3"/>
        <v>0</v>
      </c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 ht="15.75" customHeight="1">
      <c r="A512" s="399">
        <v>43046</v>
      </c>
      <c r="B512" s="400">
        <v>2.23975157496481E-3</v>
      </c>
      <c r="C512" s="401">
        <f t="shared" si="0"/>
        <v>0.53179650238473763</v>
      </c>
      <c r="D512" s="402">
        <f t="shared" ref="D512:F512" si="530">ROUNDDOWN($C512*D$2,0) - IF(MOD($C512*D$2,1)=0,1,0) + 1</f>
        <v>2</v>
      </c>
      <c r="E512" s="402">
        <f t="shared" si="530"/>
        <v>2</v>
      </c>
      <c r="F512" s="402">
        <f t="shared" si="530"/>
        <v>3</v>
      </c>
      <c r="G512" s="401">
        <f t="shared" si="3"/>
        <v>0</v>
      </c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1:20" ht="15.75" customHeight="1">
      <c r="A513" s="399">
        <v>43047</v>
      </c>
      <c r="B513" s="400">
        <v>8.6451739273663009E-3</v>
      </c>
      <c r="C513" s="401">
        <f t="shared" si="0"/>
        <v>0.70508744038155802</v>
      </c>
      <c r="D513" s="402">
        <f t="shared" ref="D513:F513" si="531">ROUNDDOWN($C513*D$2,0) - IF(MOD($C513*D$2,1)=0,1,0) + 1</f>
        <v>2</v>
      </c>
      <c r="E513" s="402">
        <f t="shared" si="531"/>
        <v>3</v>
      </c>
      <c r="F513" s="402">
        <f t="shared" si="531"/>
        <v>3</v>
      </c>
      <c r="G513" s="401">
        <f t="shared" si="3"/>
        <v>0</v>
      </c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1:20" ht="15.75" customHeight="1">
      <c r="A514" s="399">
        <v>43048</v>
      </c>
      <c r="B514" s="400">
        <v>-3.3101475884471654E-3</v>
      </c>
      <c r="C514" s="401">
        <f t="shared" si="0"/>
        <v>0.35214626391096981</v>
      </c>
      <c r="D514" s="402">
        <f t="shared" ref="D514:F514" si="532">ROUNDDOWN($C514*D$2,0) - IF(MOD($C514*D$2,1)=0,1,0) + 1</f>
        <v>1</v>
      </c>
      <c r="E514" s="402">
        <f t="shared" si="532"/>
        <v>2</v>
      </c>
      <c r="F514" s="402">
        <f t="shared" si="532"/>
        <v>2</v>
      </c>
      <c r="G514" s="401">
        <f t="shared" si="3"/>
        <v>0</v>
      </c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 ht="15.75" customHeight="1">
      <c r="A515" s="399">
        <v>43049</v>
      </c>
      <c r="B515" s="400">
        <v>-3.3477101839470835E-3</v>
      </c>
      <c r="C515" s="401">
        <f t="shared" si="0"/>
        <v>0.35135135135135137</v>
      </c>
      <c r="D515" s="402">
        <f t="shared" ref="D515:F515" si="533">ROUNDDOWN($C515*D$2,0) - IF(MOD($C515*D$2,1)=0,1,0) + 1</f>
        <v>1</v>
      </c>
      <c r="E515" s="402">
        <f t="shared" si="533"/>
        <v>2</v>
      </c>
      <c r="F515" s="402">
        <f t="shared" si="533"/>
        <v>2</v>
      </c>
      <c r="G515" s="401">
        <f t="shared" si="3"/>
        <v>0</v>
      </c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 ht="15.75" customHeight="1">
      <c r="A516" s="399">
        <v>43052</v>
      </c>
      <c r="B516" s="400">
        <v>3.3944994890480196E-3</v>
      </c>
      <c r="C516" s="401">
        <f t="shared" si="0"/>
        <v>0.55961844197138311</v>
      </c>
      <c r="D516" s="402">
        <f t="shared" ref="D516:F516" si="534">ROUNDDOWN($C516*D$2,0) - IF(MOD($C516*D$2,1)=0,1,0) + 1</f>
        <v>2</v>
      </c>
      <c r="E516" s="402">
        <f t="shared" si="534"/>
        <v>2</v>
      </c>
      <c r="F516" s="402">
        <f t="shared" si="534"/>
        <v>3</v>
      </c>
      <c r="G516" s="401">
        <f t="shared" si="3"/>
        <v>0</v>
      </c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 ht="15.75" customHeight="1">
      <c r="A517" s="399">
        <v>43053</v>
      </c>
      <c r="B517" s="400">
        <v>6.7925998742437432E-3</v>
      </c>
      <c r="C517" s="401">
        <f t="shared" si="0"/>
        <v>0.65580286168521462</v>
      </c>
      <c r="D517" s="402">
        <f t="shared" ref="D517:F517" si="535">ROUNDDOWN($C517*D$2,0) - IF(MOD($C517*D$2,1)=0,1,0) + 1</f>
        <v>2</v>
      </c>
      <c r="E517" s="402">
        <f t="shared" si="535"/>
        <v>2</v>
      </c>
      <c r="F517" s="402">
        <f t="shared" si="535"/>
        <v>3</v>
      </c>
      <c r="G517" s="401">
        <f t="shared" si="3"/>
        <v>0</v>
      </c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 ht="15.75" customHeight="1">
      <c r="A518" s="399">
        <v>43054</v>
      </c>
      <c r="B518" s="400">
        <v>-8.9282572745503774E-3</v>
      </c>
      <c r="C518" s="401">
        <f t="shared" si="0"/>
        <v>0.20588235294117646</v>
      </c>
      <c r="D518" s="402">
        <f t="shared" ref="D518:F518" si="536">ROUNDDOWN($C518*D$2,0) - IF(MOD($C518*D$2,1)=0,1,0) + 1</f>
        <v>1</v>
      </c>
      <c r="E518" s="402">
        <f t="shared" si="536"/>
        <v>1</v>
      </c>
      <c r="F518" s="402">
        <f t="shared" si="536"/>
        <v>1</v>
      </c>
      <c r="G518" s="401">
        <f t="shared" si="3"/>
        <v>0</v>
      </c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1:20" ht="15.75" customHeight="1">
      <c r="A519" s="399">
        <v>43055</v>
      </c>
      <c r="B519" s="400">
        <v>9.4080891815848666E-3</v>
      </c>
      <c r="C519" s="401">
        <f t="shared" si="0"/>
        <v>0.72655007949125594</v>
      </c>
      <c r="D519" s="402">
        <f t="shared" ref="D519:F519" si="537">ROUNDDOWN($C519*D$2,0) - IF(MOD($C519*D$2,1)=0,1,0) + 1</f>
        <v>2</v>
      </c>
      <c r="E519" s="402">
        <f t="shared" si="537"/>
        <v>3</v>
      </c>
      <c r="F519" s="402">
        <f t="shared" si="537"/>
        <v>3</v>
      </c>
      <c r="G519" s="401">
        <f t="shared" si="3"/>
        <v>9.4080891815848666E-3</v>
      </c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1:20" ht="15.75" customHeight="1">
      <c r="A520" s="399">
        <v>43056</v>
      </c>
      <c r="B520" s="400">
        <v>-6.515488573714534E-3</v>
      </c>
      <c r="C520" s="401">
        <f t="shared" si="0"/>
        <v>0.25357710651828297</v>
      </c>
      <c r="D520" s="402">
        <f t="shared" ref="D520:F520" si="538">ROUNDDOWN($C520*D$2,0) - IF(MOD($C520*D$2,1)=0,1,0) + 1</f>
        <v>1</v>
      </c>
      <c r="E520" s="402">
        <f t="shared" si="538"/>
        <v>1</v>
      </c>
      <c r="F520" s="402">
        <f t="shared" si="538"/>
        <v>2</v>
      </c>
      <c r="G520" s="401">
        <f t="shared" si="3"/>
        <v>0</v>
      </c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1:20" ht="15.75" customHeight="1">
      <c r="A521" s="399">
        <v>43059</v>
      </c>
      <c r="B521" s="400">
        <v>-3.1596275710696897E-3</v>
      </c>
      <c r="C521" s="401">
        <f t="shared" si="0"/>
        <v>0.35930047694753575</v>
      </c>
      <c r="D521" s="402">
        <f t="shared" ref="D521:F521" si="539">ROUNDDOWN($C521*D$2,0) - IF(MOD($C521*D$2,1)=0,1,0) + 1</f>
        <v>1</v>
      </c>
      <c r="E521" s="402">
        <f t="shared" si="539"/>
        <v>2</v>
      </c>
      <c r="F521" s="402">
        <f t="shared" si="539"/>
        <v>2</v>
      </c>
      <c r="G521" s="401">
        <f t="shared" si="3"/>
        <v>0</v>
      </c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 ht="15.75" customHeight="1">
      <c r="A522" s="399">
        <v>43060</v>
      </c>
      <c r="B522" s="400">
        <v>1.1701929308982395E-2</v>
      </c>
      <c r="C522" s="401">
        <f t="shared" si="0"/>
        <v>0.77662957074721783</v>
      </c>
      <c r="D522" s="402">
        <f t="shared" ref="D522:F522" si="540">ROUNDDOWN($C522*D$2,0) - IF(MOD($C522*D$2,1)=0,1,0) + 1</f>
        <v>2</v>
      </c>
      <c r="E522" s="402">
        <f t="shared" si="540"/>
        <v>3</v>
      </c>
      <c r="F522" s="402">
        <f t="shared" si="540"/>
        <v>4</v>
      </c>
      <c r="G522" s="401">
        <f t="shared" si="3"/>
        <v>0</v>
      </c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1:20" ht="15.75" customHeight="1">
      <c r="A523" s="399">
        <v>43061</v>
      </c>
      <c r="B523" s="400">
        <v>1.4629351727527329E-2</v>
      </c>
      <c r="C523" s="401">
        <f t="shared" si="0"/>
        <v>0.83545310015898255</v>
      </c>
      <c r="D523" s="402">
        <f t="shared" ref="D523:F523" si="541">ROUNDDOWN($C523*D$2,0) - IF(MOD($C523*D$2,1)=0,1,0) + 1</f>
        <v>2</v>
      </c>
      <c r="E523" s="402">
        <f t="shared" si="541"/>
        <v>3</v>
      </c>
      <c r="F523" s="402">
        <f t="shared" si="541"/>
        <v>4</v>
      </c>
      <c r="G523" s="401">
        <f t="shared" si="3"/>
        <v>0</v>
      </c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1:20" ht="15.75" customHeight="1">
      <c r="A524" s="399">
        <v>43063</v>
      </c>
      <c r="B524" s="400">
        <v>2.5809576529200129E-2</v>
      </c>
      <c r="C524" s="401">
        <f t="shared" si="0"/>
        <v>0.93243243243243246</v>
      </c>
      <c r="D524" s="402">
        <f t="shared" ref="D524:F524" si="542">ROUNDDOWN($C524*D$2,0) - IF(MOD($C524*D$2,1)=0,1,0) + 1</f>
        <v>2</v>
      </c>
      <c r="E524" s="402">
        <f t="shared" si="542"/>
        <v>3</v>
      </c>
      <c r="F524" s="402">
        <f t="shared" si="542"/>
        <v>4</v>
      </c>
      <c r="G524" s="401">
        <f t="shared" si="3"/>
        <v>0</v>
      </c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1:20" ht="15.75" customHeight="1">
      <c r="A525" s="399">
        <v>43066</v>
      </c>
      <c r="B525" s="400">
        <v>8.2883642495783505E-3</v>
      </c>
      <c r="C525" s="401">
        <f t="shared" si="0"/>
        <v>0.69872813990461047</v>
      </c>
      <c r="D525" s="402">
        <f t="shared" ref="D525:F525" si="543">ROUNDDOWN($C525*D$2,0) - IF(MOD($C525*D$2,1)=0,1,0) + 1</f>
        <v>2</v>
      </c>
      <c r="E525" s="402">
        <f t="shared" si="543"/>
        <v>3</v>
      </c>
      <c r="F525" s="402">
        <f t="shared" si="543"/>
        <v>3</v>
      </c>
      <c r="G525" s="401">
        <f t="shared" si="3"/>
        <v>0</v>
      </c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1:20" ht="15.75" customHeight="1">
      <c r="A526" s="399">
        <v>43067</v>
      </c>
      <c r="B526" s="400">
        <v>-1.8648135604559801E-3</v>
      </c>
      <c r="C526" s="401">
        <f t="shared" si="0"/>
        <v>0.390302066772655</v>
      </c>
      <c r="D526" s="402">
        <f t="shared" ref="D526:F526" si="544">ROUNDDOWN($C526*D$2,0) - IF(MOD($C526*D$2,1)=0,1,0) + 1</f>
        <v>1</v>
      </c>
      <c r="E526" s="402">
        <f t="shared" si="544"/>
        <v>2</v>
      </c>
      <c r="F526" s="402">
        <f t="shared" si="544"/>
        <v>2</v>
      </c>
      <c r="G526" s="401">
        <f t="shared" si="3"/>
        <v>0</v>
      </c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1:20" ht="15.75" customHeight="1">
      <c r="A527" s="399">
        <v>43068</v>
      </c>
      <c r="B527" s="400">
        <v>-2.7086126005361866E-2</v>
      </c>
      <c r="C527" s="401">
        <f t="shared" si="0"/>
        <v>5.7233704292527825E-2</v>
      </c>
      <c r="D527" s="402">
        <f t="shared" ref="D527:F527" si="545">ROUNDDOWN($C527*D$2,0) - IF(MOD($C527*D$2,1)=0,1,0) + 1</f>
        <v>1</v>
      </c>
      <c r="E527" s="402">
        <f t="shared" si="545"/>
        <v>1</v>
      </c>
      <c r="F527" s="402">
        <f t="shared" si="545"/>
        <v>1</v>
      </c>
      <c r="G527" s="401">
        <f t="shared" si="3"/>
        <v>0</v>
      </c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1:20" ht="15.75" customHeight="1">
      <c r="A528" s="399">
        <v>43069</v>
      </c>
      <c r="B528" s="400">
        <v>1.3330233279082337E-2</v>
      </c>
      <c r="C528" s="401">
        <f t="shared" si="0"/>
        <v>0.81160572337042924</v>
      </c>
      <c r="D528" s="402">
        <f t="shared" ref="D528:F528" si="546">ROUNDDOWN($C528*D$2,0) - IF(MOD($C528*D$2,1)=0,1,0) + 1</f>
        <v>2</v>
      </c>
      <c r="E528" s="402">
        <f t="shared" si="546"/>
        <v>3</v>
      </c>
      <c r="F528" s="402">
        <f t="shared" si="546"/>
        <v>4</v>
      </c>
      <c r="G528" s="401">
        <f t="shared" si="3"/>
        <v>1.3330233279082337E-2</v>
      </c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1:20" ht="15.75" customHeight="1">
      <c r="A529" s="399">
        <v>43070</v>
      </c>
      <c r="B529" s="400">
        <v>-1.2237093690248613E-2</v>
      </c>
      <c r="C529" s="401">
        <f t="shared" si="0"/>
        <v>0.15977742448330684</v>
      </c>
      <c r="D529" s="402">
        <f t="shared" ref="D529:F529" si="547">ROUNDDOWN($C529*D$2,0) - IF(MOD($C529*D$2,1)=0,1,0) + 1</f>
        <v>1</v>
      </c>
      <c r="E529" s="402">
        <f t="shared" si="547"/>
        <v>1</v>
      </c>
      <c r="F529" s="402">
        <f t="shared" si="547"/>
        <v>1</v>
      </c>
      <c r="G529" s="401">
        <f t="shared" si="3"/>
        <v>0</v>
      </c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 ht="15.75" customHeight="1">
      <c r="A530" s="399">
        <v>43073</v>
      </c>
      <c r="B530" s="400">
        <v>-2.4433260205617868E-2</v>
      </c>
      <c r="C530" s="401">
        <f t="shared" si="0"/>
        <v>6.8362480127186015E-2</v>
      </c>
      <c r="D530" s="402">
        <f t="shared" ref="D530:F530" si="548">ROUNDDOWN($C530*D$2,0) - IF(MOD($C530*D$2,1)=0,1,0) + 1</f>
        <v>1</v>
      </c>
      <c r="E530" s="402">
        <f t="shared" si="548"/>
        <v>1</v>
      </c>
      <c r="F530" s="402">
        <f t="shared" si="548"/>
        <v>1</v>
      </c>
      <c r="G530" s="401">
        <f t="shared" si="3"/>
        <v>-2.4433260205617868E-2</v>
      </c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1:20" ht="15.75" customHeight="1">
      <c r="A531" s="399">
        <v>43074</v>
      </c>
      <c r="B531" s="400">
        <v>6.7198730102737692E-3</v>
      </c>
      <c r="C531" s="401">
        <f t="shared" si="0"/>
        <v>0.65341812400635935</v>
      </c>
      <c r="D531" s="402">
        <f t="shared" ref="D531:F531" si="549">ROUNDDOWN($C531*D$2,0) - IF(MOD($C531*D$2,1)=0,1,0) + 1</f>
        <v>2</v>
      </c>
      <c r="E531" s="402">
        <f t="shared" si="549"/>
        <v>2</v>
      </c>
      <c r="F531" s="402">
        <f t="shared" si="549"/>
        <v>3</v>
      </c>
      <c r="G531" s="401">
        <f t="shared" si="3"/>
        <v>6.7198730102737692E-3</v>
      </c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spans="1:20" ht="15.75" customHeight="1">
      <c r="A532" s="399">
        <v>43075</v>
      </c>
      <c r="B532" s="400">
        <v>9.4431353311668076E-3</v>
      </c>
      <c r="C532" s="401">
        <f t="shared" si="0"/>
        <v>0.72734499205087444</v>
      </c>
      <c r="D532" s="402">
        <f t="shared" ref="D532:F532" si="550">ROUNDDOWN($C532*D$2,0) - IF(MOD($C532*D$2,1)=0,1,0) + 1</f>
        <v>2</v>
      </c>
      <c r="E532" s="402">
        <f t="shared" si="550"/>
        <v>3</v>
      </c>
      <c r="F532" s="402">
        <f t="shared" si="550"/>
        <v>3</v>
      </c>
      <c r="G532" s="401">
        <f t="shared" si="3"/>
        <v>0</v>
      </c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1:20" ht="15.75" customHeight="1">
      <c r="A533" s="399">
        <v>43076</v>
      </c>
      <c r="B533" s="400">
        <v>6.4563717620516048E-3</v>
      </c>
      <c r="C533" s="401">
        <f t="shared" si="0"/>
        <v>0.6462639109697933</v>
      </c>
      <c r="D533" s="402">
        <f t="shared" ref="D533:F533" si="551">ROUNDDOWN($C533*D$2,0) - IF(MOD($C533*D$2,1)=0,1,0) + 1</f>
        <v>2</v>
      </c>
      <c r="E533" s="402">
        <f t="shared" si="551"/>
        <v>2</v>
      </c>
      <c r="F533" s="402">
        <f t="shared" si="551"/>
        <v>3</v>
      </c>
      <c r="G533" s="401">
        <f t="shared" si="3"/>
        <v>0</v>
      </c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1:20" ht="15.75" customHeight="1">
      <c r="A534" s="399">
        <v>43077</v>
      </c>
      <c r="B534" s="400">
        <v>1.9055173781461487E-3</v>
      </c>
      <c r="C534" s="401">
        <f t="shared" si="0"/>
        <v>0.51828298887122415</v>
      </c>
      <c r="D534" s="402">
        <f t="shared" ref="D534:F534" si="552">ROUNDDOWN($C534*D$2,0) - IF(MOD($C534*D$2,1)=0,1,0) + 1</f>
        <v>2</v>
      </c>
      <c r="E534" s="402">
        <f t="shared" si="552"/>
        <v>2</v>
      </c>
      <c r="F534" s="402">
        <f t="shared" si="552"/>
        <v>3</v>
      </c>
      <c r="G534" s="401">
        <f t="shared" si="3"/>
        <v>0</v>
      </c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1:20" ht="15.75" customHeight="1">
      <c r="A535" s="399">
        <v>43080</v>
      </c>
      <c r="B535" s="400">
        <v>5.9552495697074992E-3</v>
      </c>
      <c r="C535" s="401">
        <f t="shared" si="0"/>
        <v>0.63195548489666131</v>
      </c>
      <c r="D535" s="402">
        <f t="shared" ref="D535:F535" si="553">ROUNDDOWN($C535*D$2,0) - IF(MOD($C535*D$2,1)=0,1,0) + 1</f>
        <v>2</v>
      </c>
      <c r="E535" s="402">
        <f t="shared" si="553"/>
        <v>2</v>
      </c>
      <c r="F535" s="402">
        <f t="shared" si="553"/>
        <v>3</v>
      </c>
      <c r="G535" s="401">
        <f t="shared" si="3"/>
        <v>0</v>
      </c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20" ht="15.75" customHeight="1">
      <c r="A536" s="399">
        <v>43081</v>
      </c>
      <c r="B536" s="400">
        <v>-3.2850836669747752E-3</v>
      </c>
      <c r="C536" s="401">
        <f t="shared" si="0"/>
        <v>0.3537360890302067</v>
      </c>
      <c r="D536" s="402">
        <f t="shared" ref="D536:F536" si="554">ROUNDDOWN($C536*D$2,0) - IF(MOD($C536*D$2,1)=0,1,0) + 1</f>
        <v>1</v>
      </c>
      <c r="E536" s="402">
        <f t="shared" si="554"/>
        <v>2</v>
      </c>
      <c r="F536" s="402">
        <f t="shared" si="554"/>
        <v>2</v>
      </c>
      <c r="G536" s="401">
        <f t="shared" si="3"/>
        <v>0</v>
      </c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 ht="15.75" customHeight="1">
      <c r="A537" s="399">
        <v>43082</v>
      </c>
      <c r="B537" s="400">
        <v>-8.1539465101088116E-4</v>
      </c>
      <c r="C537" s="401">
        <f t="shared" si="0"/>
        <v>0.41812400635930047</v>
      </c>
      <c r="D537" s="402">
        <f t="shared" ref="D537:F537" si="555">ROUNDDOWN($C537*D$2,0) - IF(MOD($C537*D$2,1)=0,1,0) + 1</f>
        <v>1</v>
      </c>
      <c r="E537" s="402">
        <f t="shared" si="555"/>
        <v>2</v>
      </c>
      <c r="F537" s="402">
        <f t="shared" si="555"/>
        <v>2</v>
      </c>
      <c r="G537" s="401">
        <f t="shared" si="3"/>
        <v>0</v>
      </c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20" ht="15.75" customHeight="1">
      <c r="A538" s="399">
        <v>43083</v>
      </c>
      <c r="B538" s="400">
        <v>8.7017772929138815E-3</v>
      </c>
      <c r="C538" s="401">
        <f t="shared" si="0"/>
        <v>0.7066772655007949</v>
      </c>
      <c r="D538" s="402">
        <f t="shared" ref="D538:F538" si="556">ROUNDDOWN($C538*D$2,0) - IF(MOD($C538*D$2,1)=0,1,0) + 1</f>
        <v>2</v>
      </c>
      <c r="E538" s="402">
        <f t="shared" si="556"/>
        <v>3</v>
      </c>
      <c r="F538" s="402">
        <f t="shared" si="556"/>
        <v>3</v>
      </c>
      <c r="G538" s="401">
        <f t="shared" si="3"/>
        <v>0</v>
      </c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1:20" ht="15.75" customHeight="1">
      <c r="A539" s="399">
        <v>43084</v>
      </c>
      <c r="B539" s="400">
        <v>4.1558087646689224E-3</v>
      </c>
      <c r="C539" s="401">
        <f t="shared" si="0"/>
        <v>0.57790143084260737</v>
      </c>
      <c r="D539" s="402">
        <f t="shared" ref="D539:F539" si="557">ROUNDDOWN($C539*D$2,0) - IF(MOD($C539*D$2,1)=0,1,0) + 1</f>
        <v>2</v>
      </c>
      <c r="E539" s="402">
        <f t="shared" si="557"/>
        <v>2</v>
      </c>
      <c r="F539" s="402">
        <f t="shared" si="557"/>
        <v>3</v>
      </c>
      <c r="G539" s="401">
        <f t="shared" si="3"/>
        <v>0</v>
      </c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1:20" ht="15.75" customHeight="1">
      <c r="A540" s="399">
        <v>43087</v>
      </c>
      <c r="B540" s="400">
        <v>9.7019861933271834E-3</v>
      </c>
      <c r="C540" s="401">
        <f t="shared" si="0"/>
        <v>0.73370429252782199</v>
      </c>
      <c r="D540" s="402">
        <f t="shared" ref="D540:F540" si="558">ROUNDDOWN($C540*D$2,0) - IF(MOD($C540*D$2,1)=0,1,0) + 1</f>
        <v>2</v>
      </c>
      <c r="E540" s="402">
        <f t="shared" si="558"/>
        <v>3</v>
      </c>
      <c r="F540" s="402">
        <f t="shared" si="558"/>
        <v>3</v>
      </c>
      <c r="G540" s="401">
        <f t="shared" si="3"/>
        <v>0</v>
      </c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spans="1:20" ht="15.75" customHeight="1">
      <c r="A541" s="399">
        <v>43088</v>
      </c>
      <c r="B541" s="400">
        <v>-2.6877656268371464E-3</v>
      </c>
      <c r="C541" s="401">
        <f t="shared" si="0"/>
        <v>0.36963434022257552</v>
      </c>
      <c r="D541" s="402">
        <f t="shared" ref="D541:F541" si="559">ROUNDDOWN($C541*D$2,0) - IF(MOD($C541*D$2,1)=0,1,0) + 1</f>
        <v>1</v>
      </c>
      <c r="E541" s="402">
        <f t="shared" si="559"/>
        <v>2</v>
      </c>
      <c r="F541" s="402">
        <f t="shared" si="559"/>
        <v>2</v>
      </c>
      <c r="G541" s="401">
        <f t="shared" si="3"/>
        <v>0</v>
      </c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1:20" ht="15.75" customHeight="1">
      <c r="A542" s="399">
        <v>43089</v>
      </c>
      <c r="B542" s="400">
        <v>-8.219777998618949E-3</v>
      </c>
      <c r="C542" s="401">
        <f t="shared" si="0"/>
        <v>0.21542130365659778</v>
      </c>
      <c r="D542" s="402">
        <f t="shared" ref="D542:F542" si="560">ROUNDDOWN($C542*D$2,0) - IF(MOD($C542*D$2,1)=0,1,0) + 1</f>
        <v>1</v>
      </c>
      <c r="E542" s="402">
        <f t="shared" si="560"/>
        <v>1</v>
      </c>
      <c r="F542" s="402">
        <f t="shared" si="560"/>
        <v>1</v>
      </c>
      <c r="G542" s="401">
        <f t="shared" si="3"/>
        <v>0</v>
      </c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 ht="15.75" customHeight="1">
      <c r="A543" s="399">
        <v>43090</v>
      </c>
      <c r="B543" s="400">
        <v>-2.4286272311950796E-3</v>
      </c>
      <c r="C543" s="401">
        <f t="shared" si="0"/>
        <v>0.37440381558028618</v>
      </c>
      <c r="D543" s="402">
        <f t="shared" ref="D543:F543" si="561">ROUNDDOWN($C543*D$2,0) - IF(MOD($C543*D$2,1)=0,1,0) + 1</f>
        <v>1</v>
      </c>
      <c r="E543" s="402">
        <f t="shared" si="561"/>
        <v>2</v>
      </c>
      <c r="F543" s="402">
        <f t="shared" si="561"/>
        <v>2</v>
      </c>
      <c r="G543" s="401">
        <f t="shared" si="3"/>
        <v>-2.4286272311950796E-3</v>
      </c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1:20" ht="15.75" customHeight="1">
      <c r="A544" s="399">
        <v>43091</v>
      </c>
      <c r="B544" s="400">
        <v>-5.4479212775375707E-3</v>
      </c>
      <c r="C544" s="401">
        <f t="shared" si="0"/>
        <v>0.28457869634340222</v>
      </c>
      <c r="D544" s="402">
        <f t="shared" ref="D544:F544" si="562">ROUNDDOWN($C544*D$2,0) - IF(MOD($C544*D$2,1)=0,1,0) + 1</f>
        <v>1</v>
      </c>
      <c r="E544" s="402">
        <f t="shared" si="562"/>
        <v>1</v>
      </c>
      <c r="F544" s="402">
        <f t="shared" si="562"/>
        <v>2</v>
      </c>
      <c r="G544" s="401">
        <f t="shared" si="3"/>
        <v>0</v>
      </c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 ht="15.75" customHeight="1">
      <c r="A545" s="399">
        <v>43095</v>
      </c>
      <c r="B545" s="400">
        <v>7.1895648601458806E-3</v>
      </c>
      <c r="C545" s="401">
        <f t="shared" si="0"/>
        <v>0.66772655007949122</v>
      </c>
      <c r="D545" s="402">
        <f t="shared" ref="D545:F545" si="563">ROUNDDOWN($C545*D$2,0) - IF(MOD($C545*D$2,1)=0,1,0) + 1</f>
        <v>2</v>
      </c>
      <c r="E545" s="402">
        <f t="shared" si="563"/>
        <v>3</v>
      </c>
      <c r="F545" s="402">
        <f t="shared" si="563"/>
        <v>3</v>
      </c>
      <c r="G545" s="401">
        <f t="shared" si="3"/>
        <v>0</v>
      </c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1:20" ht="15.75" customHeight="1">
      <c r="A546" s="399">
        <v>43096</v>
      </c>
      <c r="B546" s="400">
        <v>4.6738502328427245E-3</v>
      </c>
      <c r="C546" s="401">
        <f t="shared" si="0"/>
        <v>0.59379968203497613</v>
      </c>
      <c r="D546" s="402">
        <f t="shared" ref="D546:F546" si="564">ROUNDDOWN($C546*D$2,0) - IF(MOD($C546*D$2,1)=0,1,0) + 1</f>
        <v>2</v>
      </c>
      <c r="E546" s="402">
        <f t="shared" si="564"/>
        <v>2</v>
      </c>
      <c r="F546" s="402">
        <f t="shared" si="564"/>
        <v>3</v>
      </c>
      <c r="G546" s="401">
        <f t="shared" si="3"/>
        <v>0</v>
      </c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1:20" ht="15.75" customHeight="1">
      <c r="A547" s="399">
        <v>43097</v>
      </c>
      <c r="B547" s="400">
        <v>3.2480165107504622E-3</v>
      </c>
      <c r="C547" s="401">
        <f t="shared" si="0"/>
        <v>0.55723370429252783</v>
      </c>
      <c r="D547" s="402">
        <f t="shared" ref="D547:F547" si="565">ROUNDDOWN($C547*D$2,0) - IF(MOD($C547*D$2,1)=0,1,0) + 1</f>
        <v>2</v>
      </c>
      <c r="E547" s="402">
        <f t="shared" si="565"/>
        <v>2</v>
      </c>
      <c r="F547" s="402">
        <f t="shared" si="565"/>
        <v>3</v>
      </c>
      <c r="G547" s="401">
        <f t="shared" si="3"/>
        <v>0</v>
      </c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1:20" ht="15.75" customHeight="1">
      <c r="A548" s="399">
        <v>43098</v>
      </c>
      <c r="B548" s="400">
        <v>-1.4020740241126317E-2</v>
      </c>
      <c r="C548" s="401">
        <f t="shared" si="0"/>
        <v>0.14069952305246422</v>
      </c>
      <c r="D548" s="402">
        <f t="shared" ref="D548:F548" si="566">ROUNDDOWN($C548*D$2,0) - IF(MOD($C548*D$2,1)=0,1,0) + 1</f>
        <v>1</v>
      </c>
      <c r="E548" s="402">
        <f t="shared" si="566"/>
        <v>1</v>
      </c>
      <c r="F548" s="402">
        <f t="shared" si="566"/>
        <v>1</v>
      </c>
      <c r="G548" s="401">
        <f t="shared" si="3"/>
        <v>0</v>
      </c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spans="1:20" ht="15.75" customHeight="1">
      <c r="A549" s="399">
        <v>43102</v>
      </c>
      <c r="B549" s="400">
        <v>1.670842347388124E-2</v>
      </c>
      <c r="C549" s="401">
        <f t="shared" si="0"/>
        <v>0.8656597774244833</v>
      </c>
      <c r="D549" s="402">
        <f t="shared" ref="D549:F549" si="567">ROUNDDOWN($C549*D$2,0) - IF(MOD($C549*D$2,1)=0,1,0) + 1</f>
        <v>2</v>
      </c>
      <c r="E549" s="402">
        <f t="shared" si="567"/>
        <v>3</v>
      </c>
      <c r="F549" s="402">
        <f t="shared" si="567"/>
        <v>4</v>
      </c>
      <c r="G549" s="401">
        <f t="shared" si="3"/>
        <v>1.670842347388124E-2</v>
      </c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spans="1:20" ht="15.75" customHeight="1">
      <c r="A550" s="399">
        <v>43103</v>
      </c>
      <c r="B550" s="400">
        <v>1.2775334101479352E-2</v>
      </c>
      <c r="C550" s="401">
        <f t="shared" si="0"/>
        <v>0.79888712241653415</v>
      </c>
      <c r="D550" s="402">
        <f t="shared" ref="D550:F550" si="568">ROUNDDOWN($C550*D$2,0) - IF(MOD($C550*D$2,1)=0,1,0) + 1</f>
        <v>2</v>
      </c>
      <c r="E550" s="402">
        <f t="shared" si="568"/>
        <v>3</v>
      </c>
      <c r="F550" s="402">
        <f t="shared" si="568"/>
        <v>4</v>
      </c>
      <c r="G550" s="401">
        <f t="shared" si="3"/>
        <v>0</v>
      </c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spans="1:20" ht="15.75" customHeight="1">
      <c r="A551" s="399">
        <v>43104</v>
      </c>
      <c r="B551" s="400">
        <v>4.4760006643413952E-3</v>
      </c>
      <c r="C551" s="401">
        <f t="shared" si="0"/>
        <v>0.58664546899841019</v>
      </c>
      <c r="D551" s="402">
        <f t="shared" ref="D551:F551" si="569">ROUNDDOWN($C551*D$2,0) - IF(MOD($C551*D$2,1)=0,1,0) + 1</f>
        <v>2</v>
      </c>
      <c r="E551" s="402">
        <f t="shared" si="569"/>
        <v>2</v>
      </c>
      <c r="F551" s="402">
        <f t="shared" si="569"/>
        <v>3</v>
      </c>
      <c r="G551" s="401">
        <f t="shared" si="3"/>
        <v>0</v>
      </c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spans="1:20" ht="15.75" customHeight="1">
      <c r="A552" s="399">
        <v>43105</v>
      </c>
      <c r="B552" s="400">
        <v>1.6162501343430558E-2</v>
      </c>
      <c r="C552" s="401">
        <f t="shared" si="0"/>
        <v>0.85930047694753575</v>
      </c>
      <c r="D552" s="402">
        <f t="shared" ref="D552:F552" si="570">ROUNDDOWN($C552*D$2,0) - IF(MOD($C552*D$2,1)=0,1,0) + 1</f>
        <v>2</v>
      </c>
      <c r="E552" s="402">
        <f t="shared" si="570"/>
        <v>3</v>
      </c>
      <c r="F552" s="402">
        <f t="shared" si="570"/>
        <v>4</v>
      </c>
      <c r="G552" s="401">
        <f t="shared" si="3"/>
        <v>0</v>
      </c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spans="1:20" ht="15.75" customHeight="1">
      <c r="A553" s="399">
        <v>43108</v>
      </c>
      <c r="B553" s="400">
        <v>1.4424719722732737E-2</v>
      </c>
      <c r="C553" s="401">
        <f t="shared" si="0"/>
        <v>0.82750397456279812</v>
      </c>
      <c r="D553" s="402">
        <f t="shared" ref="D553:F553" si="571">ROUNDDOWN($C553*D$2,0) - IF(MOD($C553*D$2,1)=0,1,0) + 1</f>
        <v>2</v>
      </c>
      <c r="E553" s="402">
        <f t="shared" si="571"/>
        <v>3</v>
      </c>
      <c r="F553" s="402">
        <f t="shared" si="571"/>
        <v>4</v>
      </c>
      <c r="G553" s="401">
        <f t="shared" si="3"/>
        <v>0</v>
      </c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spans="1:20" ht="15.75" customHeight="1">
      <c r="A554" s="399">
        <v>43109</v>
      </c>
      <c r="B554" s="400">
        <v>4.6757079727639539E-3</v>
      </c>
      <c r="C554" s="401">
        <f t="shared" si="0"/>
        <v>0.59459459459459463</v>
      </c>
      <c r="D554" s="402">
        <f t="shared" ref="D554:F554" si="572">ROUNDDOWN($C554*D$2,0) - IF(MOD($C554*D$2,1)=0,1,0) + 1</f>
        <v>2</v>
      </c>
      <c r="E554" s="402">
        <f t="shared" si="572"/>
        <v>2</v>
      </c>
      <c r="F554" s="402">
        <f t="shared" si="572"/>
        <v>3</v>
      </c>
      <c r="G554" s="401">
        <f t="shared" si="3"/>
        <v>0</v>
      </c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spans="1:20" ht="15.75" customHeight="1">
      <c r="A555" s="399">
        <v>43110</v>
      </c>
      <c r="B555" s="400">
        <v>1.3011894308292415E-3</v>
      </c>
      <c r="C555" s="401">
        <f t="shared" si="0"/>
        <v>0.49284578696343401</v>
      </c>
      <c r="D555" s="402">
        <f t="shared" ref="D555:F555" si="573">ROUNDDOWN($C555*D$2,0) - IF(MOD($C555*D$2,1)=0,1,0) + 1</f>
        <v>1</v>
      </c>
      <c r="E555" s="402">
        <f t="shared" si="573"/>
        <v>2</v>
      </c>
      <c r="F555" s="402">
        <f t="shared" si="573"/>
        <v>2</v>
      </c>
      <c r="G555" s="401">
        <f t="shared" si="3"/>
        <v>0</v>
      </c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spans="1:20" ht="15.75" customHeight="1">
      <c r="A556" s="399">
        <v>43111</v>
      </c>
      <c r="B556" s="400">
        <v>1.7818277486785883E-2</v>
      </c>
      <c r="C556" s="401">
        <f t="shared" si="0"/>
        <v>0.8775834658187599</v>
      </c>
      <c r="D556" s="402">
        <f t="shared" ref="D556:F556" si="574">ROUNDDOWN($C556*D$2,0) - IF(MOD($C556*D$2,1)=0,1,0) + 1</f>
        <v>2</v>
      </c>
      <c r="E556" s="402">
        <f t="shared" si="574"/>
        <v>3</v>
      </c>
      <c r="F556" s="402">
        <f t="shared" si="574"/>
        <v>4</v>
      </c>
      <c r="G556" s="401">
        <f t="shared" si="3"/>
        <v>0</v>
      </c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1:20" ht="15.75" customHeight="1">
      <c r="A557" s="399">
        <v>43112</v>
      </c>
      <c r="B557" s="400">
        <v>2.2339192279976272E-2</v>
      </c>
      <c r="C557" s="401">
        <f t="shared" si="0"/>
        <v>0.91335453100158981</v>
      </c>
      <c r="D557" s="402">
        <f t="shared" ref="D557:F557" si="575">ROUNDDOWN($C557*D$2,0) - IF(MOD($C557*D$2,1)=0,1,0) + 1</f>
        <v>2</v>
      </c>
      <c r="E557" s="402">
        <f t="shared" si="575"/>
        <v>3</v>
      </c>
      <c r="F557" s="402">
        <f t="shared" si="575"/>
        <v>4</v>
      </c>
      <c r="G557" s="401">
        <f t="shared" si="3"/>
        <v>0</v>
      </c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1:20" ht="15.75" customHeight="1">
      <c r="A558" s="399">
        <v>43116</v>
      </c>
      <c r="B558" s="400">
        <v>-2.60496475635974E-4</v>
      </c>
      <c r="C558" s="401">
        <f t="shared" si="0"/>
        <v>0.43402225755166934</v>
      </c>
      <c r="D558" s="402">
        <f t="shared" ref="D558:F558" si="576">ROUNDDOWN($C558*D$2,0) - IF(MOD($C558*D$2,1)=0,1,0) + 1</f>
        <v>1</v>
      </c>
      <c r="E558" s="402">
        <f t="shared" si="576"/>
        <v>2</v>
      </c>
      <c r="F558" s="402">
        <f t="shared" si="576"/>
        <v>2</v>
      </c>
      <c r="G558" s="401">
        <f t="shared" si="3"/>
        <v>0</v>
      </c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spans="1:20" ht="15.75" customHeight="1">
      <c r="A559" s="399">
        <v>43117</v>
      </c>
      <c r="B559" s="400">
        <v>-7.5563662002052778E-3</v>
      </c>
      <c r="C559" s="401">
        <f t="shared" si="0"/>
        <v>0.23052464228934816</v>
      </c>
      <c r="D559" s="402">
        <f t="shared" ref="D559:F559" si="577">ROUNDDOWN($C559*D$2,0) - IF(MOD($C559*D$2,1)=0,1,0) + 1</f>
        <v>1</v>
      </c>
      <c r="E559" s="402">
        <f t="shared" si="577"/>
        <v>1</v>
      </c>
      <c r="F559" s="402">
        <f t="shared" si="577"/>
        <v>1</v>
      </c>
      <c r="G559" s="401">
        <f t="shared" si="3"/>
        <v>0</v>
      </c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spans="1:20" ht="15.75" customHeight="1">
      <c r="A560" s="399">
        <v>43118</v>
      </c>
      <c r="B560" s="400">
        <v>-1.2972972972973285E-3</v>
      </c>
      <c r="C560" s="401">
        <f t="shared" si="0"/>
        <v>0.40620031796502387</v>
      </c>
      <c r="D560" s="402">
        <f t="shared" ref="D560:F560" si="578">ROUNDDOWN($C560*D$2,0) - IF(MOD($C560*D$2,1)=0,1,0) + 1</f>
        <v>1</v>
      </c>
      <c r="E560" s="402">
        <f t="shared" si="578"/>
        <v>2</v>
      </c>
      <c r="F560" s="402">
        <f t="shared" si="578"/>
        <v>2</v>
      </c>
      <c r="G560" s="401">
        <f t="shared" si="3"/>
        <v>-1.2972972972973285E-3</v>
      </c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spans="1:20" ht="15.75" customHeight="1">
      <c r="A561" s="399">
        <v>43119</v>
      </c>
      <c r="B561" s="400">
        <v>9.7423684780251207E-4</v>
      </c>
      <c r="C561" s="401">
        <f t="shared" si="0"/>
        <v>0.48410174880763118</v>
      </c>
      <c r="D561" s="402">
        <f t="shared" ref="D561:F561" si="579">ROUNDDOWN($C561*D$2,0) - IF(MOD($C561*D$2,1)=0,1,0) + 1</f>
        <v>1</v>
      </c>
      <c r="E561" s="402">
        <f t="shared" si="579"/>
        <v>2</v>
      </c>
      <c r="F561" s="402">
        <f t="shared" si="579"/>
        <v>2</v>
      </c>
      <c r="G561" s="401">
        <f t="shared" si="3"/>
        <v>0</v>
      </c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spans="1:20" ht="15.75" customHeight="1">
      <c r="A562" s="399">
        <v>43122</v>
      </c>
      <c r="B562" s="400">
        <v>2.528233094903376E-2</v>
      </c>
      <c r="C562" s="401">
        <f t="shared" si="0"/>
        <v>0.92845786963434018</v>
      </c>
      <c r="D562" s="402">
        <f t="shared" ref="D562:F562" si="580">ROUNDDOWN($C562*D$2,0) - IF(MOD($C562*D$2,1)=0,1,0) + 1</f>
        <v>2</v>
      </c>
      <c r="E562" s="402">
        <f t="shared" si="580"/>
        <v>3</v>
      </c>
      <c r="F562" s="402">
        <f t="shared" si="580"/>
        <v>4</v>
      </c>
      <c r="G562" s="401">
        <f t="shared" si="3"/>
        <v>0</v>
      </c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spans="1:20" ht="15.75" customHeight="1">
      <c r="A563" s="399">
        <v>43123</v>
      </c>
      <c r="B563" s="400">
        <v>2.6542405316015039E-2</v>
      </c>
      <c r="C563" s="401">
        <f t="shared" si="0"/>
        <v>0.93720190779014312</v>
      </c>
      <c r="D563" s="402">
        <f t="shared" ref="D563:F563" si="581">ROUNDDOWN($C563*D$2,0) - IF(MOD($C563*D$2,1)=0,1,0) + 1</f>
        <v>2</v>
      </c>
      <c r="E563" s="402">
        <f t="shared" si="581"/>
        <v>3</v>
      </c>
      <c r="F563" s="402">
        <f t="shared" si="581"/>
        <v>4</v>
      </c>
      <c r="G563" s="401">
        <f t="shared" si="3"/>
        <v>0</v>
      </c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spans="1:20" ht="15.75" customHeight="1">
      <c r="A564" s="399">
        <v>43124</v>
      </c>
      <c r="B564" s="400">
        <v>-3.6916347409984285E-3</v>
      </c>
      <c r="C564" s="401">
        <f t="shared" si="0"/>
        <v>0.34419713831478538</v>
      </c>
      <c r="D564" s="402">
        <f t="shared" ref="D564:F564" si="582">ROUNDDOWN($C564*D$2,0) - IF(MOD($C564*D$2,1)=0,1,0) + 1</f>
        <v>1</v>
      </c>
      <c r="E564" s="402">
        <f t="shared" si="582"/>
        <v>2</v>
      </c>
      <c r="F564" s="402">
        <f t="shared" si="582"/>
        <v>2</v>
      </c>
      <c r="G564" s="401">
        <f t="shared" si="3"/>
        <v>0</v>
      </c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spans="1:20" ht="15.75" customHeight="1">
      <c r="A565" s="399">
        <v>43125</v>
      </c>
      <c r="B565" s="400">
        <v>1.5056979322435993E-2</v>
      </c>
      <c r="C565" s="401">
        <f t="shared" si="0"/>
        <v>0.8418124006359301</v>
      </c>
      <c r="D565" s="402">
        <f t="shared" ref="D565:F565" si="583">ROUNDDOWN($C565*D$2,0) - IF(MOD($C565*D$2,1)=0,1,0) + 1</f>
        <v>2</v>
      </c>
      <c r="E565" s="402">
        <f t="shared" si="583"/>
        <v>3</v>
      </c>
      <c r="F565" s="402">
        <f t="shared" si="583"/>
        <v>4</v>
      </c>
      <c r="G565" s="401">
        <f t="shared" si="3"/>
        <v>0</v>
      </c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spans="1:20" ht="15.75" customHeight="1">
      <c r="A566" s="399">
        <v>43126</v>
      </c>
      <c r="B566" s="400">
        <v>1.7489749265212851E-2</v>
      </c>
      <c r="C566" s="401">
        <f t="shared" si="0"/>
        <v>0.87599364069952301</v>
      </c>
      <c r="D566" s="402">
        <f t="shared" ref="D566:F566" si="584">ROUNDDOWN($C566*D$2,0) - IF(MOD($C566*D$2,1)=0,1,0) + 1</f>
        <v>2</v>
      </c>
      <c r="E566" s="402">
        <f t="shared" si="584"/>
        <v>3</v>
      </c>
      <c r="F566" s="402">
        <f t="shared" si="584"/>
        <v>4</v>
      </c>
      <c r="G566" s="401">
        <f t="shared" si="3"/>
        <v>0</v>
      </c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spans="1:20" ht="15.75" customHeight="1">
      <c r="A567" s="399">
        <v>43129</v>
      </c>
      <c r="B567" s="400">
        <v>1.114796191291334E-2</v>
      </c>
      <c r="C567" s="401">
        <f t="shared" si="0"/>
        <v>0.76629570747217801</v>
      </c>
      <c r="D567" s="402">
        <f t="shared" ref="D567:F567" si="585">ROUNDDOWN($C567*D$2,0) - IF(MOD($C567*D$2,1)=0,1,0) + 1</f>
        <v>2</v>
      </c>
      <c r="E567" s="402">
        <f t="shared" si="585"/>
        <v>3</v>
      </c>
      <c r="F567" s="402">
        <f t="shared" si="585"/>
        <v>4</v>
      </c>
      <c r="G567" s="401">
        <f t="shared" si="3"/>
        <v>0</v>
      </c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spans="1:20" ht="15.75" customHeight="1">
      <c r="A568" s="399">
        <v>43130</v>
      </c>
      <c r="B568" s="400">
        <v>1.4206308899046283E-2</v>
      </c>
      <c r="C568" s="401">
        <f t="shared" si="0"/>
        <v>0.82273449920508746</v>
      </c>
      <c r="D568" s="402">
        <f t="shared" ref="D568:F568" si="586">ROUNDDOWN($C568*D$2,0) - IF(MOD($C568*D$2,1)=0,1,0) + 1</f>
        <v>2</v>
      </c>
      <c r="E568" s="402">
        <f t="shared" si="586"/>
        <v>3</v>
      </c>
      <c r="F568" s="402">
        <f t="shared" si="586"/>
        <v>4</v>
      </c>
      <c r="G568" s="401">
        <f t="shared" si="3"/>
        <v>0</v>
      </c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spans="1:20" ht="15.75" customHeight="1">
      <c r="A569" s="399">
        <v>43131</v>
      </c>
      <c r="B569" s="400">
        <v>9.090150366527272E-3</v>
      </c>
      <c r="C569" s="401">
        <f t="shared" si="0"/>
        <v>0.71621621621621623</v>
      </c>
      <c r="D569" s="402">
        <f t="shared" ref="D569:F569" si="587">ROUNDDOWN($C569*D$2,0) - IF(MOD($C569*D$2,1)=0,1,0) + 1</f>
        <v>2</v>
      </c>
      <c r="E569" s="402">
        <f t="shared" si="587"/>
        <v>3</v>
      </c>
      <c r="F569" s="402">
        <f t="shared" si="587"/>
        <v>3</v>
      </c>
      <c r="G569" s="401">
        <f t="shared" si="3"/>
        <v>0</v>
      </c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spans="1:20" ht="15.75" customHeight="1">
      <c r="A570" s="399">
        <v>43132</v>
      </c>
      <c r="B570" s="400">
        <v>-4.196734418184711E-2</v>
      </c>
      <c r="C570" s="401">
        <f t="shared" si="0"/>
        <v>2.1462639109697933E-2</v>
      </c>
      <c r="D570" s="402">
        <f t="shared" ref="D570:F570" si="588">ROUNDDOWN($C570*D$2,0) - IF(MOD($C570*D$2,1)=0,1,0) + 1</f>
        <v>1</v>
      </c>
      <c r="E570" s="402">
        <f t="shared" si="588"/>
        <v>1</v>
      </c>
      <c r="F570" s="402">
        <f t="shared" si="588"/>
        <v>1</v>
      </c>
      <c r="G570" s="401">
        <f t="shared" si="3"/>
        <v>0</v>
      </c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spans="1:20" ht="15.75" customHeight="1">
      <c r="A571" s="399">
        <v>43133</v>
      </c>
      <c r="B571" s="400">
        <v>2.8741007194244661E-2</v>
      </c>
      <c r="C571" s="401">
        <f t="shared" si="0"/>
        <v>0.94674085850556444</v>
      </c>
      <c r="D571" s="402">
        <f t="shared" ref="D571:F571" si="589">ROUNDDOWN($C571*D$2,0) - IF(MOD($C571*D$2,1)=0,1,0) + 1</f>
        <v>2</v>
      </c>
      <c r="E571" s="402">
        <f t="shared" si="589"/>
        <v>3</v>
      </c>
      <c r="F571" s="402">
        <f t="shared" si="589"/>
        <v>4</v>
      </c>
      <c r="G571" s="401">
        <f t="shared" si="3"/>
        <v>2.8741007194244661E-2</v>
      </c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spans="1:20" ht="15.75" customHeight="1">
      <c r="A572" s="399">
        <v>43136</v>
      </c>
      <c r="B572" s="400">
        <v>-2.7938039791601144E-2</v>
      </c>
      <c r="C572" s="401">
        <f t="shared" si="0"/>
        <v>5.5643879173290937E-2</v>
      </c>
      <c r="D572" s="402">
        <f t="shared" ref="D572:F572" si="590">ROUNDDOWN($C572*D$2,0) - IF(MOD($C572*D$2,1)=0,1,0) + 1</f>
        <v>1</v>
      </c>
      <c r="E572" s="402">
        <f t="shared" si="590"/>
        <v>1</v>
      </c>
      <c r="F572" s="402">
        <f t="shared" si="590"/>
        <v>1</v>
      </c>
      <c r="G572" s="401">
        <f t="shared" si="3"/>
        <v>0</v>
      </c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spans="1:20" ht="15.75" customHeight="1">
      <c r="A573" s="399">
        <v>43137</v>
      </c>
      <c r="B573" s="400">
        <v>3.8014388489208573E-2</v>
      </c>
      <c r="C573" s="401">
        <f t="shared" si="0"/>
        <v>0.97138314785373614</v>
      </c>
      <c r="D573" s="402">
        <f t="shared" ref="D573:F573" si="591">ROUNDDOWN($C573*D$2,0) - IF(MOD($C573*D$2,1)=0,1,0) + 1</f>
        <v>2</v>
      </c>
      <c r="E573" s="402">
        <f t="shared" si="591"/>
        <v>3</v>
      </c>
      <c r="F573" s="402">
        <f t="shared" si="591"/>
        <v>4</v>
      </c>
      <c r="G573" s="401">
        <f t="shared" si="3"/>
        <v>3.8014388489208573E-2</v>
      </c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spans="1:20" ht="15.75" customHeight="1">
      <c r="A574" s="399">
        <v>43138</v>
      </c>
      <c r="B574" s="400">
        <v>-1.8061600731889893E-2</v>
      </c>
      <c r="C574" s="401">
        <f t="shared" si="0"/>
        <v>0.10333863275039745</v>
      </c>
      <c r="D574" s="402">
        <f t="shared" ref="D574:F574" si="592">ROUNDDOWN($C574*D$2,0) - IF(MOD($C574*D$2,1)=0,1,0) + 1</f>
        <v>1</v>
      </c>
      <c r="E574" s="402">
        <f t="shared" si="592"/>
        <v>1</v>
      </c>
      <c r="F574" s="402">
        <f t="shared" si="592"/>
        <v>1</v>
      </c>
      <c r="G574" s="401">
        <f t="shared" si="3"/>
        <v>0</v>
      </c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spans="1:20" ht="15.75" customHeight="1">
      <c r="A575" s="399">
        <v>43139</v>
      </c>
      <c r="B575" s="400">
        <v>-4.6782139781758603E-2</v>
      </c>
      <c r="C575" s="401">
        <f t="shared" si="0"/>
        <v>1.5898251192368838E-2</v>
      </c>
      <c r="D575" s="402">
        <f t="shared" ref="D575:F575" si="593">ROUNDDOWN($C575*D$2,0) - IF(MOD($C575*D$2,1)=0,1,0) + 1</f>
        <v>1</v>
      </c>
      <c r="E575" s="402">
        <f t="shared" si="593"/>
        <v>1</v>
      </c>
      <c r="F575" s="402">
        <f t="shared" si="593"/>
        <v>1</v>
      </c>
      <c r="G575" s="401">
        <f t="shared" si="3"/>
        <v>-4.6782139781758603E-2</v>
      </c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spans="1:20" ht="15.75" customHeight="1">
      <c r="A576" s="399">
        <v>43140</v>
      </c>
      <c r="B576" s="400">
        <v>-8.0710847834135624E-3</v>
      </c>
      <c r="C576" s="401">
        <f t="shared" si="0"/>
        <v>0.22098569157392686</v>
      </c>
      <c r="D576" s="402">
        <f t="shared" ref="D576:F576" si="594">ROUNDDOWN($C576*D$2,0) - IF(MOD($C576*D$2,1)=0,1,0) + 1</f>
        <v>1</v>
      </c>
      <c r="E576" s="402">
        <f t="shared" si="594"/>
        <v>1</v>
      </c>
      <c r="F576" s="402">
        <f t="shared" si="594"/>
        <v>1</v>
      </c>
      <c r="G576" s="401">
        <f t="shared" si="3"/>
        <v>-8.0710847834135624E-3</v>
      </c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spans="1:20" ht="15.75" customHeight="1">
      <c r="A577" s="399">
        <v>43143</v>
      </c>
      <c r="B577" s="400">
        <v>3.480889817856081E-2</v>
      </c>
      <c r="C577" s="401">
        <f t="shared" si="0"/>
        <v>0.9634340222575517</v>
      </c>
      <c r="D577" s="402">
        <f t="shared" ref="D577:F577" si="595">ROUNDDOWN($C577*D$2,0) - IF(MOD($C577*D$2,1)=0,1,0) + 1</f>
        <v>2</v>
      </c>
      <c r="E577" s="402">
        <f t="shared" si="595"/>
        <v>3</v>
      </c>
      <c r="F577" s="402">
        <f t="shared" si="595"/>
        <v>4</v>
      </c>
      <c r="G577" s="401">
        <f t="shared" si="3"/>
        <v>3.480889817856081E-2</v>
      </c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spans="1:20" ht="15.75" customHeight="1">
      <c r="A578" s="399">
        <v>43144</v>
      </c>
      <c r="B578" s="400">
        <v>2.0400655013958602E-2</v>
      </c>
      <c r="C578" s="401">
        <f t="shared" si="0"/>
        <v>0.90143084260731321</v>
      </c>
      <c r="D578" s="402">
        <f t="shared" ref="D578:F578" si="596">ROUNDDOWN($C578*D$2,0) - IF(MOD($C578*D$2,1)=0,1,0) + 1</f>
        <v>2</v>
      </c>
      <c r="E578" s="402">
        <f t="shared" si="596"/>
        <v>3</v>
      </c>
      <c r="F578" s="402">
        <f t="shared" si="596"/>
        <v>4</v>
      </c>
      <c r="G578" s="401">
        <f t="shared" si="3"/>
        <v>0</v>
      </c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spans="1:20" ht="15.75" customHeight="1">
      <c r="A579" s="399">
        <v>43145</v>
      </c>
      <c r="B579" s="400">
        <v>2.5832267004121556E-2</v>
      </c>
      <c r="C579" s="401">
        <f t="shared" si="0"/>
        <v>0.93322734499205084</v>
      </c>
      <c r="D579" s="402">
        <f t="shared" ref="D579:F579" si="597">ROUNDDOWN($C579*D$2,0) - IF(MOD($C579*D$2,1)=0,1,0) + 1</f>
        <v>2</v>
      </c>
      <c r="E579" s="402">
        <f t="shared" si="597"/>
        <v>3</v>
      </c>
      <c r="F579" s="402">
        <f t="shared" si="597"/>
        <v>4</v>
      </c>
      <c r="G579" s="401">
        <f t="shared" si="3"/>
        <v>0</v>
      </c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spans="1:20" ht="15.75" customHeight="1">
      <c r="A580" s="399">
        <v>43146</v>
      </c>
      <c r="B580" s="400">
        <v>7.3808621343165459E-3</v>
      </c>
      <c r="C580" s="401">
        <f t="shared" si="0"/>
        <v>0.67329093799682038</v>
      </c>
      <c r="D580" s="402">
        <f t="shared" ref="D580:F580" si="598">ROUNDDOWN($C580*D$2,0) - IF(MOD($C580*D$2,1)=0,1,0) + 1</f>
        <v>2</v>
      </c>
      <c r="E580" s="402">
        <f t="shared" si="598"/>
        <v>3</v>
      </c>
      <c r="F580" s="402">
        <f t="shared" si="598"/>
        <v>3</v>
      </c>
      <c r="G580" s="401">
        <f t="shared" si="3"/>
        <v>0</v>
      </c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spans="1:20" ht="15.75" customHeight="1">
      <c r="A581" s="399">
        <v>43147</v>
      </c>
      <c r="B581" s="400">
        <v>-8.941276269702203E-3</v>
      </c>
      <c r="C581" s="401">
        <f t="shared" si="0"/>
        <v>0.20508744038155802</v>
      </c>
      <c r="D581" s="402">
        <f t="shared" ref="D581:F581" si="599">ROUNDDOWN($C581*D$2,0) - IF(MOD($C581*D$2,1)=0,1,0) + 1</f>
        <v>1</v>
      </c>
      <c r="E581" s="402">
        <f t="shared" si="599"/>
        <v>1</v>
      </c>
      <c r="F581" s="402">
        <f t="shared" si="599"/>
        <v>1</v>
      </c>
      <c r="G581" s="401">
        <f t="shared" si="3"/>
        <v>0</v>
      </c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spans="1:20" ht="15.75" customHeight="1">
      <c r="A582" s="399">
        <v>43151</v>
      </c>
      <c r="B582" s="400">
        <v>1.3570881278948566E-2</v>
      </c>
      <c r="C582" s="401">
        <f t="shared" si="0"/>
        <v>0.81478537360890302</v>
      </c>
      <c r="D582" s="402">
        <f t="shared" ref="D582:F582" si="600">ROUNDDOWN($C582*D$2,0) - IF(MOD($C582*D$2,1)=0,1,0) + 1</f>
        <v>2</v>
      </c>
      <c r="E582" s="402">
        <f t="shared" si="600"/>
        <v>3</v>
      </c>
      <c r="F582" s="402">
        <f t="shared" si="600"/>
        <v>4</v>
      </c>
      <c r="G582" s="401">
        <f t="shared" si="3"/>
        <v>1.3570881278948566E-2</v>
      </c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spans="1:20" ht="15.75" customHeight="1">
      <c r="A583" s="399">
        <v>43152</v>
      </c>
      <c r="B583" s="400">
        <v>9.9227023529813163E-3</v>
      </c>
      <c r="C583" s="401">
        <f t="shared" si="0"/>
        <v>0.74244833068362481</v>
      </c>
      <c r="D583" s="402">
        <f t="shared" ref="D583:F583" si="601">ROUNDDOWN($C583*D$2,0) - IF(MOD($C583*D$2,1)=0,1,0) + 1</f>
        <v>2</v>
      </c>
      <c r="E583" s="402">
        <f t="shared" si="601"/>
        <v>3</v>
      </c>
      <c r="F583" s="402">
        <f t="shared" si="601"/>
        <v>3</v>
      </c>
      <c r="G583" s="401">
        <f t="shared" si="3"/>
        <v>0</v>
      </c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spans="1:20" ht="15.75" customHeight="1">
      <c r="A584" s="399">
        <v>43153</v>
      </c>
      <c r="B584" s="400">
        <v>1.6319154101367417E-3</v>
      </c>
      <c r="C584" s="401">
        <f t="shared" si="0"/>
        <v>0.50635930047694755</v>
      </c>
      <c r="D584" s="402">
        <f t="shared" ref="D584:F584" si="602">ROUNDDOWN($C584*D$2,0) - IF(MOD($C584*D$2,1)=0,1,0) + 1</f>
        <v>2</v>
      </c>
      <c r="E584" s="402">
        <f t="shared" si="602"/>
        <v>2</v>
      </c>
      <c r="F584" s="402">
        <f t="shared" si="602"/>
        <v>3</v>
      </c>
      <c r="G584" s="401">
        <f t="shared" si="3"/>
        <v>0</v>
      </c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spans="1:20" ht="15.75" customHeight="1">
      <c r="A585" s="399">
        <v>43154</v>
      </c>
      <c r="B585" s="400">
        <v>9.8697941212113616E-3</v>
      </c>
      <c r="C585" s="401">
        <f t="shared" si="0"/>
        <v>0.74006359300476943</v>
      </c>
      <c r="D585" s="402">
        <f t="shared" ref="D585:F585" si="603">ROUNDDOWN($C585*D$2,0) - IF(MOD($C585*D$2,1)=0,1,0) + 1</f>
        <v>2</v>
      </c>
      <c r="E585" s="402">
        <f t="shared" si="603"/>
        <v>3</v>
      </c>
      <c r="F585" s="402">
        <f t="shared" si="603"/>
        <v>3</v>
      </c>
      <c r="G585" s="401">
        <f t="shared" si="3"/>
        <v>0</v>
      </c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spans="1:20" ht="15.75" customHeight="1">
      <c r="A586" s="399">
        <v>43157</v>
      </c>
      <c r="B586" s="400">
        <v>1.4633333333333276E-2</v>
      </c>
      <c r="C586" s="401">
        <f t="shared" si="0"/>
        <v>0.83704292527821944</v>
      </c>
      <c r="D586" s="402">
        <f t="shared" ref="D586:F586" si="604">ROUNDDOWN($C586*D$2,0) - IF(MOD($C586*D$2,1)=0,1,0) + 1</f>
        <v>2</v>
      </c>
      <c r="E586" s="402">
        <f t="shared" si="604"/>
        <v>3</v>
      </c>
      <c r="F586" s="402">
        <f t="shared" si="604"/>
        <v>4</v>
      </c>
      <c r="G586" s="401">
        <f t="shared" si="3"/>
        <v>0</v>
      </c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spans="1:20" ht="15.75" customHeight="1">
      <c r="A587" s="399">
        <v>43158</v>
      </c>
      <c r="B587" s="400">
        <v>-6.5508065310949659E-3</v>
      </c>
      <c r="C587" s="401">
        <f t="shared" si="0"/>
        <v>0.25198728139904608</v>
      </c>
      <c r="D587" s="402">
        <f t="shared" ref="D587:F587" si="605">ROUNDDOWN($C587*D$2,0) - IF(MOD($C587*D$2,1)=0,1,0) + 1</f>
        <v>1</v>
      </c>
      <c r="E587" s="402">
        <f t="shared" si="605"/>
        <v>1</v>
      </c>
      <c r="F587" s="402">
        <f t="shared" si="605"/>
        <v>2</v>
      </c>
      <c r="G587" s="401">
        <f t="shared" si="3"/>
        <v>0</v>
      </c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spans="1:20" ht="15.75" customHeight="1">
      <c r="A588" s="399">
        <v>43159</v>
      </c>
      <c r="B588" s="400">
        <v>3.1085067262792698E-4</v>
      </c>
      <c r="C588" s="401">
        <f t="shared" si="0"/>
        <v>0.45866454689984104</v>
      </c>
      <c r="D588" s="402">
        <f t="shared" ref="D588:F588" si="606">ROUNDDOWN($C588*D$2,0) - IF(MOD($C588*D$2,1)=0,1,0) + 1</f>
        <v>1</v>
      </c>
      <c r="E588" s="402">
        <f t="shared" si="606"/>
        <v>2</v>
      </c>
      <c r="F588" s="402">
        <f t="shared" si="606"/>
        <v>2</v>
      </c>
      <c r="G588" s="401">
        <f t="shared" si="3"/>
        <v>0</v>
      </c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spans="1:20" ht="15.75" customHeight="1">
      <c r="A589" s="399">
        <v>43160</v>
      </c>
      <c r="B589" s="400">
        <v>-1.2562398756983728E-2</v>
      </c>
      <c r="C589" s="401">
        <f t="shared" si="0"/>
        <v>0.15659777424483307</v>
      </c>
      <c r="D589" s="402">
        <f t="shared" ref="D589:F589" si="607">ROUNDDOWN($C589*D$2,0) - IF(MOD($C589*D$2,1)=0,1,0) + 1</f>
        <v>1</v>
      </c>
      <c r="E589" s="402">
        <f t="shared" si="607"/>
        <v>1</v>
      </c>
      <c r="F589" s="402">
        <f t="shared" si="607"/>
        <v>1</v>
      </c>
      <c r="G589" s="401">
        <f t="shared" si="3"/>
        <v>0</v>
      </c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spans="1:20" ht="15.75" customHeight="1">
      <c r="A590" s="399">
        <v>43161</v>
      </c>
      <c r="B590" s="400">
        <v>4.5532157085941272E-3</v>
      </c>
      <c r="C590" s="401">
        <f t="shared" si="0"/>
        <v>0.58903020667726547</v>
      </c>
      <c r="D590" s="402">
        <f t="shared" ref="D590:F590" si="608">ROUNDDOWN($C590*D$2,0) - IF(MOD($C590*D$2,1)=0,1,0) + 1</f>
        <v>2</v>
      </c>
      <c r="E590" s="402">
        <f t="shared" si="608"/>
        <v>2</v>
      </c>
      <c r="F590" s="402">
        <f t="shared" si="608"/>
        <v>3</v>
      </c>
      <c r="G590" s="401">
        <f t="shared" si="3"/>
        <v>4.5532157085941272E-3</v>
      </c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spans="1:20" ht="15.75" customHeight="1">
      <c r="A591" s="399">
        <v>43164</v>
      </c>
      <c r="B591" s="400">
        <v>1.5570738210298307E-2</v>
      </c>
      <c r="C591" s="401">
        <f t="shared" si="0"/>
        <v>0.84976152623211443</v>
      </c>
      <c r="D591" s="402">
        <f t="shared" ref="D591:F591" si="609">ROUNDDOWN($C591*D$2,0) - IF(MOD($C591*D$2,1)=0,1,0) + 1</f>
        <v>2</v>
      </c>
      <c r="E591" s="402">
        <f t="shared" si="609"/>
        <v>3</v>
      </c>
      <c r="F591" s="402">
        <f t="shared" si="609"/>
        <v>4</v>
      </c>
      <c r="G591" s="401">
        <f t="shared" si="3"/>
        <v>0</v>
      </c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spans="1:20" ht="15.75" customHeight="1">
      <c r="A592" s="399">
        <v>43165</v>
      </c>
      <c r="B592" s="400">
        <v>9.2083932239879207E-3</v>
      </c>
      <c r="C592" s="401">
        <f t="shared" si="0"/>
        <v>0.72178060413354528</v>
      </c>
      <c r="D592" s="402">
        <f t="shared" ref="D592:F592" si="610">ROUNDDOWN($C592*D$2,0) - IF(MOD($C592*D$2,1)=0,1,0) + 1</f>
        <v>2</v>
      </c>
      <c r="E592" s="402">
        <f t="shared" si="610"/>
        <v>3</v>
      </c>
      <c r="F592" s="402">
        <f t="shared" si="610"/>
        <v>3</v>
      </c>
      <c r="G592" s="401">
        <f t="shared" si="3"/>
        <v>0</v>
      </c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spans="1:20" ht="15.75" customHeight="1">
      <c r="A593" s="399">
        <v>43166</v>
      </c>
      <c r="B593" s="400">
        <v>4.7865560209150448E-3</v>
      </c>
      <c r="C593" s="401">
        <f t="shared" si="0"/>
        <v>0.5977742448330684</v>
      </c>
      <c r="D593" s="402">
        <f t="shared" ref="D593:F593" si="611">ROUNDDOWN($C593*D$2,0) - IF(MOD($C593*D$2,1)=0,1,0) + 1</f>
        <v>2</v>
      </c>
      <c r="E593" s="402">
        <f t="shared" si="611"/>
        <v>2</v>
      </c>
      <c r="F593" s="402">
        <f t="shared" si="611"/>
        <v>3</v>
      </c>
      <c r="G593" s="401">
        <f t="shared" si="3"/>
        <v>0</v>
      </c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spans="1:20" ht="15.75" customHeight="1">
      <c r="A594" s="399">
        <v>43167</v>
      </c>
      <c r="B594" s="400">
        <v>4.4401294498381816E-3</v>
      </c>
      <c r="C594" s="401">
        <f t="shared" si="0"/>
        <v>0.5850556438791733</v>
      </c>
      <c r="D594" s="402">
        <f t="shared" ref="D594:F594" si="612">ROUNDDOWN($C594*D$2,0) - IF(MOD($C594*D$2,1)=0,1,0) + 1</f>
        <v>2</v>
      </c>
      <c r="E594" s="402">
        <f t="shared" si="612"/>
        <v>2</v>
      </c>
      <c r="F594" s="402">
        <f t="shared" si="612"/>
        <v>3</v>
      </c>
      <c r="G594" s="401">
        <f t="shared" si="3"/>
        <v>0</v>
      </c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spans="1:20" ht="15.75" customHeight="1">
      <c r="A595" s="399">
        <v>43168</v>
      </c>
      <c r="B595" s="400">
        <v>1.7417808307450544E-2</v>
      </c>
      <c r="C595" s="401">
        <f t="shared" si="0"/>
        <v>0.87440381558028613</v>
      </c>
      <c r="D595" s="402">
        <f t="shared" ref="D595:F595" si="613">ROUNDDOWN($C595*D$2,0) - IF(MOD($C595*D$2,1)=0,1,0) + 1</f>
        <v>2</v>
      </c>
      <c r="E595" s="402">
        <f t="shared" si="613"/>
        <v>3</v>
      </c>
      <c r="F595" s="402">
        <f t="shared" si="613"/>
        <v>4</v>
      </c>
      <c r="G595" s="401">
        <f t="shared" si="3"/>
        <v>0</v>
      </c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spans="1:20" ht="15.75" customHeight="1">
      <c r="A596" s="399">
        <v>43171</v>
      </c>
      <c r="B596" s="400">
        <v>1.2350448732970642E-2</v>
      </c>
      <c r="C596" s="401">
        <f t="shared" si="0"/>
        <v>0.79093799682034971</v>
      </c>
      <c r="D596" s="402">
        <f t="shared" ref="D596:F596" si="614">ROUNDDOWN($C596*D$2,0) - IF(MOD($C596*D$2,1)=0,1,0) + 1</f>
        <v>2</v>
      </c>
      <c r="E596" s="402">
        <f t="shared" si="614"/>
        <v>3</v>
      </c>
      <c r="F596" s="402">
        <f t="shared" si="614"/>
        <v>4</v>
      </c>
      <c r="G596" s="401">
        <f t="shared" si="3"/>
        <v>0</v>
      </c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spans="1:20" ht="15.75" customHeight="1">
      <c r="A597" s="399">
        <v>43172</v>
      </c>
      <c r="B597" s="400">
        <v>-6.3876776005855618E-3</v>
      </c>
      <c r="C597" s="401">
        <f t="shared" si="0"/>
        <v>0.25914149443561207</v>
      </c>
      <c r="D597" s="402">
        <f t="shared" ref="D597:F597" si="615">ROUNDDOWN($C597*D$2,0) - IF(MOD($C597*D$2,1)=0,1,0) + 1</f>
        <v>1</v>
      </c>
      <c r="E597" s="402">
        <f t="shared" si="615"/>
        <v>1</v>
      </c>
      <c r="F597" s="402">
        <f t="shared" si="615"/>
        <v>2</v>
      </c>
      <c r="G597" s="401">
        <f t="shared" si="3"/>
        <v>0</v>
      </c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spans="1:20" ht="15.75" customHeight="1">
      <c r="A598" s="399">
        <v>43173</v>
      </c>
      <c r="B598" s="400">
        <v>1.7756173733456393E-3</v>
      </c>
      <c r="C598" s="401">
        <f t="shared" si="0"/>
        <v>0.51430842607313199</v>
      </c>
      <c r="D598" s="402">
        <f t="shared" ref="D598:F598" si="616">ROUNDDOWN($C598*D$2,0) - IF(MOD($C598*D$2,1)=0,1,0) + 1</f>
        <v>2</v>
      </c>
      <c r="E598" s="402">
        <f t="shared" si="616"/>
        <v>2</v>
      </c>
      <c r="F598" s="402">
        <f t="shared" si="616"/>
        <v>3</v>
      </c>
      <c r="G598" s="401">
        <f t="shared" si="3"/>
        <v>0</v>
      </c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spans="1:20" ht="15.75" customHeight="1">
      <c r="A599" s="399">
        <v>43174</v>
      </c>
      <c r="B599" s="400">
        <v>-5.4556882463859813E-3</v>
      </c>
      <c r="C599" s="401">
        <f t="shared" si="0"/>
        <v>0.28378378378378377</v>
      </c>
      <c r="D599" s="402">
        <f t="shared" ref="D599:F599" si="617">ROUNDDOWN($C599*D$2,0) - IF(MOD($C599*D$2,1)=0,1,0) + 1</f>
        <v>1</v>
      </c>
      <c r="E599" s="402">
        <f t="shared" si="617"/>
        <v>1</v>
      </c>
      <c r="F599" s="402">
        <f t="shared" si="617"/>
        <v>2</v>
      </c>
      <c r="G599" s="401">
        <f t="shared" si="3"/>
        <v>0</v>
      </c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spans="1:20" ht="15.75" customHeight="1">
      <c r="A600" s="399">
        <v>43175</v>
      </c>
      <c r="B600" s="400">
        <v>-6.7243035542746687E-3</v>
      </c>
      <c r="C600" s="401">
        <f t="shared" si="0"/>
        <v>0.24960254372019078</v>
      </c>
      <c r="D600" s="402">
        <f t="shared" ref="D600:F600" si="618">ROUNDDOWN($C600*D$2,0) - IF(MOD($C600*D$2,1)=0,1,0) + 1</f>
        <v>1</v>
      </c>
      <c r="E600" s="402">
        <f t="shared" si="618"/>
        <v>1</v>
      </c>
      <c r="F600" s="402">
        <f t="shared" si="618"/>
        <v>1</v>
      </c>
      <c r="G600" s="401">
        <f t="shared" si="3"/>
        <v>0</v>
      </c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spans="1:20" ht="15.75" customHeight="1">
      <c r="A601" s="399">
        <v>43178</v>
      </c>
      <c r="B601" s="400">
        <v>-1.7020004072075712E-2</v>
      </c>
      <c r="C601" s="401">
        <f t="shared" si="0"/>
        <v>0.11367249602543721</v>
      </c>
      <c r="D601" s="402">
        <f t="shared" ref="D601:F601" si="619">ROUNDDOWN($C601*D$2,0) - IF(MOD($C601*D$2,1)=0,1,0) + 1</f>
        <v>1</v>
      </c>
      <c r="E601" s="402">
        <f t="shared" si="619"/>
        <v>1</v>
      </c>
      <c r="F601" s="402">
        <f t="shared" si="619"/>
        <v>1</v>
      </c>
      <c r="G601" s="401">
        <f t="shared" si="3"/>
        <v>-1.7020004072075712E-2</v>
      </c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spans="1:20" ht="15.75" customHeight="1">
      <c r="A602" s="399">
        <v>43179</v>
      </c>
      <c r="B602" s="400">
        <v>2.691384075653902E-2</v>
      </c>
      <c r="C602" s="401">
        <f t="shared" si="0"/>
        <v>0.93799682034976151</v>
      </c>
      <c r="D602" s="402">
        <f t="shared" ref="D602:F602" si="620">ROUNDDOWN($C602*D$2,0) - IF(MOD($C602*D$2,1)=0,1,0) + 1</f>
        <v>2</v>
      </c>
      <c r="E602" s="402">
        <f t="shared" si="620"/>
        <v>3</v>
      </c>
      <c r="F602" s="402">
        <f t="shared" si="620"/>
        <v>4</v>
      </c>
      <c r="G602" s="401">
        <f t="shared" si="3"/>
        <v>2.691384075653902E-2</v>
      </c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spans="1:20" ht="15.75" customHeight="1">
      <c r="A603" s="399">
        <v>43180</v>
      </c>
      <c r="B603" s="400">
        <v>-2.9309616705851527E-3</v>
      </c>
      <c r="C603" s="401">
        <f t="shared" si="0"/>
        <v>0.3656597774244833</v>
      </c>
      <c r="D603" s="402">
        <f t="shared" ref="D603:F603" si="621">ROUNDDOWN($C603*D$2,0) - IF(MOD($C603*D$2,1)=0,1,0) + 1</f>
        <v>1</v>
      </c>
      <c r="E603" s="402">
        <f t="shared" si="621"/>
        <v>2</v>
      </c>
      <c r="F603" s="402">
        <f t="shared" si="621"/>
        <v>2</v>
      </c>
      <c r="G603" s="401">
        <f t="shared" si="3"/>
        <v>0</v>
      </c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spans="1:20" ht="15.75" customHeight="1">
      <c r="A604" s="399">
        <v>43181</v>
      </c>
      <c r="B604" s="400">
        <v>-2.3352256204720923E-2</v>
      </c>
      <c r="C604" s="401">
        <f t="shared" si="0"/>
        <v>7.2337042925278219E-2</v>
      </c>
      <c r="D604" s="402">
        <f t="shared" ref="D604:F604" si="622">ROUNDDOWN($C604*D$2,0) - IF(MOD($C604*D$2,1)=0,1,0) + 1</f>
        <v>1</v>
      </c>
      <c r="E604" s="402">
        <f t="shared" si="622"/>
        <v>1</v>
      </c>
      <c r="F604" s="402">
        <f t="shared" si="622"/>
        <v>1</v>
      </c>
      <c r="G604" s="401">
        <f t="shared" si="3"/>
        <v>0</v>
      </c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spans="1:20" ht="15.75" customHeight="1">
      <c r="A605" s="399">
        <v>43182</v>
      </c>
      <c r="B605" s="400">
        <v>-3.1949874427154912E-2</v>
      </c>
      <c r="C605" s="401">
        <f t="shared" si="0"/>
        <v>4.133545310015898E-2</v>
      </c>
      <c r="D605" s="402">
        <f t="shared" ref="D605:F605" si="623">ROUNDDOWN($C605*D$2,0) - IF(MOD($C605*D$2,1)=0,1,0) + 1</f>
        <v>1</v>
      </c>
      <c r="E605" s="402">
        <f t="shared" si="623"/>
        <v>1</v>
      </c>
      <c r="F605" s="402">
        <f t="shared" si="623"/>
        <v>1</v>
      </c>
      <c r="G605" s="401">
        <f t="shared" si="3"/>
        <v>-3.1949874427154912E-2</v>
      </c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spans="1:20" ht="15.75" customHeight="1">
      <c r="A606" s="399">
        <v>43185</v>
      </c>
      <c r="B606" s="400">
        <v>4.0319345261975448E-2</v>
      </c>
      <c r="C606" s="401">
        <f t="shared" si="0"/>
        <v>0.9745627980922098</v>
      </c>
      <c r="D606" s="402">
        <f t="shared" ref="D606:F606" si="624">ROUNDDOWN($C606*D$2,0) - IF(MOD($C606*D$2,1)=0,1,0) + 1</f>
        <v>2</v>
      </c>
      <c r="E606" s="402">
        <f t="shared" si="624"/>
        <v>3</v>
      </c>
      <c r="F606" s="402">
        <f t="shared" si="624"/>
        <v>4</v>
      </c>
      <c r="G606" s="401">
        <f t="shared" si="3"/>
        <v>4.0319345261975448E-2</v>
      </c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spans="1:20" ht="15.75" customHeight="1">
      <c r="A607" s="399">
        <v>43186</v>
      </c>
      <c r="B607" s="400">
        <v>-3.7799030761122454E-2</v>
      </c>
      <c r="C607" s="401">
        <f t="shared" si="0"/>
        <v>3.0206677265500796E-2</v>
      </c>
      <c r="D607" s="402">
        <f t="shared" ref="D607:F607" si="625">ROUNDDOWN($C607*D$2,0) - IF(MOD($C607*D$2,1)=0,1,0) + 1</f>
        <v>1</v>
      </c>
      <c r="E607" s="402">
        <f t="shared" si="625"/>
        <v>1</v>
      </c>
      <c r="F607" s="402">
        <f t="shared" si="625"/>
        <v>1</v>
      </c>
      <c r="G607" s="401">
        <f t="shared" si="3"/>
        <v>0</v>
      </c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spans="1:20" ht="15.75" customHeight="1">
      <c r="A608" s="399">
        <v>43187</v>
      </c>
      <c r="B608" s="400">
        <v>-4.3839551117197062E-2</v>
      </c>
      <c r="C608" s="401">
        <f t="shared" si="0"/>
        <v>2.066772655007949E-2</v>
      </c>
      <c r="D608" s="402">
        <f t="shared" ref="D608:F608" si="626">ROUNDDOWN($C608*D$2,0) - IF(MOD($C608*D$2,1)=0,1,0) + 1</f>
        <v>1</v>
      </c>
      <c r="E608" s="402">
        <f t="shared" si="626"/>
        <v>1</v>
      </c>
      <c r="F608" s="402">
        <f t="shared" si="626"/>
        <v>1</v>
      </c>
      <c r="G608" s="401">
        <f t="shared" si="3"/>
        <v>-4.3839551117197062E-2</v>
      </c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spans="1:20" ht="15.75" customHeight="1">
      <c r="A609" s="399">
        <v>43188</v>
      </c>
      <c r="B609" s="400">
        <v>1.1121823084768945E-2</v>
      </c>
      <c r="C609" s="401">
        <f t="shared" si="0"/>
        <v>0.76470588235294112</v>
      </c>
      <c r="D609" s="402">
        <f t="shared" ref="D609:F609" si="627">ROUNDDOWN($C609*D$2,0) - IF(MOD($C609*D$2,1)=0,1,0) + 1</f>
        <v>2</v>
      </c>
      <c r="E609" s="402">
        <f t="shared" si="627"/>
        <v>3</v>
      </c>
      <c r="F609" s="402">
        <f t="shared" si="627"/>
        <v>4</v>
      </c>
      <c r="G609" s="401">
        <f t="shared" si="3"/>
        <v>1.1121823084768945E-2</v>
      </c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spans="1:20" ht="15.75" customHeight="1">
      <c r="A610" s="399">
        <v>43192</v>
      </c>
      <c r="B610" s="400">
        <v>-5.2061022289164871E-2</v>
      </c>
      <c r="C610" s="401">
        <f t="shared" si="0"/>
        <v>1.2718600953895072E-2</v>
      </c>
      <c r="D610" s="402">
        <f t="shared" ref="D610:F610" si="628">ROUNDDOWN($C610*D$2,0) - IF(MOD($C610*D$2,1)=0,1,0) + 1</f>
        <v>1</v>
      </c>
      <c r="E610" s="402">
        <f t="shared" si="628"/>
        <v>1</v>
      </c>
      <c r="F610" s="402">
        <f t="shared" si="628"/>
        <v>1</v>
      </c>
      <c r="G610" s="401">
        <f t="shared" si="3"/>
        <v>0</v>
      </c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spans="1:20" ht="15.75" customHeight="1">
      <c r="A611" s="399">
        <v>43193</v>
      </c>
      <c r="B611" s="400">
        <v>1.4621097821412743E-2</v>
      </c>
      <c r="C611" s="401">
        <f t="shared" si="0"/>
        <v>0.83465818759936405</v>
      </c>
      <c r="D611" s="402">
        <f t="shared" ref="D611:F611" si="629">ROUNDDOWN($C611*D$2,0) - IF(MOD($C611*D$2,1)=0,1,0) + 1</f>
        <v>2</v>
      </c>
      <c r="E611" s="402">
        <f t="shared" si="629"/>
        <v>3</v>
      </c>
      <c r="F611" s="402">
        <f t="shared" si="629"/>
        <v>4</v>
      </c>
      <c r="G611" s="401">
        <f t="shared" si="3"/>
        <v>1.4621097821412743E-2</v>
      </c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spans="1:20" ht="15.75" customHeight="1">
      <c r="A612" s="399">
        <v>43194</v>
      </c>
      <c r="B612" s="400">
        <v>1.3304119823282168E-2</v>
      </c>
      <c r="C612" s="401">
        <f t="shared" si="0"/>
        <v>0.81001589825119236</v>
      </c>
      <c r="D612" s="402">
        <f t="shared" ref="D612:F612" si="630">ROUNDDOWN($C612*D$2,0) - IF(MOD($C612*D$2,1)=0,1,0) + 1</f>
        <v>2</v>
      </c>
      <c r="E612" s="402">
        <f t="shared" si="630"/>
        <v>3</v>
      </c>
      <c r="F612" s="402">
        <f t="shared" si="630"/>
        <v>4</v>
      </c>
      <c r="G612" s="401">
        <f t="shared" si="3"/>
        <v>0</v>
      </c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spans="1:20" ht="15.75" customHeight="1">
      <c r="A613" s="399">
        <v>43195</v>
      </c>
      <c r="B613" s="400">
        <v>2.9193871980830455E-2</v>
      </c>
      <c r="C613" s="401">
        <f t="shared" si="0"/>
        <v>0.94833068362480122</v>
      </c>
      <c r="D613" s="402">
        <f t="shared" ref="D613:F613" si="631">ROUNDDOWN($C613*D$2,0) - IF(MOD($C613*D$2,1)=0,1,0) + 1</f>
        <v>2</v>
      </c>
      <c r="E613" s="402">
        <f t="shared" si="631"/>
        <v>3</v>
      </c>
      <c r="F613" s="402">
        <f t="shared" si="631"/>
        <v>4</v>
      </c>
      <c r="G613" s="401">
        <f t="shared" si="3"/>
        <v>0</v>
      </c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spans="1:20" ht="15.75" customHeight="1">
      <c r="A614" s="399">
        <v>43196</v>
      </c>
      <c r="B614" s="400">
        <v>-3.204408472533149E-2</v>
      </c>
      <c r="C614" s="401">
        <f t="shared" si="0"/>
        <v>3.9745627980922099E-2</v>
      </c>
      <c r="D614" s="402">
        <f t="shared" ref="D614:F614" si="632">ROUNDDOWN($C614*D$2,0) - IF(MOD($C614*D$2,1)=0,1,0) + 1</f>
        <v>1</v>
      </c>
      <c r="E614" s="402">
        <f t="shared" si="632"/>
        <v>1</v>
      </c>
      <c r="F614" s="402">
        <f t="shared" si="632"/>
        <v>1</v>
      </c>
      <c r="G614" s="401">
        <f t="shared" si="3"/>
        <v>0</v>
      </c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spans="1:20" ht="15.75" customHeight="1">
      <c r="A615" s="399">
        <v>43199</v>
      </c>
      <c r="B615" s="400">
        <v>6.0488318638229899E-4</v>
      </c>
      <c r="C615" s="401">
        <f t="shared" si="0"/>
        <v>0.4697933227344992</v>
      </c>
      <c r="D615" s="402">
        <f t="shared" ref="D615:F615" si="633">ROUNDDOWN($C615*D$2,0) - IF(MOD($C615*D$2,1)=0,1,0) + 1</f>
        <v>1</v>
      </c>
      <c r="E615" s="402">
        <f t="shared" si="633"/>
        <v>2</v>
      </c>
      <c r="F615" s="402">
        <f t="shared" si="633"/>
        <v>2</v>
      </c>
      <c r="G615" s="401">
        <f t="shared" si="3"/>
        <v>6.0488318638229899E-4</v>
      </c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spans="1:20" ht="15.75" customHeight="1">
      <c r="A616" s="399">
        <v>43200</v>
      </c>
      <c r="B616" s="400">
        <v>2.1435480200273194E-2</v>
      </c>
      <c r="C616" s="401">
        <f t="shared" si="0"/>
        <v>0.90779014308426076</v>
      </c>
      <c r="D616" s="402">
        <f t="shared" ref="D616:F616" si="634">ROUNDDOWN($C616*D$2,0) - IF(MOD($C616*D$2,1)=0,1,0) + 1</f>
        <v>2</v>
      </c>
      <c r="E616" s="402">
        <f t="shared" si="634"/>
        <v>3</v>
      </c>
      <c r="F616" s="402">
        <f t="shared" si="634"/>
        <v>4</v>
      </c>
      <c r="G616" s="401">
        <f t="shared" si="3"/>
        <v>0</v>
      </c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spans="1:20" ht="15.75" customHeight="1">
      <c r="A617" s="399">
        <v>43201</v>
      </c>
      <c r="B617" s="400">
        <v>-6.3848156967596381E-3</v>
      </c>
      <c r="C617" s="401">
        <f t="shared" si="0"/>
        <v>0.25993640699523052</v>
      </c>
      <c r="D617" s="402">
        <f t="shared" ref="D617:F617" si="635">ROUNDDOWN($C617*D$2,0) - IF(MOD($C617*D$2,1)=0,1,0) + 1</f>
        <v>1</v>
      </c>
      <c r="E617" s="402">
        <f t="shared" si="635"/>
        <v>1</v>
      </c>
      <c r="F617" s="402">
        <f t="shared" si="635"/>
        <v>2</v>
      </c>
      <c r="G617" s="401">
        <f t="shared" si="3"/>
        <v>0</v>
      </c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spans="1:20" ht="15.75" customHeight="1">
      <c r="A618" s="399">
        <v>43202</v>
      </c>
      <c r="B618" s="400">
        <v>1.5031008023545178E-2</v>
      </c>
      <c r="C618" s="401">
        <f t="shared" si="0"/>
        <v>0.8410174880763116</v>
      </c>
      <c r="D618" s="402">
        <f t="shared" ref="D618:F618" si="636">ROUNDDOWN($C618*D$2,0) - IF(MOD($C618*D$2,1)=0,1,0) + 1</f>
        <v>2</v>
      </c>
      <c r="E618" s="402">
        <f t="shared" si="636"/>
        <v>3</v>
      </c>
      <c r="F618" s="402">
        <f t="shared" si="636"/>
        <v>4</v>
      </c>
      <c r="G618" s="401">
        <f t="shared" si="3"/>
        <v>0</v>
      </c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spans="1:20" ht="15.75" customHeight="1">
      <c r="A619" s="399">
        <v>43203</v>
      </c>
      <c r="B619" s="400">
        <v>-1.2226441146013123E-2</v>
      </c>
      <c r="C619" s="401">
        <f t="shared" si="0"/>
        <v>0.16136724960254373</v>
      </c>
      <c r="D619" s="402">
        <f t="shared" ref="D619:F619" si="637">ROUNDDOWN($C619*D$2,0) - IF(MOD($C619*D$2,1)=0,1,0) + 1</f>
        <v>1</v>
      </c>
      <c r="E619" s="402">
        <f t="shared" si="637"/>
        <v>1</v>
      </c>
      <c r="F619" s="402">
        <f t="shared" si="637"/>
        <v>1</v>
      </c>
      <c r="G619" s="401">
        <f t="shared" si="3"/>
        <v>0</v>
      </c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spans="1:20" ht="15.75" customHeight="1">
      <c r="A620" s="399">
        <v>43206</v>
      </c>
      <c r="B620" s="400">
        <v>7.4853752122954198E-3</v>
      </c>
      <c r="C620" s="401">
        <f t="shared" si="0"/>
        <v>0.67806041335453104</v>
      </c>
      <c r="D620" s="402">
        <f t="shared" ref="D620:F620" si="638">ROUNDDOWN($C620*D$2,0) - IF(MOD($C620*D$2,1)=0,1,0) + 1</f>
        <v>2</v>
      </c>
      <c r="E620" s="402">
        <f t="shared" si="638"/>
        <v>3</v>
      </c>
      <c r="F620" s="402">
        <f t="shared" si="638"/>
        <v>3</v>
      </c>
      <c r="G620" s="401">
        <f t="shared" si="3"/>
        <v>7.4853752122954198E-3</v>
      </c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spans="1:20" ht="15.75" customHeight="1">
      <c r="A621" s="399">
        <v>43207</v>
      </c>
      <c r="B621" s="400">
        <v>4.3239680887963816E-2</v>
      </c>
      <c r="C621" s="401">
        <f t="shared" si="0"/>
        <v>0.97774244833068358</v>
      </c>
      <c r="D621" s="402">
        <f t="shared" ref="D621:F621" si="639">ROUNDDOWN($C621*D$2,0) - IF(MOD($C621*D$2,1)=0,1,0) + 1</f>
        <v>2</v>
      </c>
      <c r="E621" s="402">
        <f t="shared" si="639"/>
        <v>3</v>
      </c>
      <c r="F621" s="402">
        <f t="shared" si="639"/>
        <v>4</v>
      </c>
      <c r="G621" s="401">
        <f t="shared" si="3"/>
        <v>0</v>
      </c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spans="1:20" ht="15.75" customHeight="1">
      <c r="A622" s="399">
        <v>43208</v>
      </c>
      <c r="B622" s="400">
        <v>1.596590040097623E-2</v>
      </c>
      <c r="C622" s="401">
        <f t="shared" si="0"/>
        <v>0.85612082670906198</v>
      </c>
      <c r="D622" s="402">
        <f t="shared" ref="D622:F622" si="640">ROUNDDOWN($C622*D$2,0) - IF(MOD($C622*D$2,1)=0,1,0) + 1</f>
        <v>2</v>
      </c>
      <c r="E622" s="402">
        <f t="shared" si="640"/>
        <v>3</v>
      </c>
      <c r="F622" s="402">
        <f t="shared" si="640"/>
        <v>4</v>
      </c>
      <c r="G622" s="401">
        <f t="shared" si="3"/>
        <v>0</v>
      </c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spans="1:20" ht="15.75" customHeight="1">
      <c r="A623" s="399">
        <v>43209</v>
      </c>
      <c r="B623" s="400">
        <v>1.9026861451461041E-2</v>
      </c>
      <c r="C623" s="401">
        <f t="shared" si="0"/>
        <v>0.890302066772655</v>
      </c>
      <c r="D623" s="402">
        <f t="shared" ref="D623:F623" si="641">ROUNDDOWN($C623*D$2,0) - IF(MOD($C623*D$2,1)=0,1,0) + 1</f>
        <v>2</v>
      </c>
      <c r="E623" s="402">
        <f t="shared" si="641"/>
        <v>3</v>
      </c>
      <c r="F623" s="402">
        <f t="shared" si="641"/>
        <v>4</v>
      </c>
      <c r="G623" s="401">
        <f t="shared" si="3"/>
        <v>0</v>
      </c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spans="1:20" ht="15.75" customHeight="1">
      <c r="A624" s="399">
        <v>43210</v>
      </c>
      <c r="B624" s="400">
        <v>-1.8896403774142367E-2</v>
      </c>
      <c r="C624" s="401">
        <f t="shared" si="0"/>
        <v>9.45945945945946E-2</v>
      </c>
      <c r="D624" s="402">
        <f t="shared" ref="D624:F624" si="642">ROUNDDOWN($C624*D$2,0) - IF(MOD($C624*D$2,1)=0,1,0) + 1</f>
        <v>1</v>
      </c>
      <c r="E624" s="402">
        <f t="shared" si="642"/>
        <v>1</v>
      </c>
      <c r="F624" s="402">
        <f t="shared" si="642"/>
        <v>1</v>
      </c>
      <c r="G624" s="401">
        <f t="shared" si="3"/>
        <v>0</v>
      </c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spans="1:20" ht="15.75" customHeight="1">
      <c r="A625" s="399">
        <v>43213</v>
      </c>
      <c r="B625" s="400">
        <v>-6.3044602583324227E-3</v>
      </c>
      <c r="C625" s="401">
        <f t="shared" si="0"/>
        <v>0.26152623211446741</v>
      </c>
      <c r="D625" s="402">
        <f t="shared" ref="D625:F625" si="643">ROUNDDOWN($C625*D$2,0) - IF(MOD($C625*D$2,1)=0,1,0) + 1</f>
        <v>1</v>
      </c>
      <c r="E625" s="402">
        <f t="shared" si="643"/>
        <v>1</v>
      </c>
      <c r="F625" s="402">
        <f t="shared" si="643"/>
        <v>2</v>
      </c>
      <c r="G625" s="401">
        <f t="shared" si="3"/>
        <v>-6.3044602583324227E-3</v>
      </c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spans="1:20" ht="15.75" customHeight="1">
      <c r="A626" s="399">
        <v>43214</v>
      </c>
      <c r="B626" s="400">
        <v>-3.8060163651456702E-2</v>
      </c>
      <c r="C626" s="401">
        <f t="shared" si="0"/>
        <v>2.9411764705882353E-2</v>
      </c>
      <c r="D626" s="402">
        <f t="shared" ref="D626:F626" si="644">ROUNDDOWN($C626*D$2,0) - IF(MOD($C626*D$2,1)=0,1,0) + 1</f>
        <v>1</v>
      </c>
      <c r="E626" s="402">
        <f t="shared" si="644"/>
        <v>1</v>
      </c>
      <c r="F626" s="402">
        <f t="shared" si="644"/>
        <v>1</v>
      </c>
      <c r="G626" s="401">
        <f t="shared" si="3"/>
        <v>0</v>
      </c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spans="1:20" ht="15.75" customHeight="1">
      <c r="A627" s="399">
        <v>43215</v>
      </c>
      <c r="B627" s="400">
        <v>5.4791143011767574E-5</v>
      </c>
      <c r="C627" s="401">
        <f t="shared" si="0"/>
        <v>0.44912559618441972</v>
      </c>
      <c r="D627" s="402">
        <f t="shared" ref="D627:F627" si="645">ROUNDDOWN($C627*D$2,0) - IF(MOD($C627*D$2,1)=0,1,0) + 1</f>
        <v>1</v>
      </c>
      <c r="E627" s="402">
        <f t="shared" si="645"/>
        <v>2</v>
      </c>
      <c r="F627" s="402">
        <f t="shared" si="645"/>
        <v>2</v>
      </c>
      <c r="G627" s="401">
        <f t="shared" si="3"/>
        <v>5.4791143011767574E-5</v>
      </c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spans="1:20" ht="15.75" customHeight="1">
      <c r="A628" s="399">
        <v>43216</v>
      </c>
      <c r="B628" s="400">
        <v>3.9577583432066188E-2</v>
      </c>
      <c r="C628" s="401">
        <f t="shared" si="0"/>
        <v>0.97297297297297303</v>
      </c>
      <c r="D628" s="402">
        <f t="shared" ref="D628:F628" si="646">ROUNDDOWN($C628*D$2,0) - IF(MOD($C628*D$2,1)=0,1,0) + 1</f>
        <v>2</v>
      </c>
      <c r="E628" s="402">
        <f t="shared" si="646"/>
        <v>3</v>
      </c>
      <c r="F628" s="402">
        <f t="shared" si="646"/>
        <v>4</v>
      </c>
      <c r="G628" s="401">
        <f t="shared" si="3"/>
        <v>0</v>
      </c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spans="1:20" ht="15.75" customHeight="1">
      <c r="A629" s="399">
        <v>43217</v>
      </c>
      <c r="B629" s="400">
        <v>3.6008853988247269E-2</v>
      </c>
      <c r="C629" s="401">
        <f t="shared" si="0"/>
        <v>0.96581875993640698</v>
      </c>
      <c r="D629" s="402">
        <f t="shared" ref="D629:F629" si="647">ROUNDDOWN($C629*D$2,0) - IF(MOD($C629*D$2,1)=0,1,0) + 1</f>
        <v>2</v>
      </c>
      <c r="E629" s="402">
        <f t="shared" si="647"/>
        <v>3</v>
      </c>
      <c r="F629" s="402">
        <f t="shared" si="647"/>
        <v>4</v>
      </c>
      <c r="G629" s="401">
        <f t="shared" si="3"/>
        <v>0</v>
      </c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spans="1:20" ht="15.75" customHeight="1">
      <c r="A630" s="399">
        <v>43220</v>
      </c>
      <c r="B630" s="400">
        <v>-4.1268710813799903E-3</v>
      </c>
      <c r="C630" s="401">
        <f t="shared" si="0"/>
        <v>0.32114467408585057</v>
      </c>
      <c r="D630" s="402">
        <f t="shared" ref="D630:F630" si="648">ROUNDDOWN($C630*D$2,0) - IF(MOD($C630*D$2,1)=0,1,0) + 1</f>
        <v>1</v>
      </c>
      <c r="E630" s="402">
        <f t="shared" si="648"/>
        <v>1</v>
      </c>
      <c r="F630" s="402">
        <f t="shared" si="648"/>
        <v>2</v>
      </c>
      <c r="G630" s="401">
        <f t="shared" si="3"/>
        <v>0</v>
      </c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spans="1:20" ht="15.75" customHeight="1">
      <c r="A631" s="399">
        <v>43221</v>
      </c>
      <c r="B631" s="400">
        <v>1.0299272729594522E-2</v>
      </c>
      <c r="C631" s="401">
        <f t="shared" si="0"/>
        <v>0.74721780604133547</v>
      </c>
      <c r="D631" s="402">
        <f t="shared" ref="D631:F631" si="649">ROUNDDOWN($C631*D$2,0) - IF(MOD($C631*D$2,1)=0,1,0) + 1</f>
        <v>2</v>
      </c>
      <c r="E631" s="402">
        <f t="shared" si="649"/>
        <v>3</v>
      </c>
      <c r="F631" s="402">
        <f t="shared" si="649"/>
        <v>3</v>
      </c>
      <c r="G631" s="401">
        <f t="shared" si="3"/>
        <v>0</v>
      </c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spans="1:20" ht="15.75" customHeight="1">
      <c r="A632" s="399">
        <v>43222</v>
      </c>
      <c r="B632" s="400">
        <v>-7.9506528636253959E-3</v>
      </c>
      <c r="C632" s="401">
        <f t="shared" si="0"/>
        <v>0.22257551669316375</v>
      </c>
      <c r="D632" s="402">
        <f t="shared" ref="D632:F632" si="650">ROUNDDOWN($C632*D$2,0) - IF(MOD($C632*D$2,1)=0,1,0) + 1</f>
        <v>1</v>
      </c>
      <c r="E632" s="402">
        <f t="shared" si="650"/>
        <v>1</v>
      </c>
      <c r="F632" s="402">
        <f t="shared" si="650"/>
        <v>1</v>
      </c>
      <c r="G632" s="401">
        <f t="shared" si="3"/>
        <v>0</v>
      </c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spans="1:20" ht="15.75" customHeight="1">
      <c r="A633" s="399">
        <v>43223</v>
      </c>
      <c r="B633" s="400">
        <v>1.5257886957851241E-3</v>
      </c>
      <c r="C633" s="401">
        <f t="shared" si="0"/>
        <v>0.50476947535771066</v>
      </c>
      <c r="D633" s="402">
        <f t="shared" ref="D633:F633" si="651">ROUNDDOWN($C633*D$2,0) - IF(MOD($C633*D$2,1)=0,1,0) + 1</f>
        <v>2</v>
      </c>
      <c r="E633" s="402">
        <f t="shared" si="651"/>
        <v>2</v>
      </c>
      <c r="F633" s="402">
        <f t="shared" si="651"/>
        <v>3</v>
      </c>
      <c r="G633" s="401">
        <f t="shared" si="3"/>
        <v>1.5257886957851241E-3</v>
      </c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spans="1:20" ht="15.75" customHeight="1">
      <c r="A634" s="399">
        <v>43224</v>
      </c>
      <c r="B634" s="400">
        <v>5.6454049584149235E-3</v>
      </c>
      <c r="C634" s="401">
        <f t="shared" si="0"/>
        <v>0.6224165341812401</v>
      </c>
      <c r="D634" s="402">
        <f t="shared" ref="D634:F634" si="652">ROUNDDOWN($C634*D$2,0) - IF(MOD($C634*D$2,1)=0,1,0) + 1</f>
        <v>2</v>
      </c>
      <c r="E634" s="402">
        <f t="shared" si="652"/>
        <v>2</v>
      </c>
      <c r="F634" s="402">
        <f t="shared" si="652"/>
        <v>3</v>
      </c>
      <c r="G634" s="401">
        <f t="shared" si="3"/>
        <v>0</v>
      </c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spans="1:20" ht="15.75" customHeight="1">
      <c r="A635" s="399">
        <v>43227</v>
      </c>
      <c r="B635" s="400">
        <v>1.2138271292577274E-2</v>
      </c>
      <c r="C635" s="401">
        <f t="shared" si="0"/>
        <v>0.78457869634340227</v>
      </c>
      <c r="D635" s="402">
        <f t="shared" ref="D635:F635" si="653">ROUNDDOWN($C635*D$2,0) - IF(MOD($C635*D$2,1)=0,1,0) + 1</f>
        <v>2</v>
      </c>
      <c r="E635" s="402">
        <f t="shared" si="653"/>
        <v>3</v>
      </c>
      <c r="F635" s="402">
        <f t="shared" si="653"/>
        <v>4</v>
      </c>
      <c r="G635" s="401">
        <f t="shared" si="3"/>
        <v>0</v>
      </c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1:20" ht="15.75" customHeight="1">
      <c r="A636" s="399">
        <v>43228</v>
      </c>
      <c r="B636" s="400">
        <v>-4.8433262089566664E-3</v>
      </c>
      <c r="C636" s="401">
        <f t="shared" si="0"/>
        <v>0.2988871224165342</v>
      </c>
      <c r="D636" s="402">
        <f t="shared" ref="D636:F636" si="654">ROUNDDOWN($C636*D$2,0) - IF(MOD($C636*D$2,1)=0,1,0) + 1</f>
        <v>1</v>
      </c>
      <c r="E636" s="402">
        <f t="shared" si="654"/>
        <v>1</v>
      </c>
      <c r="F636" s="402">
        <f t="shared" si="654"/>
        <v>2</v>
      </c>
      <c r="G636" s="401">
        <f t="shared" si="3"/>
        <v>0</v>
      </c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spans="1:20" ht="15.75" customHeight="1">
      <c r="A637" s="399">
        <v>43229</v>
      </c>
      <c r="B637" s="400">
        <v>9.8028749238565638E-3</v>
      </c>
      <c r="C637" s="401">
        <f t="shared" si="0"/>
        <v>0.73688394276629565</v>
      </c>
      <c r="D637" s="402">
        <f t="shared" ref="D637:F637" si="655">ROUNDDOWN($C637*D$2,0) - IF(MOD($C637*D$2,1)=0,1,0) + 1</f>
        <v>2</v>
      </c>
      <c r="E637" s="402">
        <f t="shared" si="655"/>
        <v>3</v>
      </c>
      <c r="F637" s="402">
        <f t="shared" si="655"/>
        <v>3</v>
      </c>
      <c r="G637" s="401">
        <f t="shared" si="3"/>
        <v>0</v>
      </c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spans="1:20" ht="15.75" customHeight="1">
      <c r="A638" s="399">
        <v>43230</v>
      </c>
      <c r="B638" s="400">
        <v>6.7164179104484134E-4</v>
      </c>
      <c r="C638" s="401">
        <f t="shared" si="0"/>
        <v>0.47138314785373608</v>
      </c>
      <c r="D638" s="402">
        <f t="shared" ref="D638:F638" si="656">ROUNDDOWN($C638*D$2,0) - IF(MOD($C638*D$2,1)=0,1,0) + 1</f>
        <v>1</v>
      </c>
      <c r="E638" s="402">
        <f t="shared" si="656"/>
        <v>2</v>
      </c>
      <c r="F638" s="402">
        <f t="shared" si="656"/>
        <v>2</v>
      </c>
      <c r="G638" s="401">
        <f t="shared" si="3"/>
        <v>0</v>
      </c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spans="1:20" ht="15.75" customHeight="1">
      <c r="A639" s="399">
        <v>43231</v>
      </c>
      <c r="B639" s="400">
        <v>-3.834489273373487E-3</v>
      </c>
      <c r="C639" s="401">
        <f t="shared" si="0"/>
        <v>0.33465818759936405</v>
      </c>
      <c r="D639" s="402">
        <f t="shared" ref="D639:F639" si="657">ROUNDDOWN($C639*D$2,0) - IF(MOD($C639*D$2,1)=0,1,0) + 1</f>
        <v>1</v>
      </c>
      <c r="E639" s="402">
        <f t="shared" si="657"/>
        <v>2</v>
      </c>
      <c r="F639" s="402">
        <f t="shared" si="657"/>
        <v>2</v>
      </c>
      <c r="G639" s="401">
        <f t="shared" si="3"/>
        <v>0</v>
      </c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spans="1:20" ht="15.75" customHeight="1">
      <c r="A640" s="399">
        <v>43234</v>
      </c>
      <c r="B640" s="400">
        <v>-8.5469552251848935E-4</v>
      </c>
      <c r="C640" s="401">
        <f t="shared" si="0"/>
        <v>0.41732909379968203</v>
      </c>
      <c r="D640" s="402">
        <f t="shared" ref="D640:F640" si="658">ROUNDDOWN($C640*D$2,0) - IF(MOD($C640*D$2,1)=0,1,0) + 1</f>
        <v>1</v>
      </c>
      <c r="E640" s="402">
        <f t="shared" si="658"/>
        <v>2</v>
      </c>
      <c r="F640" s="402">
        <f t="shared" si="658"/>
        <v>2</v>
      </c>
      <c r="G640" s="401">
        <f t="shared" si="3"/>
        <v>0</v>
      </c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spans="1:20" ht="15.75" customHeight="1">
      <c r="A641" s="399">
        <v>43235</v>
      </c>
      <c r="B641" s="400">
        <v>-1.5872222985376605E-2</v>
      </c>
      <c r="C641" s="401">
        <f t="shared" si="0"/>
        <v>0.12480127186009539</v>
      </c>
      <c r="D641" s="402">
        <f t="shared" ref="D641:F641" si="659">ROUNDDOWN($C641*D$2,0) - IF(MOD($C641*D$2,1)=0,1,0) + 1</f>
        <v>1</v>
      </c>
      <c r="E641" s="402">
        <f t="shared" si="659"/>
        <v>1</v>
      </c>
      <c r="F641" s="402">
        <f t="shared" si="659"/>
        <v>1</v>
      </c>
      <c r="G641" s="401">
        <f t="shared" si="3"/>
        <v>0</v>
      </c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spans="1:20" ht="15.75" customHeight="1">
      <c r="A642" s="399">
        <v>43236</v>
      </c>
      <c r="B642" s="400">
        <v>7.0806791361064381E-3</v>
      </c>
      <c r="C642" s="401">
        <f t="shared" si="0"/>
        <v>0.66693163751987283</v>
      </c>
      <c r="D642" s="402">
        <f t="shared" ref="D642:F642" si="660">ROUNDDOWN($C642*D$2,0) - IF(MOD($C642*D$2,1)=0,1,0) + 1</f>
        <v>2</v>
      </c>
      <c r="E642" s="402">
        <f t="shared" si="660"/>
        <v>3</v>
      </c>
      <c r="F642" s="402">
        <f t="shared" si="660"/>
        <v>3</v>
      </c>
      <c r="G642" s="401">
        <f t="shared" si="3"/>
        <v>7.0806791361064381E-3</v>
      </c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spans="1:20" ht="15.75" customHeight="1">
      <c r="A643" s="399">
        <v>43237</v>
      </c>
      <c r="B643" s="400">
        <v>-3.4776472960031946E-3</v>
      </c>
      <c r="C643" s="401">
        <f t="shared" si="0"/>
        <v>0.34737678855325915</v>
      </c>
      <c r="D643" s="402">
        <f t="shared" ref="D643:F643" si="661">ROUNDDOWN($C643*D$2,0) - IF(MOD($C643*D$2,1)=0,1,0) + 1</f>
        <v>1</v>
      </c>
      <c r="E643" s="402">
        <f t="shared" si="661"/>
        <v>2</v>
      </c>
      <c r="F643" s="402">
        <f t="shared" si="661"/>
        <v>2</v>
      </c>
      <c r="G643" s="401">
        <f t="shared" si="3"/>
        <v>0</v>
      </c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spans="1:20" ht="15.75" customHeight="1">
      <c r="A644" s="399">
        <v>43238</v>
      </c>
      <c r="B644" s="400">
        <v>-4.6720109245398378E-3</v>
      </c>
      <c r="C644" s="401">
        <f t="shared" si="0"/>
        <v>0.30604133545310014</v>
      </c>
      <c r="D644" s="402">
        <f t="shared" ref="D644:F644" si="662">ROUNDDOWN($C644*D$2,0) - IF(MOD($C644*D$2,1)=0,1,0) + 1</f>
        <v>1</v>
      </c>
      <c r="E644" s="402">
        <f t="shared" si="662"/>
        <v>1</v>
      </c>
      <c r="F644" s="402">
        <f t="shared" si="662"/>
        <v>2</v>
      </c>
      <c r="G644" s="401">
        <f t="shared" si="3"/>
        <v>0</v>
      </c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spans="1:20" ht="15.75" customHeight="1">
      <c r="A645" s="399">
        <v>43241</v>
      </c>
      <c r="B645" s="400">
        <v>7.0440874762605077E-3</v>
      </c>
      <c r="C645" s="401">
        <f t="shared" si="0"/>
        <v>0.66454689984101745</v>
      </c>
      <c r="D645" s="402">
        <f t="shared" ref="D645:F645" si="663">ROUNDDOWN($C645*D$2,0) - IF(MOD($C645*D$2,1)=0,1,0) + 1</f>
        <v>2</v>
      </c>
      <c r="E645" s="402">
        <f t="shared" si="663"/>
        <v>2</v>
      </c>
      <c r="F645" s="402">
        <f t="shared" si="663"/>
        <v>3</v>
      </c>
      <c r="G645" s="401">
        <f t="shared" si="3"/>
        <v>0</v>
      </c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spans="1:20" ht="15.75" customHeight="1">
      <c r="A646" s="399">
        <v>43242</v>
      </c>
      <c r="B646" s="400">
        <v>-2.5607710065217448E-3</v>
      </c>
      <c r="C646" s="401">
        <f t="shared" si="0"/>
        <v>0.37201907790143085</v>
      </c>
      <c r="D646" s="402">
        <f t="shared" ref="D646:F646" si="664">ROUNDDOWN($C646*D$2,0) - IF(MOD($C646*D$2,1)=0,1,0) + 1</f>
        <v>1</v>
      </c>
      <c r="E646" s="402">
        <f t="shared" si="664"/>
        <v>2</v>
      </c>
      <c r="F646" s="402">
        <f t="shared" si="664"/>
        <v>2</v>
      </c>
      <c r="G646" s="401">
        <f t="shared" si="3"/>
        <v>0</v>
      </c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spans="1:20" ht="15.75" customHeight="1">
      <c r="A647" s="399">
        <v>43243</v>
      </c>
      <c r="B647" s="400">
        <v>1.2937903123814154E-2</v>
      </c>
      <c r="C647" s="401">
        <f t="shared" si="0"/>
        <v>0.80286168521462642</v>
      </c>
      <c r="D647" s="402">
        <f t="shared" ref="D647:F647" si="665">ROUNDDOWN($C647*D$2,0) - IF(MOD($C647*D$2,1)=0,1,0) + 1</f>
        <v>2</v>
      </c>
      <c r="E647" s="402">
        <f t="shared" si="665"/>
        <v>3</v>
      </c>
      <c r="F647" s="402">
        <f t="shared" si="665"/>
        <v>4</v>
      </c>
      <c r="G647" s="401">
        <f t="shared" si="3"/>
        <v>0</v>
      </c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spans="1:20" ht="15.75" customHeight="1">
      <c r="A648" s="399">
        <v>43244</v>
      </c>
      <c r="B648" s="400">
        <v>7.5537188018937051E-4</v>
      </c>
      <c r="C648" s="401">
        <f t="shared" si="0"/>
        <v>0.47297297297297297</v>
      </c>
      <c r="D648" s="402">
        <f t="shared" ref="D648:F648" si="666">ROUNDDOWN($C648*D$2,0) - IF(MOD($C648*D$2,1)=0,1,0) + 1</f>
        <v>1</v>
      </c>
      <c r="E648" s="402">
        <f t="shared" si="666"/>
        <v>2</v>
      </c>
      <c r="F648" s="402">
        <f t="shared" si="666"/>
        <v>2</v>
      </c>
      <c r="G648" s="401">
        <f t="shared" si="3"/>
        <v>0</v>
      </c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spans="1:20" ht="15.75" customHeight="1">
      <c r="A649" s="399">
        <v>43245</v>
      </c>
      <c r="B649" s="400">
        <v>4.4165257911383815E-3</v>
      </c>
      <c r="C649" s="401">
        <f t="shared" si="0"/>
        <v>0.5842607313195548</v>
      </c>
      <c r="D649" s="402">
        <f t="shared" ref="D649:F649" si="667">ROUNDDOWN($C649*D$2,0) - IF(MOD($C649*D$2,1)=0,1,0) + 1</f>
        <v>2</v>
      </c>
      <c r="E649" s="402">
        <f t="shared" si="667"/>
        <v>2</v>
      </c>
      <c r="F649" s="402">
        <f t="shared" si="667"/>
        <v>3</v>
      </c>
      <c r="G649" s="401">
        <f t="shared" si="3"/>
        <v>0</v>
      </c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spans="1:20" ht="15.75" customHeight="1">
      <c r="A650" s="399">
        <v>43249</v>
      </c>
      <c r="B650" s="400">
        <v>1.6892836071171757E-3</v>
      </c>
      <c r="C650" s="401">
        <f t="shared" si="0"/>
        <v>0.50874403815580282</v>
      </c>
      <c r="D650" s="402">
        <f t="shared" ref="D650:F650" si="668">ROUNDDOWN($C650*D$2,0) - IF(MOD($C650*D$2,1)=0,1,0) + 1</f>
        <v>2</v>
      </c>
      <c r="E650" s="402">
        <f t="shared" si="668"/>
        <v>2</v>
      </c>
      <c r="F650" s="402">
        <f t="shared" si="668"/>
        <v>3</v>
      </c>
      <c r="G650" s="401">
        <f t="shared" si="3"/>
        <v>0</v>
      </c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spans="1:20" ht="15.75" customHeight="1">
      <c r="A651" s="399">
        <v>43250</v>
      </c>
      <c r="B651" s="400">
        <v>7.4525535226026562E-3</v>
      </c>
      <c r="C651" s="401">
        <f t="shared" si="0"/>
        <v>0.67488076311605727</v>
      </c>
      <c r="D651" s="402">
        <f t="shared" ref="D651:F651" si="669">ROUNDDOWN($C651*D$2,0) - IF(MOD($C651*D$2,1)=0,1,0) + 1</f>
        <v>2</v>
      </c>
      <c r="E651" s="402">
        <f t="shared" si="669"/>
        <v>3</v>
      </c>
      <c r="F651" s="402">
        <f t="shared" si="669"/>
        <v>3</v>
      </c>
      <c r="G651" s="401">
        <f t="shared" si="3"/>
        <v>0</v>
      </c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spans="1:20" ht="15.75" customHeight="1">
      <c r="A652" s="399">
        <v>43251</v>
      </c>
      <c r="B652" s="400">
        <v>2.910966280794236E-3</v>
      </c>
      <c r="C652" s="401">
        <f t="shared" si="0"/>
        <v>0.5492845786963434</v>
      </c>
      <c r="D652" s="402">
        <f t="shared" ref="D652:F652" si="670">ROUNDDOWN($C652*D$2,0) - IF(MOD($C652*D$2,1)=0,1,0) + 1</f>
        <v>2</v>
      </c>
      <c r="E652" s="402">
        <f t="shared" si="670"/>
        <v>2</v>
      </c>
      <c r="F652" s="402">
        <f t="shared" si="670"/>
        <v>3</v>
      </c>
      <c r="G652" s="401">
        <f t="shared" si="3"/>
        <v>0</v>
      </c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spans="1:20" ht="15.75" customHeight="1">
      <c r="A653" s="399">
        <v>43252</v>
      </c>
      <c r="B653" s="400">
        <v>7.3145886771148749E-3</v>
      </c>
      <c r="C653" s="401">
        <f t="shared" si="0"/>
        <v>0.670906200317965</v>
      </c>
      <c r="D653" s="402">
        <f t="shared" ref="D653:F653" si="671">ROUNDDOWN($C653*D$2,0) - IF(MOD($C653*D$2,1)=0,1,0) + 1</f>
        <v>2</v>
      </c>
      <c r="E653" s="402">
        <f t="shared" si="671"/>
        <v>3</v>
      </c>
      <c r="F653" s="402">
        <f t="shared" si="671"/>
        <v>3</v>
      </c>
      <c r="G653" s="401">
        <f t="shared" si="3"/>
        <v>0</v>
      </c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spans="1:20" ht="15.75" customHeight="1">
      <c r="A654" s="399">
        <v>43255</v>
      </c>
      <c r="B654" s="400">
        <v>1.4455937717021916E-2</v>
      </c>
      <c r="C654" s="401">
        <f t="shared" si="0"/>
        <v>0.83068362480127189</v>
      </c>
      <c r="D654" s="402">
        <f t="shared" ref="D654:F654" si="672">ROUNDDOWN($C654*D$2,0) - IF(MOD($C654*D$2,1)=0,1,0) + 1</f>
        <v>2</v>
      </c>
      <c r="E654" s="402">
        <f t="shared" si="672"/>
        <v>3</v>
      </c>
      <c r="F654" s="402">
        <f t="shared" si="672"/>
        <v>4</v>
      </c>
      <c r="G654" s="401">
        <f t="shared" si="3"/>
        <v>0</v>
      </c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spans="1:20" ht="15.75" customHeight="1">
      <c r="A655" s="399">
        <v>43256</v>
      </c>
      <c r="B655" s="400">
        <v>1.8663640130429204E-2</v>
      </c>
      <c r="C655" s="401">
        <f t="shared" si="0"/>
        <v>0.88473767885532595</v>
      </c>
      <c r="D655" s="402">
        <f t="shared" ref="D655:F655" si="673">ROUNDDOWN($C655*D$2,0) - IF(MOD($C655*D$2,1)=0,1,0) + 1</f>
        <v>2</v>
      </c>
      <c r="E655" s="402">
        <f t="shared" si="673"/>
        <v>3</v>
      </c>
      <c r="F655" s="402">
        <f t="shared" si="673"/>
        <v>4</v>
      </c>
      <c r="G655" s="401">
        <f t="shared" si="3"/>
        <v>0</v>
      </c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spans="1:20" ht="15.75" customHeight="1">
      <c r="A656" s="399">
        <v>43257</v>
      </c>
      <c r="B656" s="400">
        <v>-3.5370059244843599E-4</v>
      </c>
      <c r="C656" s="401">
        <f t="shared" si="0"/>
        <v>0.43004769475357713</v>
      </c>
      <c r="D656" s="402">
        <f t="shared" ref="D656:F656" si="674">ROUNDDOWN($C656*D$2,0) - IF(MOD($C656*D$2,1)=0,1,0) + 1</f>
        <v>1</v>
      </c>
      <c r="E656" s="402">
        <f t="shared" si="674"/>
        <v>2</v>
      </c>
      <c r="F656" s="402">
        <f t="shared" si="674"/>
        <v>2</v>
      </c>
      <c r="G656" s="401">
        <f t="shared" si="3"/>
        <v>0</v>
      </c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spans="1:20" ht="15.75" customHeight="1">
      <c r="A657" s="399">
        <v>43258</v>
      </c>
      <c r="B657" s="400">
        <v>-3.8036267138434887E-3</v>
      </c>
      <c r="C657" s="401">
        <f t="shared" si="0"/>
        <v>0.33624801271860094</v>
      </c>
      <c r="D657" s="402">
        <f t="shared" ref="D657:F657" si="675">ROUNDDOWN($C657*D$2,0) - IF(MOD($C657*D$2,1)=0,1,0) + 1</f>
        <v>1</v>
      </c>
      <c r="E657" s="402">
        <f t="shared" si="675"/>
        <v>2</v>
      </c>
      <c r="F657" s="402">
        <f t="shared" si="675"/>
        <v>2</v>
      </c>
      <c r="G657" s="401">
        <f t="shared" si="3"/>
        <v>0</v>
      </c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spans="1:20" ht="15.75" customHeight="1">
      <c r="A658" s="399">
        <v>43259</v>
      </c>
      <c r="B658" s="400">
        <v>-3.1433137986147663E-3</v>
      </c>
      <c r="C658" s="401">
        <f t="shared" si="0"/>
        <v>0.36089030206677264</v>
      </c>
      <c r="D658" s="402">
        <f t="shared" ref="D658:F658" si="676">ROUNDDOWN($C658*D$2,0) - IF(MOD($C658*D$2,1)=0,1,0) + 1</f>
        <v>1</v>
      </c>
      <c r="E658" s="402">
        <f t="shared" si="676"/>
        <v>2</v>
      </c>
      <c r="F658" s="402">
        <f t="shared" si="676"/>
        <v>2</v>
      </c>
      <c r="G658" s="401">
        <f t="shared" si="3"/>
        <v>0</v>
      </c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spans="1:20" ht="15.75" customHeight="1">
      <c r="A659" s="399">
        <v>43262</v>
      </c>
      <c r="B659" s="400">
        <v>3.0463363796695564E-3</v>
      </c>
      <c r="C659" s="401">
        <f t="shared" si="0"/>
        <v>0.55166931637519878</v>
      </c>
      <c r="D659" s="402">
        <f t="shared" ref="D659:F659" si="677">ROUNDDOWN($C659*D$2,0) - IF(MOD($C659*D$2,1)=0,1,0) + 1</f>
        <v>2</v>
      </c>
      <c r="E659" s="402">
        <f t="shared" si="677"/>
        <v>2</v>
      </c>
      <c r="F659" s="402">
        <f t="shared" si="677"/>
        <v>3</v>
      </c>
      <c r="G659" s="401">
        <f t="shared" si="3"/>
        <v>0</v>
      </c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spans="1:20" ht="15.75" customHeight="1">
      <c r="A660" s="399">
        <v>43263</v>
      </c>
      <c r="B660" s="400">
        <v>5.7011935208866049E-3</v>
      </c>
      <c r="C660" s="401">
        <f t="shared" si="0"/>
        <v>0.62718600953895076</v>
      </c>
      <c r="D660" s="402">
        <f t="shared" ref="D660:F660" si="678">ROUNDDOWN($C660*D$2,0) - IF(MOD($C660*D$2,1)=0,1,0) + 1</f>
        <v>2</v>
      </c>
      <c r="E660" s="402">
        <f t="shared" si="678"/>
        <v>2</v>
      </c>
      <c r="F660" s="402">
        <f t="shared" si="678"/>
        <v>3</v>
      </c>
      <c r="G660" s="401">
        <f t="shared" si="3"/>
        <v>0</v>
      </c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spans="1:20" ht="15.75" customHeight="1">
      <c r="A661" s="399">
        <v>43264</v>
      </c>
      <c r="B661" s="400">
        <v>3.596762325239089E-3</v>
      </c>
      <c r="C661" s="401">
        <f t="shared" si="0"/>
        <v>0.56756756756756754</v>
      </c>
      <c r="D661" s="402">
        <f t="shared" ref="D661:F661" si="679">ROUNDDOWN($C661*D$2,0) - IF(MOD($C661*D$2,1)=0,1,0) + 1</f>
        <v>2</v>
      </c>
      <c r="E661" s="402">
        <f t="shared" si="679"/>
        <v>2</v>
      </c>
      <c r="F661" s="402">
        <f t="shared" si="679"/>
        <v>3</v>
      </c>
      <c r="G661" s="401">
        <f t="shared" si="3"/>
        <v>0</v>
      </c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spans="1:20" ht="15.75" customHeight="1">
      <c r="A662" s="399">
        <v>43265</v>
      </c>
      <c r="B662" s="400">
        <v>1.114461011461354E-2</v>
      </c>
      <c r="C662" s="401">
        <f t="shared" si="0"/>
        <v>0.76550079491255962</v>
      </c>
      <c r="D662" s="402">
        <f t="shared" ref="D662:F662" si="680">ROUNDDOWN($C662*D$2,0) - IF(MOD($C662*D$2,1)=0,1,0) + 1</f>
        <v>2</v>
      </c>
      <c r="E662" s="402">
        <f t="shared" si="680"/>
        <v>3</v>
      </c>
      <c r="F662" s="402">
        <f t="shared" si="680"/>
        <v>4</v>
      </c>
      <c r="G662" s="401">
        <f t="shared" si="3"/>
        <v>0</v>
      </c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spans="1:20" ht="15.75" customHeight="1">
      <c r="A663" s="399">
        <v>43266</v>
      </c>
      <c r="B663" s="400">
        <v>-4.5769378023736706E-3</v>
      </c>
      <c r="C663" s="401">
        <f t="shared" si="0"/>
        <v>0.30922098569157391</v>
      </c>
      <c r="D663" s="402">
        <f t="shared" ref="D663:F663" si="681">ROUNDDOWN($C663*D$2,0) - IF(MOD($C663*D$2,1)=0,1,0) + 1</f>
        <v>1</v>
      </c>
      <c r="E663" s="402">
        <f t="shared" si="681"/>
        <v>1</v>
      </c>
      <c r="F663" s="402">
        <f t="shared" si="681"/>
        <v>2</v>
      </c>
      <c r="G663" s="401">
        <f t="shared" si="3"/>
        <v>0</v>
      </c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spans="1:20" ht="15.75" customHeight="1">
      <c r="A664" s="399">
        <v>43269</v>
      </c>
      <c r="B664" s="400">
        <v>4.5571892282498805E-3</v>
      </c>
      <c r="C664" s="401">
        <f t="shared" si="0"/>
        <v>0.58982511923688397</v>
      </c>
      <c r="D664" s="402">
        <f t="shared" ref="D664:F664" si="682">ROUNDDOWN($C664*D$2,0) - IF(MOD($C664*D$2,1)=0,1,0) + 1</f>
        <v>2</v>
      </c>
      <c r="E664" s="402">
        <f t="shared" si="682"/>
        <v>2</v>
      </c>
      <c r="F664" s="402">
        <f t="shared" si="682"/>
        <v>3</v>
      </c>
      <c r="G664" s="401">
        <f t="shared" si="3"/>
        <v>0</v>
      </c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spans="1:20" ht="15.75" customHeight="1">
      <c r="A665" s="399">
        <v>43270</v>
      </c>
      <c r="B665" s="400">
        <v>6.3754865731904253E-3</v>
      </c>
      <c r="C665" s="401">
        <f t="shared" si="0"/>
        <v>0.64308426073131952</v>
      </c>
      <c r="D665" s="402">
        <f t="shared" ref="D665:F665" si="683">ROUNDDOWN($C665*D$2,0) - IF(MOD($C665*D$2,1)=0,1,0) + 1</f>
        <v>2</v>
      </c>
      <c r="E665" s="402">
        <f t="shared" si="683"/>
        <v>2</v>
      </c>
      <c r="F665" s="402">
        <f t="shared" si="683"/>
        <v>3</v>
      </c>
      <c r="G665" s="401">
        <f t="shared" si="3"/>
        <v>0</v>
      </c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spans="1:20" ht="15.75" customHeight="1">
      <c r="A666" s="399">
        <v>43271</v>
      </c>
      <c r="B666" s="400">
        <v>8.8195621346798259E-3</v>
      </c>
      <c r="C666" s="401">
        <f t="shared" si="0"/>
        <v>0.70985691573926868</v>
      </c>
      <c r="D666" s="402">
        <f t="shared" ref="D666:F666" si="684">ROUNDDOWN($C666*D$2,0) - IF(MOD($C666*D$2,1)=0,1,0) + 1</f>
        <v>2</v>
      </c>
      <c r="E666" s="402">
        <f t="shared" si="684"/>
        <v>3</v>
      </c>
      <c r="F666" s="402">
        <f t="shared" si="684"/>
        <v>3</v>
      </c>
      <c r="G666" s="401">
        <f t="shared" si="3"/>
        <v>0</v>
      </c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spans="1:20" ht="15.75" customHeight="1">
      <c r="A667" s="399">
        <v>43272</v>
      </c>
      <c r="B667" s="400">
        <v>-1.1348052660449803E-2</v>
      </c>
      <c r="C667" s="401">
        <f t="shared" si="0"/>
        <v>0.17567567567567569</v>
      </c>
      <c r="D667" s="402">
        <f t="shared" ref="D667:F667" si="685">ROUNDDOWN($C667*D$2,0) - IF(MOD($C667*D$2,1)=0,1,0) + 1</f>
        <v>1</v>
      </c>
      <c r="E667" s="402">
        <f t="shared" si="685"/>
        <v>1</v>
      </c>
      <c r="F667" s="402">
        <f t="shared" si="685"/>
        <v>1</v>
      </c>
      <c r="G667" s="401">
        <f t="shared" si="3"/>
        <v>0</v>
      </c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spans="1:20" ht="15.75" customHeight="1">
      <c r="A668" s="399">
        <v>43273</v>
      </c>
      <c r="B668" s="400">
        <v>-8.4093352290459666E-3</v>
      </c>
      <c r="C668" s="401">
        <f t="shared" si="0"/>
        <v>0.21224165341812401</v>
      </c>
      <c r="D668" s="402">
        <f t="shared" ref="D668:F668" si="686">ROUNDDOWN($C668*D$2,0) - IF(MOD($C668*D$2,1)=0,1,0) + 1</f>
        <v>1</v>
      </c>
      <c r="E668" s="402">
        <f t="shared" si="686"/>
        <v>1</v>
      </c>
      <c r="F668" s="402">
        <f t="shared" si="686"/>
        <v>1</v>
      </c>
      <c r="G668" s="401">
        <f t="shared" si="3"/>
        <v>-8.4093352290459666E-3</v>
      </c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spans="1:20" ht="15.75" customHeight="1">
      <c r="A669" s="399">
        <v>43276</v>
      </c>
      <c r="B669" s="400">
        <v>-3.0611947519045057E-2</v>
      </c>
      <c r="C669" s="401">
        <f t="shared" si="0"/>
        <v>4.6899841017488078E-2</v>
      </c>
      <c r="D669" s="402">
        <f t="shared" ref="D669:F669" si="687">ROUNDDOWN($C669*D$2,0) - IF(MOD($C669*D$2,1)=0,1,0) + 1</f>
        <v>1</v>
      </c>
      <c r="E669" s="402">
        <f t="shared" si="687"/>
        <v>1</v>
      </c>
      <c r="F669" s="402">
        <f t="shared" si="687"/>
        <v>1</v>
      </c>
      <c r="G669" s="401">
        <f t="shared" si="3"/>
        <v>-3.0611947519045057E-2</v>
      </c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spans="1:20" ht="15.75" customHeight="1">
      <c r="A670" s="399">
        <v>43277</v>
      </c>
      <c r="B670" s="400">
        <v>1.67994468328172E-2</v>
      </c>
      <c r="C670" s="401">
        <f t="shared" si="0"/>
        <v>0.8664546899841018</v>
      </c>
      <c r="D670" s="402">
        <f t="shared" ref="D670:F670" si="688">ROUNDDOWN($C670*D$2,0) - IF(MOD($C670*D$2,1)=0,1,0) + 1</f>
        <v>2</v>
      </c>
      <c r="E670" s="402">
        <f t="shared" si="688"/>
        <v>3</v>
      </c>
      <c r="F670" s="402">
        <f t="shared" si="688"/>
        <v>4</v>
      </c>
      <c r="G670" s="401">
        <f t="shared" si="3"/>
        <v>1.67994468328172E-2</v>
      </c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spans="1:20" ht="15.75" customHeight="1">
      <c r="A671" s="399">
        <v>43278</v>
      </c>
      <c r="B671" s="400">
        <v>-1.8083011548764349E-2</v>
      </c>
      <c r="C671" s="401">
        <f t="shared" si="0"/>
        <v>0.10254372019077901</v>
      </c>
      <c r="D671" s="402">
        <f t="shared" ref="D671:F671" si="689">ROUNDDOWN($C671*D$2,0) - IF(MOD($C671*D$2,1)=0,1,0) + 1</f>
        <v>1</v>
      </c>
      <c r="E671" s="402">
        <f t="shared" si="689"/>
        <v>1</v>
      </c>
      <c r="F671" s="402">
        <f t="shared" si="689"/>
        <v>1</v>
      </c>
      <c r="G671" s="401">
        <f t="shared" si="3"/>
        <v>0</v>
      </c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spans="1:20" ht="15.75" customHeight="1">
      <c r="A672" s="399">
        <v>43279</v>
      </c>
      <c r="B672" s="400">
        <v>2.4655075850190666E-2</v>
      </c>
      <c r="C672" s="401">
        <f t="shared" si="0"/>
        <v>0.92289348171701113</v>
      </c>
      <c r="D672" s="402">
        <f t="shared" ref="D672:F672" si="690">ROUNDDOWN($C672*D$2,0) - IF(MOD($C672*D$2,1)=0,1,0) + 1</f>
        <v>2</v>
      </c>
      <c r="E672" s="402">
        <f t="shared" si="690"/>
        <v>3</v>
      </c>
      <c r="F672" s="402">
        <f t="shared" si="690"/>
        <v>4</v>
      </c>
      <c r="G672" s="401">
        <f t="shared" si="3"/>
        <v>2.4655075850190666E-2</v>
      </c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spans="1:20" ht="15.75" customHeight="1">
      <c r="A673" s="399">
        <v>43280</v>
      </c>
      <c r="B673" s="400">
        <v>-9.6976108613244794E-4</v>
      </c>
      <c r="C673" s="401">
        <f t="shared" si="0"/>
        <v>0.41335453100158981</v>
      </c>
      <c r="D673" s="402">
        <f t="shared" ref="D673:F673" si="691">ROUNDDOWN($C673*D$2,0) - IF(MOD($C673*D$2,1)=0,1,0) + 1</f>
        <v>1</v>
      </c>
      <c r="E673" s="402">
        <f t="shared" si="691"/>
        <v>2</v>
      </c>
      <c r="F673" s="402">
        <f t="shared" si="691"/>
        <v>2</v>
      </c>
      <c r="G673" s="401">
        <f t="shared" si="3"/>
        <v>0</v>
      </c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spans="1:20" ht="15.75" customHeight="1">
      <c r="A674" s="399">
        <v>43283</v>
      </c>
      <c r="B674" s="400">
        <v>8.2244969996470019E-3</v>
      </c>
      <c r="C674" s="401">
        <f t="shared" si="0"/>
        <v>0.69634340222575519</v>
      </c>
      <c r="D674" s="402">
        <f t="shared" ref="D674:F674" si="692">ROUNDDOWN($C674*D$2,0) - IF(MOD($C674*D$2,1)=0,1,0) + 1</f>
        <v>2</v>
      </c>
      <c r="E674" s="402">
        <f t="shared" si="692"/>
        <v>3</v>
      </c>
      <c r="F674" s="402">
        <f t="shared" si="692"/>
        <v>3</v>
      </c>
      <c r="G674" s="401">
        <f t="shared" si="3"/>
        <v>0</v>
      </c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spans="1:20" ht="15.75" customHeight="1">
      <c r="A675" s="399">
        <v>43284</v>
      </c>
      <c r="B675" s="400">
        <v>-1.1565078364784265E-2</v>
      </c>
      <c r="C675" s="401">
        <f t="shared" si="0"/>
        <v>0.17011128775834658</v>
      </c>
      <c r="D675" s="402">
        <f t="shared" ref="D675:F675" si="693">ROUNDDOWN($C675*D$2,0) - IF(MOD($C675*D$2,1)=0,1,0) + 1</f>
        <v>1</v>
      </c>
      <c r="E675" s="402">
        <f t="shared" si="693"/>
        <v>1</v>
      </c>
      <c r="F675" s="402">
        <f t="shared" si="693"/>
        <v>1</v>
      </c>
      <c r="G675" s="401">
        <f t="shared" si="3"/>
        <v>0</v>
      </c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spans="1:20" ht="15.75" customHeight="1">
      <c r="A676" s="399">
        <v>43286</v>
      </c>
      <c r="B676" s="400">
        <v>3.4062197454485243E-3</v>
      </c>
      <c r="C676" s="401">
        <f t="shared" si="0"/>
        <v>0.56120826709061999</v>
      </c>
      <c r="D676" s="402">
        <f t="shared" ref="D676:F676" si="694">ROUNDDOWN($C676*D$2,0) - IF(MOD($C676*D$2,1)=0,1,0) + 1</f>
        <v>2</v>
      </c>
      <c r="E676" s="402">
        <f t="shared" si="694"/>
        <v>2</v>
      </c>
      <c r="F676" s="402">
        <f t="shared" si="694"/>
        <v>3</v>
      </c>
      <c r="G676" s="401">
        <f t="shared" si="3"/>
        <v>3.4062197454485243E-3</v>
      </c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spans="1:20" ht="15.75" customHeight="1">
      <c r="A677" s="399">
        <v>43287</v>
      </c>
      <c r="B677" s="400">
        <v>6.4127832067446544E-3</v>
      </c>
      <c r="C677" s="401">
        <f t="shared" si="0"/>
        <v>0.64546899841017491</v>
      </c>
      <c r="D677" s="402">
        <f t="shared" ref="D677:F677" si="695">ROUNDDOWN($C677*D$2,0) - IF(MOD($C677*D$2,1)=0,1,0) + 1</f>
        <v>2</v>
      </c>
      <c r="E677" s="402">
        <f t="shared" si="695"/>
        <v>2</v>
      </c>
      <c r="F677" s="402">
        <f t="shared" si="695"/>
        <v>3</v>
      </c>
      <c r="G677" s="401">
        <f t="shared" si="3"/>
        <v>0</v>
      </c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spans="1:20" ht="15.75" customHeight="1">
      <c r="A678" s="399">
        <v>43290</v>
      </c>
      <c r="B678" s="400">
        <v>1.6596224782682301E-2</v>
      </c>
      <c r="C678" s="401">
        <f t="shared" si="0"/>
        <v>0.86406995230524641</v>
      </c>
      <c r="D678" s="402">
        <f t="shared" ref="D678:F678" si="696">ROUNDDOWN($C678*D$2,0) - IF(MOD($C678*D$2,1)=0,1,0) + 1</f>
        <v>2</v>
      </c>
      <c r="E678" s="402">
        <f t="shared" si="696"/>
        <v>3</v>
      </c>
      <c r="F678" s="402">
        <f t="shared" si="696"/>
        <v>4</v>
      </c>
      <c r="G678" s="401">
        <f t="shared" si="3"/>
        <v>0</v>
      </c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spans="1:20" ht="15.75" customHeight="1">
      <c r="A679" s="399">
        <v>43291</v>
      </c>
      <c r="B679" s="400">
        <v>2.3288978850157793E-3</v>
      </c>
      <c r="C679" s="401">
        <f t="shared" si="0"/>
        <v>0.53418124006359302</v>
      </c>
      <c r="D679" s="402">
        <f t="shared" ref="D679:F679" si="697">ROUNDDOWN($C679*D$2,0) - IF(MOD($C679*D$2,1)=0,1,0) + 1</f>
        <v>2</v>
      </c>
      <c r="E679" s="402">
        <f t="shared" si="697"/>
        <v>2</v>
      </c>
      <c r="F679" s="402">
        <f t="shared" si="697"/>
        <v>3</v>
      </c>
      <c r="G679" s="401">
        <f t="shared" si="3"/>
        <v>0</v>
      </c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spans="1:20" ht="15.75" customHeight="1">
      <c r="A680" s="399">
        <v>43292</v>
      </c>
      <c r="B680" s="400">
        <v>6.8442460715862907E-3</v>
      </c>
      <c r="C680" s="401">
        <f t="shared" si="0"/>
        <v>0.65977742448330678</v>
      </c>
      <c r="D680" s="402">
        <f t="shared" ref="D680:F680" si="698">ROUNDDOWN($C680*D$2,0) - IF(MOD($C680*D$2,1)=0,1,0) + 1</f>
        <v>2</v>
      </c>
      <c r="E680" s="402">
        <f t="shared" si="698"/>
        <v>2</v>
      </c>
      <c r="F680" s="402">
        <f t="shared" si="698"/>
        <v>3</v>
      </c>
      <c r="G680" s="401">
        <f t="shared" si="3"/>
        <v>0</v>
      </c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spans="1:20" ht="15.75" customHeight="1">
      <c r="A681" s="399">
        <v>43293</v>
      </c>
      <c r="B681" s="400">
        <v>2.3715099715099663E-2</v>
      </c>
      <c r="C681" s="401">
        <f t="shared" si="0"/>
        <v>0.91891891891891897</v>
      </c>
      <c r="D681" s="402">
        <f t="shared" ref="D681:F681" si="699">ROUNDDOWN($C681*D$2,0) - IF(MOD($C681*D$2,1)=0,1,0) + 1</f>
        <v>2</v>
      </c>
      <c r="E681" s="402">
        <f t="shared" si="699"/>
        <v>3</v>
      </c>
      <c r="F681" s="402">
        <f t="shared" si="699"/>
        <v>4</v>
      </c>
      <c r="G681" s="401">
        <f t="shared" si="3"/>
        <v>0</v>
      </c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spans="1:20" ht="15.75" customHeight="1">
      <c r="A682" s="399">
        <v>43294</v>
      </c>
      <c r="B682" s="400">
        <v>9.1338179470339398E-3</v>
      </c>
      <c r="C682" s="401">
        <f t="shared" si="0"/>
        <v>0.72019077901430839</v>
      </c>
      <c r="D682" s="402">
        <f t="shared" ref="D682:F682" si="700">ROUNDDOWN($C682*D$2,0) - IF(MOD($C682*D$2,1)=0,1,0) + 1</f>
        <v>2</v>
      </c>
      <c r="E682" s="402">
        <f t="shared" si="700"/>
        <v>3</v>
      </c>
      <c r="F682" s="402">
        <f t="shared" si="700"/>
        <v>3</v>
      </c>
      <c r="G682" s="401">
        <f t="shared" si="3"/>
        <v>0</v>
      </c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spans="1:20" ht="15.75" customHeight="1">
      <c r="A683" s="399">
        <v>43297</v>
      </c>
      <c r="B683" s="400">
        <v>5.2177845926433264E-3</v>
      </c>
      <c r="C683" s="401">
        <f t="shared" si="0"/>
        <v>0.61128775834658189</v>
      </c>
      <c r="D683" s="402">
        <f t="shared" ref="D683:F683" si="701">ROUNDDOWN($C683*D$2,0) - IF(MOD($C683*D$2,1)=0,1,0) + 1</f>
        <v>2</v>
      </c>
      <c r="E683" s="402">
        <f t="shared" si="701"/>
        <v>2</v>
      </c>
      <c r="F683" s="402">
        <f t="shared" si="701"/>
        <v>3</v>
      </c>
      <c r="G683" s="401">
        <f t="shared" si="3"/>
        <v>0</v>
      </c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spans="1:20" ht="15.75" customHeight="1">
      <c r="A684" s="399">
        <v>43298</v>
      </c>
      <c r="B684" s="400">
        <v>1.1764124906035178E-2</v>
      </c>
      <c r="C684" s="401">
        <f t="shared" si="0"/>
        <v>0.77901430842607311</v>
      </c>
      <c r="D684" s="402">
        <f t="shared" ref="D684:F684" si="702">ROUNDDOWN($C684*D$2,0) - IF(MOD($C684*D$2,1)=0,1,0) + 1</f>
        <v>2</v>
      </c>
      <c r="E684" s="402">
        <f t="shared" si="702"/>
        <v>3</v>
      </c>
      <c r="F684" s="402">
        <f t="shared" si="702"/>
        <v>4</v>
      </c>
      <c r="G684" s="401">
        <f t="shared" si="3"/>
        <v>0</v>
      </c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spans="1:20" ht="15.75" customHeight="1">
      <c r="A685" s="399">
        <v>43299</v>
      </c>
      <c r="B685" s="400">
        <v>-5.4774313558536569E-4</v>
      </c>
      <c r="C685" s="401">
        <f t="shared" si="0"/>
        <v>0.42607313195548491</v>
      </c>
      <c r="D685" s="402">
        <f t="shared" ref="D685:F685" si="703">ROUNDDOWN($C685*D$2,0) - IF(MOD($C685*D$2,1)=0,1,0) + 1</f>
        <v>1</v>
      </c>
      <c r="E685" s="402">
        <f t="shared" si="703"/>
        <v>2</v>
      </c>
      <c r="F685" s="402">
        <f t="shared" si="703"/>
        <v>2</v>
      </c>
      <c r="G685" s="401">
        <f t="shared" si="3"/>
        <v>0</v>
      </c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spans="1:20" ht="15.75" customHeight="1">
      <c r="A686" s="399">
        <v>43300</v>
      </c>
      <c r="B686" s="400">
        <v>-1.6251383673735131E-2</v>
      </c>
      <c r="C686" s="401">
        <f t="shared" si="0"/>
        <v>0.12003179650238474</v>
      </c>
      <c r="D686" s="402">
        <f t="shared" ref="D686:F686" si="704">ROUNDDOWN($C686*D$2,0) - IF(MOD($C686*D$2,1)=0,1,0) + 1</f>
        <v>1</v>
      </c>
      <c r="E686" s="402">
        <f t="shared" si="704"/>
        <v>1</v>
      </c>
      <c r="F686" s="402">
        <f t="shared" si="704"/>
        <v>1</v>
      </c>
      <c r="G686" s="401">
        <f t="shared" si="3"/>
        <v>0</v>
      </c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spans="1:20" ht="15.75" customHeight="1">
      <c r="A687" s="399">
        <v>43301</v>
      </c>
      <c r="B687" s="400">
        <v>4.0265420828800025E-4</v>
      </c>
      <c r="C687" s="401">
        <f t="shared" si="0"/>
        <v>0.4626391096979332</v>
      </c>
      <c r="D687" s="402">
        <f t="shared" ref="D687:F687" si="705">ROUNDDOWN($C687*D$2,0) - IF(MOD($C687*D$2,1)=0,1,0) + 1</f>
        <v>1</v>
      </c>
      <c r="E687" s="402">
        <f t="shared" si="705"/>
        <v>2</v>
      </c>
      <c r="F687" s="402">
        <f t="shared" si="705"/>
        <v>2</v>
      </c>
      <c r="G687" s="401">
        <f t="shared" si="3"/>
        <v>4.0265420828800025E-4</v>
      </c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spans="1:20" ht="15.75" customHeight="1">
      <c r="A688" s="399">
        <v>43304</v>
      </c>
      <c r="B688" s="400">
        <v>-6.4509014721287894E-3</v>
      </c>
      <c r="C688" s="401">
        <f t="shared" si="0"/>
        <v>0.25516693163751986</v>
      </c>
      <c r="D688" s="402">
        <f t="shared" ref="D688:F688" si="706">ROUNDDOWN($C688*D$2,0) - IF(MOD($C688*D$2,1)=0,1,0) + 1</f>
        <v>1</v>
      </c>
      <c r="E688" s="402">
        <f t="shared" si="706"/>
        <v>1</v>
      </c>
      <c r="F688" s="402">
        <f t="shared" si="706"/>
        <v>2</v>
      </c>
      <c r="G688" s="401">
        <f t="shared" si="3"/>
        <v>0</v>
      </c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spans="1:20" ht="15.75" customHeight="1">
      <c r="A689" s="399">
        <v>43305</v>
      </c>
      <c r="B689" s="400">
        <v>1.5116537180910106E-2</v>
      </c>
      <c r="C689" s="401">
        <f t="shared" si="0"/>
        <v>0.84419713831478538</v>
      </c>
      <c r="D689" s="402">
        <f t="shared" ref="D689:F689" si="707">ROUNDDOWN($C689*D$2,0) - IF(MOD($C689*D$2,1)=0,1,0) + 1</f>
        <v>2</v>
      </c>
      <c r="E689" s="402">
        <f t="shared" si="707"/>
        <v>3</v>
      </c>
      <c r="F689" s="402">
        <f t="shared" si="707"/>
        <v>4</v>
      </c>
      <c r="G689" s="401">
        <f t="shared" si="3"/>
        <v>0</v>
      </c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spans="1:20" ht="15.75" customHeight="1">
      <c r="A690" s="399">
        <v>43306</v>
      </c>
      <c r="B690" s="400">
        <v>1.8789223939996935E-2</v>
      </c>
      <c r="C690" s="401">
        <f t="shared" si="0"/>
        <v>0.88791732909379972</v>
      </c>
      <c r="D690" s="402">
        <f t="shared" ref="D690:F690" si="708">ROUNDDOWN($C690*D$2,0) - IF(MOD($C690*D$2,1)=0,1,0) + 1</f>
        <v>2</v>
      </c>
      <c r="E690" s="402">
        <f t="shared" si="708"/>
        <v>3</v>
      </c>
      <c r="F690" s="402">
        <f t="shared" si="708"/>
        <v>4</v>
      </c>
      <c r="G690" s="401">
        <f t="shared" si="3"/>
        <v>0</v>
      </c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spans="1:20" ht="15.75" customHeight="1">
      <c r="A691" s="399">
        <v>43307</v>
      </c>
      <c r="B691" s="400">
        <v>-2.9839934321022055E-2</v>
      </c>
      <c r="C691" s="401">
        <f t="shared" si="0"/>
        <v>5.0874403815580289E-2</v>
      </c>
      <c r="D691" s="402">
        <f t="shared" ref="D691:F691" si="709">ROUNDDOWN($C691*D$2,0) - IF(MOD($C691*D$2,1)=0,1,0) + 1</f>
        <v>1</v>
      </c>
      <c r="E691" s="402">
        <f t="shared" si="709"/>
        <v>1</v>
      </c>
      <c r="F691" s="402">
        <f t="shared" si="709"/>
        <v>1</v>
      </c>
      <c r="G691" s="401">
        <f t="shared" si="3"/>
        <v>0</v>
      </c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spans="1:20" ht="15.75" customHeight="1">
      <c r="A692" s="399">
        <v>43308</v>
      </c>
      <c r="B692" s="400">
        <v>5.127212389380631E-3</v>
      </c>
      <c r="C692" s="401">
        <f t="shared" si="0"/>
        <v>0.60810810810810811</v>
      </c>
      <c r="D692" s="402">
        <f t="shared" ref="D692:F692" si="710">ROUNDDOWN($C692*D$2,0) - IF(MOD($C692*D$2,1)=0,1,0) + 1</f>
        <v>2</v>
      </c>
      <c r="E692" s="402">
        <f t="shared" si="710"/>
        <v>2</v>
      </c>
      <c r="F692" s="402">
        <f t="shared" si="710"/>
        <v>3</v>
      </c>
      <c r="G692" s="401">
        <f t="shared" si="3"/>
        <v>5.127212389380631E-3</v>
      </c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spans="1:20" ht="15.75" customHeight="1">
      <c r="A693" s="399">
        <v>43311</v>
      </c>
      <c r="B693" s="400">
        <v>-2.0938000407204171E-2</v>
      </c>
      <c r="C693" s="401">
        <f t="shared" si="0"/>
        <v>8.5850556438791734E-2</v>
      </c>
      <c r="D693" s="402">
        <f t="shared" ref="D693:F693" si="711">ROUNDDOWN($C693*D$2,0) - IF(MOD($C693*D$2,1)=0,1,0) + 1</f>
        <v>1</v>
      </c>
      <c r="E693" s="402">
        <f t="shared" si="711"/>
        <v>1</v>
      </c>
      <c r="F693" s="402">
        <f t="shared" si="711"/>
        <v>1</v>
      </c>
      <c r="G693" s="401">
        <f t="shared" si="3"/>
        <v>0</v>
      </c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spans="1:20" ht="15.75" customHeight="1">
      <c r="A694" s="399">
        <v>43312</v>
      </c>
      <c r="B694" s="400">
        <v>-1.0004383943525985E-3</v>
      </c>
      <c r="C694" s="401">
        <f t="shared" si="0"/>
        <v>0.41255961844197137</v>
      </c>
      <c r="D694" s="402">
        <f t="shared" ref="D694:F694" si="712">ROUNDDOWN($C694*D$2,0) - IF(MOD($C694*D$2,1)=0,1,0) + 1</f>
        <v>1</v>
      </c>
      <c r="E694" s="402">
        <f t="shared" si="712"/>
        <v>2</v>
      </c>
      <c r="F694" s="402">
        <f t="shared" si="712"/>
        <v>2</v>
      </c>
      <c r="G694" s="401">
        <f t="shared" si="3"/>
        <v>-1.0004383943525985E-3</v>
      </c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spans="1:20" ht="15.75" customHeight="1">
      <c r="A695" s="399">
        <v>43313</v>
      </c>
      <c r="B695" s="400">
        <v>1.110023404446836E-2</v>
      </c>
      <c r="C695" s="401">
        <f t="shared" si="0"/>
        <v>0.76391096979332274</v>
      </c>
      <c r="D695" s="402">
        <f t="shared" ref="D695:F695" si="713">ROUNDDOWN($C695*D$2,0) - IF(MOD($C695*D$2,1)=0,1,0) + 1</f>
        <v>2</v>
      </c>
      <c r="E695" s="402">
        <f t="shared" si="713"/>
        <v>3</v>
      </c>
      <c r="F695" s="402">
        <f t="shared" si="713"/>
        <v>4</v>
      </c>
      <c r="G695" s="401">
        <f t="shared" si="3"/>
        <v>0</v>
      </c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spans="1:20" ht="15.75" customHeight="1">
      <c r="A696" s="399">
        <v>43314</v>
      </c>
      <c r="B696" s="400">
        <v>2.0676953209768589E-2</v>
      </c>
      <c r="C696" s="401">
        <f t="shared" si="0"/>
        <v>0.9030206677265501</v>
      </c>
      <c r="D696" s="402">
        <f t="shared" ref="D696:F696" si="714">ROUNDDOWN($C696*D$2,0) - IF(MOD($C696*D$2,1)=0,1,0) + 1</f>
        <v>2</v>
      </c>
      <c r="E696" s="402">
        <f t="shared" si="714"/>
        <v>3</v>
      </c>
      <c r="F696" s="402">
        <f t="shared" si="714"/>
        <v>4</v>
      </c>
      <c r="G696" s="401">
        <f t="shared" si="3"/>
        <v>0</v>
      </c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spans="1:20" ht="15.75" customHeight="1">
      <c r="A697" s="399">
        <v>43315</v>
      </c>
      <c r="B697" s="400">
        <v>-6.0185462812034629E-3</v>
      </c>
      <c r="C697" s="401">
        <f t="shared" si="0"/>
        <v>0.26947535771065184</v>
      </c>
      <c r="D697" s="402">
        <f t="shared" ref="D697:F697" si="715">ROUNDDOWN($C697*D$2,0) - IF(MOD($C697*D$2,1)=0,1,0) + 1</f>
        <v>1</v>
      </c>
      <c r="E697" s="402">
        <f t="shared" si="715"/>
        <v>1</v>
      </c>
      <c r="F697" s="402">
        <f t="shared" si="715"/>
        <v>2</v>
      </c>
      <c r="G697" s="401">
        <f t="shared" si="3"/>
        <v>0</v>
      </c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spans="1:20" ht="15.75" customHeight="1">
      <c r="A698" s="399">
        <v>43318</v>
      </c>
      <c r="B698" s="400">
        <v>1.3415309687433208E-2</v>
      </c>
      <c r="C698" s="401">
        <f t="shared" si="0"/>
        <v>0.81240063593004774</v>
      </c>
      <c r="D698" s="402">
        <f t="shared" ref="D698:F698" si="716">ROUNDDOWN($C698*D$2,0) - IF(MOD($C698*D$2,1)=0,1,0) + 1</f>
        <v>2</v>
      </c>
      <c r="E698" s="402">
        <f t="shared" si="716"/>
        <v>3</v>
      </c>
      <c r="F698" s="402">
        <f t="shared" si="716"/>
        <v>4</v>
      </c>
      <c r="G698" s="401">
        <f t="shared" si="3"/>
        <v>0</v>
      </c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spans="1:20" ht="15.75" customHeight="1">
      <c r="A699" s="399">
        <v>43319</v>
      </c>
      <c r="B699" s="400">
        <v>7.9718576647274109E-3</v>
      </c>
      <c r="C699" s="401">
        <f t="shared" si="0"/>
        <v>0.68839427662957076</v>
      </c>
      <c r="D699" s="402">
        <f t="shared" ref="D699:F699" si="717">ROUNDDOWN($C699*D$2,0) - IF(MOD($C699*D$2,1)=0,1,0) + 1</f>
        <v>2</v>
      </c>
      <c r="E699" s="402">
        <f t="shared" si="717"/>
        <v>3</v>
      </c>
      <c r="F699" s="402">
        <f t="shared" si="717"/>
        <v>3</v>
      </c>
      <c r="G699" s="401">
        <f t="shared" si="3"/>
        <v>0</v>
      </c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spans="1:20" ht="15.75" customHeight="1">
      <c r="A700" s="399">
        <v>43320</v>
      </c>
      <c r="B700" s="400">
        <v>1.2907521154589485E-2</v>
      </c>
      <c r="C700" s="401">
        <f t="shared" si="0"/>
        <v>0.80206677265500792</v>
      </c>
      <c r="D700" s="402">
        <f t="shared" ref="D700:F700" si="718">ROUNDDOWN($C700*D$2,0) - IF(MOD($C700*D$2,1)=0,1,0) + 1</f>
        <v>2</v>
      </c>
      <c r="E700" s="402">
        <f t="shared" si="718"/>
        <v>3</v>
      </c>
      <c r="F700" s="402">
        <f t="shared" si="718"/>
        <v>4</v>
      </c>
      <c r="G700" s="401">
        <f t="shared" si="3"/>
        <v>0</v>
      </c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spans="1:20" ht="15.75" customHeight="1">
      <c r="A701" s="399">
        <v>43321</v>
      </c>
      <c r="B701" s="400">
        <v>6.3609185166337845E-3</v>
      </c>
      <c r="C701" s="401">
        <f t="shared" si="0"/>
        <v>0.64149443561208264</v>
      </c>
      <c r="D701" s="402">
        <f t="shared" ref="D701:F701" si="719">ROUNDDOWN($C701*D$2,0) - IF(MOD($C701*D$2,1)=0,1,0) + 1</f>
        <v>2</v>
      </c>
      <c r="E701" s="402">
        <f t="shared" si="719"/>
        <v>2</v>
      </c>
      <c r="F701" s="402">
        <f t="shared" si="719"/>
        <v>3</v>
      </c>
      <c r="G701" s="401">
        <f t="shared" si="3"/>
        <v>0</v>
      </c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spans="1:20" ht="15.75" customHeight="1">
      <c r="A702" s="399">
        <v>43322</v>
      </c>
      <c r="B702" s="400">
        <v>-6.4365927143248403E-3</v>
      </c>
      <c r="C702" s="401">
        <f t="shared" si="0"/>
        <v>0.25834658187599363</v>
      </c>
      <c r="D702" s="402">
        <f t="shared" ref="D702:F702" si="720">ROUNDDOWN($C702*D$2,0) - IF(MOD($C702*D$2,1)=0,1,0) + 1</f>
        <v>1</v>
      </c>
      <c r="E702" s="402">
        <f t="shared" si="720"/>
        <v>1</v>
      </c>
      <c r="F702" s="402">
        <f t="shared" si="720"/>
        <v>2</v>
      </c>
      <c r="G702" s="401">
        <f t="shared" si="3"/>
        <v>0</v>
      </c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spans="1:20" ht="15.75" customHeight="1">
      <c r="A703" s="399">
        <v>43325</v>
      </c>
      <c r="B703" s="400">
        <v>5.2483698245242572E-3</v>
      </c>
      <c r="C703" s="401">
        <f t="shared" si="0"/>
        <v>0.61208267090620028</v>
      </c>
      <c r="D703" s="402">
        <f t="shared" ref="D703:F703" si="721">ROUNDDOWN($C703*D$2,0) - IF(MOD($C703*D$2,1)=0,1,0) + 1</f>
        <v>2</v>
      </c>
      <c r="E703" s="402">
        <f t="shared" si="721"/>
        <v>2</v>
      </c>
      <c r="F703" s="402">
        <f t="shared" si="721"/>
        <v>3</v>
      </c>
      <c r="G703" s="401">
        <f t="shared" si="3"/>
        <v>0</v>
      </c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spans="1:20" ht="15.75" customHeight="1">
      <c r="A704" s="399">
        <v>43326</v>
      </c>
      <c r="B704" s="400">
        <v>1.236683894104007E-2</v>
      </c>
      <c r="C704" s="401">
        <f t="shared" si="0"/>
        <v>0.7933227344992051</v>
      </c>
      <c r="D704" s="402">
        <f t="shared" ref="D704:F704" si="722">ROUNDDOWN($C704*D$2,0) - IF(MOD($C704*D$2,1)=0,1,0) + 1</f>
        <v>2</v>
      </c>
      <c r="E704" s="402">
        <f t="shared" si="722"/>
        <v>3</v>
      </c>
      <c r="F704" s="402">
        <f t="shared" si="722"/>
        <v>4</v>
      </c>
      <c r="G704" s="401">
        <f t="shared" si="3"/>
        <v>0</v>
      </c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spans="1:20" ht="15.75" customHeight="1">
      <c r="A705" s="399">
        <v>43327</v>
      </c>
      <c r="B705" s="400">
        <v>-1.9289974734977844E-2</v>
      </c>
      <c r="C705" s="401">
        <f t="shared" si="0"/>
        <v>9.3004769475357713E-2</v>
      </c>
      <c r="D705" s="402">
        <f t="shared" ref="D705:F705" si="723">ROUNDDOWN($C705*D$2,0) - IF(MOD($C705*D$2,1)=0,1,0) + 1</f>
        <v>1</v>
      </c>
      <c r="E705" s="402">
        <f t="shared" si="723"/>
        <v>1</v>
      </c>
      <c r="F705" s="402">
        <f t="shared" si="723"/>
        <v>1</v>
      </c>
      <c r="G705" s="401">
        <f t="shared" si="3"/>
        <v>0</v>
      </c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spans="1:20" ht="15.75" customHeight="1">
      <c r="A706" s="399">
        <v>43328</v>
      </c>
      <c r="B706" s="400">
        <v>2.0715810944322843E-3</v>
      </c>
      <c r="C706" s="401">
        <f t="shared" si="0"/>
        <v>0.52702702702702697</v>
      </c>
      <c r="D706" s="402">
        <f t="shared" ref="D706:F706" si="724">ROUNDDOWN($C706*D$2,0) - IF(MOD($C706*D$2,1)=0,1,0) + 1</f>
        <v>2</v>
      </c>
      <c r="E706" s="402">
        <f t="shared" si="724"/>
        <v>2</v>
      </c>
      <c r="F706" s="402">
        <f t="shared" si="724"/>
        <v>3</v>
      </c>
      <c r="G706" s="401">
        <f t="shared" si="3"/>
        <v>2.0715810944322843E-3</v>
      </c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spans="1:20" ht="15.75" customHeight="1">
      <c r="A707" s="399">
        <v>43329</v>
      </c>
      <c r="B707" s="400">
        <v>-2.2793291351270728E-3</v>
      </c>
      <c r="C707" s="401">
        <f t="shared" si="0"/>
        <v>0.37917329093799684</v>
      </c>
      <c r="D707" s="402">
        <f t="shared" ref="D707:F707" si="725">ROUNDDOWN($C707*D$2,0) - IF(MOD($C707*D$2,1)=0,1,0) + 1</f>
        <v>1</v>
      </c>
      <c r="E707" s="402">
        <f t="shared" si="725"/>
        <v>2</v>
      </c>
      <c r="F707" s="402">
        <f t="shared" si="725"/>
        <v>2</v>
      </c>
      <c r="G707" s="401">
        <f t="shared" si="3"/>
        <v>0</v>
      </c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spans="1:20" ht="15.75" customHeight="1">
      <c r="A708" s="399">
        <v>43332</v>
      </c>
      <c r="B708" s="400">
        <v>-2.927394247218662E-3</v>
      </c>
      <c r="C708" s="401">
        <f t="shared" si="0"/>
        <v>0.36645468998410174</v>
      </c>
      <c r="D708" s="402">
        <f t="shared" ref="D708:F708" si="726">ROUNDDOWN($C708*D$2,0) - IF(MOD($C708*D$2,1)=0,1,0) + 1</f>
        <v>1</v>
      </c>
      <c r="E708" s="402">
        <f t="shared" si="726"/>
        <v>2</v>
      </c>
      <c r="F708" s="402">
        <f t="shared" si="726"/>
        <v>2</v>
      </c>
      <c r="G708" s="401">
        <f t="shared" si="3"/>
        <v>0</v>
      </c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spans="1:20" ht="15.75" customHeight="1">
      <c r="A709" s="399">
        <v>43333</v>
      </c>
      <c r="B709" s="400">
        <v>3.5754058964891922E-3</v>
      </c>
      <c r="C709" s="401">
        <f t="shared" si="0"/>
        <v>0.56518282988871227</v>
      </c>
      <c r="D709" s="402">
        <f t="shared" ref="D709:F709" si="727">ROUNDDOWN($C709*D$2,0) - IF(MOD($C709*D$2,1)=0,1,0) + 1</f>
        <v>2</v>
      </c>
      <c r="E709" s="402">
        <f t="shared" si="727"/>
        <v>2</v>
      </c>
      <c r="F709" s="402">
        <f t="shared" si="727"/>
        <v>3</v>
      </c>
      <c r="G709" s="401">
        <f t="shared" si="3"/>
        <v>0</v>
      </c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spans="1:20" ht="15.75" customHeight="1">
      <c r="A710" s="399">
        <v>43334</v>
      </c>
      <c r="B710" s="400">
        <v>1.1404784912552701E-2</v>
      </c>
      <c r="C710" s="401">
        <f t="shared" si="0"/>
        <v>0.77265500794912556</v>
      </c>
      <c r="D710" s="402">
        <f t="shared" ref="D710:F710" si="728">ROUNDDOWN($C710*D$2,0) - IF(MOD($C710*D$2,1)=0,1,0) + 1</f>
        <v>2</v>
      </c>
      <c r="E710" s="402">
        <f t="shared" si="728"/>
        <v>3</v>
      </c>
      <c r="F710" s="402">
        <f t="shared" si="728"/>
        <v>4</v>
      </c>
      <c r="G710" s="401">
        <f t="shared" si="3"/>
        <v>0</v>
      </c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spans="1:20" ht="15.75" customHeight="1">
      <c r="A711" s="399">
        <v>43335</v>
      </c>
      <c r="B711" s="400">
        <v>-1.0499238805186106E-3</v>
      </c>
      <c r="C711" s="401">
        <f t="shared" si="0"/>
        <v>0.41017488076311603</v>
      </c>
      <c r="D711" s="402">
        <f t="shared" ref="D711:F711" si="729">ROUNDDOWN($C711*D$2,0) - IF(MOD($C711*D$2,1)=0,1,0) + 1</f>
        <v>1</v>
      </c>
      <c r="E711" s="402">
        <f t="shared" si="729"/>
        <v>2</v>
      </c>
      <c r="F711" s="402">
        <f t="shared" si="729"/>
        <v>2</v>
      </c>
      <c r="G711" s="401">
        <f t="shared" si="3"/>
        <v>0</v>
      </c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spans="1:20" ht="15.75" customHeight="1">
      <c r="A712" s="399">
        <v>43336</v>
      </c>
      <c r="B712" s="400">
        <v>1.3085290871828192E-3</v>
      </c>
      <c r="C712" s="401">
        <f t="shared" si="0"/>
        <v>0.49443561208267089</v>
      </c>
      <c r="D712" s="402">
        <f t="shared" ref="D712:F712" si="730">ROUNDDOWN($C712*D$2,0) - IF(MOD($C712*D$2,1)=0,1,0) + 1</f>
        <v>1</v>
      </c>
      <c r="E712" s="402">
        <f t="shared" si="730"/>
        <v>2</v>
      </c>
      <c r="F712" s="402">
        <f t="shared" si="730"/>
        <v>2</v>
      </c>
      <c r="G712" s="401">
        <f t="shared" si="3"/>
        <v>0</v>
      </c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spans="1:20" ht="15.75" customHeight="1">
      <c r="A713" s="399">
        <v>43339</v>
      </c>
      <c r="B713" s="400">
        <v>1.1698392455087969E-2</v>
      </c>
      <c r="C713" s="401">
        <f t="shared" si="0"/>
        <v>0.77583465818759934</v>
      </c>
      <c r="D713" s="402">
        <f t="shared" ref="D713:F713" si="731">ROUNDDOWN($C713*D$2,0) - IF(MOD($C713*D$2,1)=0,1,0) + 1</f>
        <v>2</v>
      </c>
      <c r="E713" s="402">
        <f t="shared" si="731"/>
        <v>3</v>
      </c>
      <c r="F713" s="402">
        <f t="shared" si="731"/>
        <v>4</v>
      </c>
      <c r="G713" s="401">
        <f t="shared" si="3"/>
        <v>0</v>
      </c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spans="1:20" ht="15.75" customHeight="1">
      <c r="A714" s="399">
        <v>43340</v>
      </c>
      <c r="B714" s="400">
        <v>2.6664176626824965E-3</v>
      </c>
      <c r="C714" s="401">
        <f t="shared" si="0"/>
        <v>0.54451510333863273</v>
      </c>
      <c r="D714" s="402">
        <f t="shared" ref="D714:F714" si="732">ROUNDDOWN($C714*D$2,0) - IF(MOD($C714*D$2,1)=0,1,0) + 1</f>
        <v>2</v>
      </c>
      <c r="E714" s="402">
        <f t="shared" si="732"/>
        <v>2</v>
      </c>
      <c r="F714" s="402">
        <f t="shared" si="732"/>
        <v>3</v>
      </c>
      <c r="G714" s="401">
        <f t="shared" si="3"/>
        <v>0</v>
      </c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spans="1:20" ht="15.75" customHeight="1">
      <c r="A715" s="399">
        <v>43341</v>
      </c>
      <c r="B715" s="400">
        <v>3.3774484949452122E-2</v>
      </c>
      <c r="C715" s="401">
        <f t="shared" si="0"/>
        <v>0.96104928457869632</v>
      </c>
      <c r="D715" s="402">
        <f t="shared" ref="D715:F715" si="733">ROUNDDOWN($C715*D$2,0) - IF(MOD($C715*D$2,1)=0,1,0) + 1</f>
        <v>2</v>
      </c>
      <c r="E715" s="402">
        <f t="shared" si="733"/>
        <v>3</v>
      </c>
      <c r="F715" s="402">
        <f t="shared" si="733"/>
        <v>4</v>
      </c>
      <c r="G715" s="401">
        <f t="shared" si="3"/>
        <v>0</v>
      </c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spans="1:20" ht="15.75" customHeight="1">
      <c r="A716" s="399">
        <v>43342</v>
      </c>
      <c r="B716" s="400">
        <v>2.1420349331866539E-3</v>
      </c>
      <c r="C716" s="401">
        <f t="shared" si="0"/>
        <v>0.52941176470588236</v>
      </c>
      <c r="D716" s="402">
        <f t="shared" ref="D716:F716" si="734">ROUNDDOWN($C716*D$2,0) - IF(MOD($C716*D$2,1)=0,1,0) + 1</f>
        <v>2</v>
      </c>
      <c r="E716" s="402">
        <f t="shared" si="734"/>
        <v>2</v>
      </c>
      <c r="F716" s="402">
        <f t="shared" si="734"/>
        <v>3</v>
      </c>
      <c r="G716" s="401">
        <f t="shared" si="3"/>
        <v>0</v>
      </c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spans="1:20" ht="15.75" customHeight="1">
      <c r="A717" s="399">
        <v>43343</v>
      </c>
      <c r="B717" s="400">
        <v>5.1588609554629183E-3</v>
      </c>
      <c r="C717" s="401">
        <f t="shared" si="0"/>
        <v>0.6089030206677265</v>
      </c>
      <c r="D717" s="402">
        <f t="shared" ref="D717:F717" si="735">ROUNDDOWN($C717*D$2,0) - IF(MOD($C717*D$2,1)=0,1,0) + 1</f>
        <v>2</v>
      </c>
      <c r="E717" s="402">
        <f t="shared" si="735"/>
        <v>2</v>
      </c>
      <c r="F717" s="402">
        <f t="shared" si="735"/>
        <v>3</v>
      </c>
      <c r="G717" s="401">
        <f t="shared" si="3"/>
        <v>0</v>
      </c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spans="1:20" ht="15.75" customHeight="1">
      <c r="A718" s="399">
        <v>43347</v>
      </c>
      <c r="B718" s="400">
        <v>1.3315380755300144E-2</v>
      </c>
      <c r="C718" s="401">
        <f t="shared" si="0"/>
        <v>0.81081081081081086</v>
      </c>
      <c r="D718" s="402">
        <f t="shared" ref="D718:F718" si="736">ROUNDDOWN($C718*D$2,0) - IF(MOD($C718*D$2,1)=0,1,0) + 1</f>
        <v>2</v>
      </c>
      <c r="E718" s="402">
        <f t="shared" si="736"/>
        <v>3</v>
      </c>
      <c r="F718" s="402">
        <f t="shared" si="736"/>
        <v>4</v>
      </c>
      <c r="G718" s="401">
        <f t="shared" si="3"/>
        <v>0</v>
      </c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spans="1:20" ht="15.75" customHeight="1">
      <c r="A719" s="399">
        <v>43348</v>
      </c>
      <c r="B719" s="400">
        <v>-2.1912125951821793E-2</v>
      </c>
      <c r="C719" s="401">
        <f t="shared" si="0"/>
        <v>8.0286168521462642E-2</v>
      </c>
      <c r="D719" s="402">
        <f t="shared" ref="D719:F719" si="737">ROUNDDOWN($C719*D$2,0) - IF(MOD($C719*D$2,1)=0,1,0) + 1</f>
        <v>1</v>
      </c>
      <c r="E719" s="402">
        <f t="shared" si="737"/>
        <v>1</v>
      </c>
      <c r="F719" s="402">
        <f t="shared" si="737"/>
        <v>1</v>
      </c>
      <c r="G719" s="401">
        <f t="shared" si="3"/>
        <v>0</v>
      </c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spans="1:20" ht="15.75" customHeight="1">
      <c r="A720" s="399">
        <v>43349</v>
      </c>
      <c r="B720" s="400">
        <v>-1.830240322435106E-2</v>
      </c>
      <c r="C720" s="401">
        <f t="shared" si="0"/>
        <v>0.10095389507154214</v>
      </c>
      <c r="D720" s="402">
        <f t="shared" ref="D720:F720" si="738">ROUNDDOWN($C720*D$2,0) - IF(MOD($C720*D$2,1)=0,1,0) + 1</f>
        <v>1</v>
      </c>
      <c r="E720" s="402">
        <f t="shared" si="738"/>
        <v>1</v>
      </c>
      <c r="F720" s="402">
        <f t="shared" si="738"/>
        <v>1</v>
      </c>
      <c r="G720" s="401">
        <f t="shared" si="3"/>
        <v>-1.830240322435106E-2</v>
      </c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spans="1:20" ht="15.75" customHeight="1">
      <c r="A721" s="399">
        <v>43350</v>
      </c>
      <c r="B721" s="400">
        <v>-3.1864209445899849E-3</v>
      </c>
      <c r="C721" s="401">
        <f t="shared" si="0"/>
        <v>0.35691573926868042</v>
      </c>
      <c r="D721" s="402">
        <f t="shared" ref="D721:F721" si="739">ROUNDDOWN($C721*D$2,0) - IF(MOD($C721*D$2,1)=0,1,0) + 1</f>
        <v>1</v>
      </c>
      <c r="E721" s="402">
        <f t="shared" si="739"/>
        <v>2</v>
      </c>
      <c r="F721" s="402">
        <f t="shared" si="739"/>
        <v>2</v>
      </c>
      <c r="G721" s="401">
        <f t="shared" si="3"/>
        <v>-3.1864209445899849E-3</v>
      </c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spans="1:20" ht="15.75" customHeight="1">
      <c r="A722" s="399">
        <v>43353</v>
      </c>
      <c r="B722" s="400">
        <v>-6.6903338507328103E-3</v>
      </c>
      <c r="C722" s="401">
        <f t="shared" si="0"/>
        <v>0.25039745627980919</v>
      </c>
      <c r="D722" s="402">
        <f t="shared" ref="D722:F722" si="740">ROUNDDOWN($C722*D$2,0) - IF(MOD($C722*D$2,1)=0,1,0) + 1</f>
        <v>1</v>
      </c>
      <c r="E722" s="402">
        <f t="shared" si="740"/>
        <v>1</v>
      </c>
      <c r="F722" s="402">
        <f t="shared" si="740"/>
        <v>2</v>
      </c>
      <c r="G722" s="401">
        <f t="shared" si="3"/>
        <v>0</v>
      </c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spans="1:20" ht="15.75" customHeight="1">
      <c r="A723" s="399">
        <v>43354</v>
      </c>
      <c r="B723" s="400">
        <v>2.4827102490446284E-2</v>
      </c>
      <c r="C723" s="401">
        <f t="shared" si="0"/>
        <v>0.92448330683624802</v>
      </c>
      <c r="D723" s="402">
        <f t="shared" ref="D723:F723" si="741">ROUNDDOWN($C723*D$2,0) - IF(MOD($C723*D$2,1)=0,1,0) + 1</f>
        <v>2</v>
      </c>
      <c r="E723" s="402">
        <f t="shared" si="741"/>
        <v>3</v>
      </c>
      <c r="F723" s="402">
        <f t="shared" si="741"/>
        <v>4</v>
      </c>
      <c r="G723" s="401">
        <f t="shared" si="3"/>
        <v>0</v>
      </c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spans="1:20" ht="15.75" customHeight="1">
      <c r="A724" s="399">
        <v>43355</v>
      </c>
      <c r="B724" s="400">
        <v>1.4342148302846081E-3</v>
      </c>
      <c r="C724" s="401">
        <f t="shared" si="0"/>
        <v>0.50238473767885528</v>
      </c>
      <c r="D724" s="402">
        <f t="shared" ref="D724:F724" si="742">ROUNDDOWN($C724*D$2,0) - IF(MOD($C724*D$2,1)=0,1,0) + 1</f>
        <v>2</v>
      </c>
      <c r="E724" s="402">
        <f t="shared" si="742"/>
        <v>2</v>
      </c>
      <c r="F724" s="402">
        <f t="shared" si="742"/>
        <v>3</v>
      </c>
      <c r="G724" s="401">
        <f t="shared" si="3"/>
        <v>0</v>
      </c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spans="1:20" ht="15.75" customHeight="1">
      <c r="A725" s="399">
        <v>43356</v>
      </c>
      <c r="B725" s="400">
        <v>-6.5326633165829762E-5</v>
      </c>
      <c r="C725" s="401">
        <f t="shared" si="0"/>
        <v>0.43879173290937995</v>
      </c>
      <c r="D725" s="402">
        <f t="shared" ref="D725:F725" si="743">ROUNDDOWN($C725*D$2,0) - IF(MOD($C725*D$2,1)=0,1,0) + 1</f>
        <v>1</v>
      </c>
      <c r="E725" s="402">
        <f t="shared" si="743"/>
        <v>2</v>
      </c>
      <c r="F725" s="402">
        <f t="shared" si="743"/>
        <v>2</v>
      </c>
      <c r="G725" s="401">
        <f t="shared" si="3"/>
        <v>0</v>
      </c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spans="1:20" ht="15.75" customHeight="1">
      <c r="A726" s="399">
        <v>43357</v>
      </c>
      <c r="B726" s="400">
        <v>-9.8900933226793164E-3</v>
      </c>
      <c r="C726" s="401">
        <f t="shared" si="0"/>
        <v>0.18839427662957076</v>
      </c>
      <c r="D726" s="402">
        <f t="shared" ref="D726:F726" si="744">ROUNDDOWN($C726*D$2,0) - IF(MOD($C726*D$2,1)=0,1,0) + 1</f>
        <v>1</v>
      </c>
      <c r="E726" s="402">
        <f t="shared" si="744"/>
        <v>1</v>
      </c>
      <c r="F726" s="402">
        <f t="shared" si="744"/>
        <v>1</v>
      </c>
      <c r="G726" s="401">
        <f t="shared" si="3"/>
        <v>0</v>
      </c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spans="1:20" ht="15.75" customHeight="1">
      <c r="A727" s="399">
        <v>43360</v>
      </c>
      <c r="B727" s="400">
        <v>-3.1550256574239044E-2</v>
      </c>
      <c r="C727" s="401">
        <f t="shared" si="0"/>
        <v>4.4515103338632747E-2</v>
      </c>
      <c r="D727" s="402">
        <f t="shared" ref="D727:F727" si="745">ROUNDDOWN($C727*D$2,0) - IF(MOD($C727*D$2,1)=0,1,0) + 1</f>
        <v>1</v>
      </c>
      <c r="E727" s="402">
        <f t="shared" si="745"/>
        <v>1</v>
      </c>
      <c r="F727" s="402">
        <f t="shared" si="745"/>
        <v>1</v>
      </c>
      <c r="G727" s="401">
        <f t="shared" si="3"/>
        <v>-3.1550256574239044E-2</v>
      </c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 spans="1:20" ht="15.75" customHeight="1">
      <c r="A728" s="399">
        <v>43361</v>
      </c>
      <c r="B728" s="400">
        <v>1.7305807560677788E-2</v>
      </c>
      <c r="C728" s="401">
        <f t="shared" si="0"/>
        <v>0.87122416534181235</v>
      </c>
      <c r="D728" s="402">
        <f t="shared" ref="D728:F728" si="746">ROUNDDOWN($C728*D$2,0) - IF(MOD($C728*D$2,1)=0,1,0) + 1</f>
        <v>2</v>
      </c>
      <c r="E728" s="402">
        <f t="shared" si="746"/>
        <v>3</v>
      </c>
      <c r="F728" s="402">
        <f t="shared" si="746"/>
        <v>4</v>
      </c>
      <c r="G728" s="401">
        <f t="shared" si="3"/>
        <v>1.7305807560677788E-2</v>
      </c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spans="1:20" ht="15.75" customHeight="1">
      <c r="A729" s="399">
        <v>43362</v>
      </c>
      <c r="B729" s="400">
        <v>-7.53715772391228E-3</v>
      </c>
      <c r="C729" s="401">
        <f t="shared" si="0"/>
        <v>0.23211446740858505</v>
      </c>
      <c r="D729" s="402">
        <f t="shared" ref="D729:F729" si="747">ROUNDDOWN($C729*D$2,0) - IF(MOD($C729*D$2,1)=0,1,0) + 1</f>
        <v>1</v>
      </c>
      <c r="E729" s="402">
        <f t="shared" si="747"/>
        <v>1</v>
      </c>
      <c r="F729" s="402">
        <f t="shared" si="747"/>
        <v>1</v>
      </c>
      <c r="G729" s="401">
        <f t="shared" si="3"/>
        <v>0</v>
      </c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spans="1:20" ht="15.75" customHeight="1">
      <c r="A730" s="399">
        <v>43363</v>
      </c>
      <c r="B730" s="400">
        <v>9.2814651010681981E-3</v>
      </c>
      <c r="C730" s="401">
        <f t="shared" si="0"/>
        <v>0.72575516693163755</v>
      </c>
      <c r="D730" s="402">
        <f t="shared" ref="D730:F730" si="748">ROUNDDOWN($C730*D$2,0) - IF(MOD($C730*D$2,1)=0,1,0) + 1</f>
        <v>2</v>
      </c>
      <c r="E730" s="402">
        <f t="shared" si="748"/>
        <v>3</v>
      </c>
      <c r="F730" s="402">
        <f t="shared" si="748"/>
        <v>3</v>
      </c>
      <c r="G730" s="401">
        <f t="shared" si="3"/>
        <v>9.2814651010681981E-3</v>
      </c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spans="1:20" ht="15.75" customHeight="1">
      <c r="A731" s="399">
        <v>43364</v>
      </c>
      <c r="B731" s="400">
        <v>-1.5064547652111293E-2</v>
      </c>
      <c r="C731" s="401">
        <f t="shared" si="0"/>
        <v>0.1343402225755167</v>
      </c>
      <c r="D731" s="402">
        <f t="shared" ref="D731:F731" si="749">ROUNDDOWN($C731*D$2,0) - IF(MOD($C731*D$2,1)=0,1,0) + 1</f>
        <v>1</v>
      </c>
      <c r="E731" s="402">
        <f t="shared" si="749"/>
        <v>1</v>
      </c>
      <c r="F731" s="402">
        <f t="shared" si="749"/>
        <v>1</v>
      </c>
      <c r="G731" s="401">
        <f t="shared" si="3"/>
        <v>0</v>
      </c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spans="1:20" ht="15.75" customHeight="1">
      <c r="A732" s="399">
        <v>43367</v>
      </c>
      <c r="B732" s="400">
        <v>1.0104385877880429E-2</v>
      </c>
      <c r="C732" s="401">
        <f t="shared" si="0"/>
        <v>0.74562798092209859</v>
      </c>
      <c r="D732" s="402">
        <f t="shared" ref="D732:F732" si="750">ROUNDDOWN($C732*D$2,0) - IF(MOD($C732*D$2,1)=0,1,0) + 1</f>
        <v>2</v>
      </c>
      <c r="E732" s="402">
        <f t="shared" si="750"/>
        <v>3</v>
      </c>
      <c r="F732" s="402">
        <f t="shared" si="750"/>
        <v>3</v>
      </c>
      <c r="G732" s="401">
        <f t="shared" si="3"/>
        <v>1.0104385877880429E-2</v>
      </c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spans="1:20" ht="15.75" customHeight="1">
      <c r="A733" s="399">
        <v>43368</v>
      </c>
      <c r="B733" s="400">
        <v>2.0776897785313997E-2</v>
      </c>
      <c r="C733" s="401">
        <f t="shared" si="0"/>
        <v>0.90381558028616849</v>
      </c>
      <c r="D733" s="402">
        <f t="shared" ref="D733:F733" si="751">ROUNDDOWN($C733*D$2,0) - IF(MOD($C733*D$2,1)=0,1,0) + 1</f>
        <v>2</v>
      </c>
      <c r="E733" s="402">
        <f t="shared" si="751"/>
        <v>3</v>
      </c>
      <c r="F733" s="402">
        <f t="shared" si="751"/>
        <v>4</v>
      </c>
      <c r="G733" s="401">
        <f t="shared" si="3"/>
        <v>0</v>
      </c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spans="1:20" ht="15.75" customHeight="1">
      <c r="A734" s="399">
        <v>43369</v>
      </c>
      <c r="B734" s="400">
        <v>1.519333519028887E-4</v>
      </c>
      <c r="C734" s="401">
        <f t="shared" si="0"/>
        <v>0.45310015898251194</v>
      </c>
      <c r="D734" s="402">
        <f t="shared" ref="D734:F734" si="752">ROUNDDOWN($C734*D$2,0) - IF(MOD($C734*D$2,1)=0,1,0) + 1</f>
        <v>1</v>
      </c>
      <c r="E734" s="402">
        <f t="shared" si="752"/>
        <v>2</v>
      </c>
      <c r="F734" s="402">
        <f t="shared" si="752"/>
        <v>2</v>
      </c>
      <c r="G734" s="401">
        <f t="shared" si="3"/>
        <v>0</v>
      </c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spans="1:20" ht="15.75" customHeight="1">
      <c r="A735" s="399">
        <v>43370</v>
      </c>
      <c r="B735" s="400">
        <v>1.9307795528774374E-2</v>
      </c>
      <c r="C735" s="401">
        <f t="shared" si="0"/>
        <v>0.89268680445151039</v>
      </c>
      <c r="D735" s="402">
        <f t="shared" ref="D735:F735" si="753">ROUNDDOWN($C735*D$2,0) - IF(MOD($C735*D$2,1)=0,1,0) + 1</f>
        <v>2</v>
      </c>
      <c r="E735" s="402">
        <f t="shared" si="753"/>
        <v>3</v>
      </c>
      <c r="F735" s="402">
        <f t="shared" si="753"/>
        <v>4</v>
      </c>
      <c r="G735" s="401">
        <f t="shared" si="3"/>
        <v>0</v>
      </c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spans="1:20" ht="15.75" customHeight="1">
      <c r="A736" s="399">
        <v>43371</v>
      </c>
      <c r="B736" s="400">
        <v>-4.9578237240310852E-3</v>
      </c>
      <c r="C736" s="401">
        <f t="shared" si="0"/>
        <v>0.29570747217806043</v>
      </c>
      <c r="D736" s="402">
        <f t="shared" ref="D736:F736" si="754">ROUNDDOWN($C736*D$2,0) - IF(MOD($C736*D$2,1)=0,1,0) + 1</f>
        <v>1</v>
      </c>
      <c r="E736" s="402">
        <f t="shared" si="754"/>
        <v>1</v>
      </c>
      <c r="F736" s="402">
        <f t="shared" si="754"/>
        <v>2</v>
      </c>
      <c r="G736" s="401">
        <f t="shared" si="3"/>
        <v>0</v>
      </c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spans="1:20" ht="15.75" customHeight="1">
      <c r="A737" s="399">
        <v>43374</v>
      </c>
      <c r="B737" s="400">
        <v>6.7898152770839992E-4</v>
      </c>
      <c r="C737" s="401">
        <f t="shared" si="0"/>
        <v>0.47217806041335453</v>
      </c>
      <c r="D737" s="402">
        <f t="shared" ref="D737:F737" si="755">ROUNDDOWN($C737*D$2,0) - IF(MOD($C737*D$2,1)=0,1,0) + 1</f>
        <v>1</v>
      </c>
      <c r="E737" s="402">
        <f t="shared" si="755"/>
        <v>2</v>
      </c>
      <c r="F737" s="402">
        <f t="shared" si="755"/>
        <v>2</v>
      </c>
      <c r="G737" s="401">
        <f t="shared" si="3"/>
        <v>0</v>
      </c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spans="1:20" ht="15.75" customHeight="1">
      <c r="A738" s="399">
        <v>43375</v>
      </c>
      <c r="B738" s="400">
        <v>-1.6489053862579595E-2</v>
      </c>
      <c r="C738" s="401">
        <f t="shared" si="0"/>
        <v>0.1192368839427663</v>
      </c>
      <c r="D738" s="402">
        <f t="shared" ref="D738:F738" si="756">ROUNDDOWN($C738*D$2,0) - IF(MOD($C738*D$2,1)=0,1,0) + 1</f>
        <v>1</v>
      </c>
      <c r="E738" s="402">
        <f t="shared" si="756"/>
        <v>1</v>
      </c>
      <c r="F738" s="402">
        <f t="shared" si="756"/>
        <v>1</v>
      </c>
      <c r="G738" s="401">
        <f t="shared" si="3"/>
        <v>0</v>
      </c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spans="1:20" ht="15.75" customHeight="1">
      <c r="A739" s="399">
        <v>43376</v>
      </c>
      <c r="B739" s="400">
        <v>-9.4099862527963207E-3</v>
      </c>
      <c r="C739" s="401">
        <f t="shared" si="0"/>
        <v>0.19475357710651828</v>
      </c>
      <c r="D739" s="402">
        <f t="shared" ref="D739:F739" si="757">ROUNDDOWN($C739*D$2,0) - IF(MOD($C739*D$2,1)=0,1,0) + 1</f>
        <v>1</v>
      </c>
      <c r="E739" s="402">
        <f t="shared" si="757"/>
        <v>1</v>
      </c>
      <c r="F739" s="402">
        <f t="shared" si="757"/>
        <v>1</v>
      </c>
      <c r="G739" s="401">
        <f t="shared" si="3"/>
        <v>-9.4099862527963207E-3</v>
      </c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spans="1:20" ht="15.75" customHeight="1">
      <c r="A740" s="399">
        <v>43377</v>
      </c>
      <c r="B740" s="400">
        <v>-2.2194227657264531E-2</v>
      </c>
      <c r="C740" s="401">
        <f t="shared" si="0"/>
        <v>7.8696343402225755E-2</v>
      </c>
      <c r="D740" s="402">
        <f t="shared" ref="D740:F740" si="758">ROUNDDOWN($C740*D$2,0) - IF(MOD($C740*D$2,1)=0,1,0) + 1</f>
        <v>1</v>
      </c>
      <c r="E740" s="402">
        <f t="shared" si="758"/>
        <v>1</v>
      </c>
      <c r="F740" s="402">
        <f t="shared" si="758"/>
        <v>1</v>
      </c>
      <c r="G740" s="401">
        <f t="shared" si="3"/>
        <v>-2.2194227657264531E-2</v>
      </c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 spans="1:20" ht="15.75" customHeight="1">
      <c r="A741" s="399">
        <v>43378</v>
      </c>
      <c r="B741" s="400">
        <v>-1.0353929465492184E-2</v>
      </c>
      <c r="C741" s="401">
        <f t="shared" si="0"/>
        <v>0.18521462639109698</v>
      </c>
      <c r="D741" s="402">
        <f t="shared" ref="D741:F741" si="759">ROUNDDOWN($C741*D$2,0) - IF(MOD($C741*D$2,1)=0,1,0) + 1</f>
        <v>1</v>
      </c>
      <c r="E741" s="402">
        <f t="shared" si="759"/>
        <v>1</v>
      </c>
      <c r="F741" s="402">
        <f t="shared" si="759"/>
        <v>1</v>
      </c>
      <c r="G741" s="401">
        <f t="shared" si="3"/>
        <v>-1.0353929465492184E-2</v>
      </c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 spans="1:20" ht="15.75" customHeight="1">
      <c r="A742" s="399">
        <v>43381</v>
      </c>
      <c r="B742" s="400">
        <v>-1.3351678882332685E-2</v>
      </c>
      <c r="C742" s="401">
        <f t="shared" si="0"/>
        <v>0.14864864864864866</v>
      </c>
      <c r="D742" s="402">
        <f t="shared" ref="D742:F742" si="760">ROUNDDOWN($C742*D$2,0) - IF(MOD($C742*D$2,1)=0,1,0) + 1</f>
        <v>1</v>
      </c>
      <c r="E742" s="402">
        <f t="shared" si="760"/>
        <v>1</v>
      </c>
      <c r="F742" s="402">
        <f t="shared" si="760"/>
        <v>1</v>
      </c>
      <c r="G742" s="401">
        <f t="shared" si="3"/>
        <v>-1.3351678882332685E-2</v>
      </c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spans="1:20" ht="15.75" customHeight="1">
      <c r="A743" s="399">
        <v>43382</v>
      </c>
      <c r="B743" s="400">
        <v>3.1645230152004267E-3</v>
      </c>
      <c r="C743" s="401">
        <f t="shared" si="0"/>
        <v>0.55484896661367245</v>
      </c>
      <c r="D743" s="402">
        <f t="shared" ref="D743:F743" si="761">ROUNDDOWN($C743*D$2,0) - IF(MOD($C743*D$2,1)=0,1,0) + 1</f>
        <v>2</v>
      </c>
      <c r="E743" s="402">
        <f t="shared" si="761"/>
        <v>2</v>
      </c>
      <c r="F743" s="402">
        <f t="shared" si="761"/>
        <v>3</v>
      </c>
      <c r="G743" s="401">
        <f t="shared" si="3"/>
        <v>3.1645230152004267E-3</v>
      </c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spans="1:20" ht="15.75" customHeight="1">
      <c r="A744" s="399">
        <v>43383</v>
      </c>
      <c r="B744" s="400">
        <v>-6.1524231147611075E-2</v>
      </c>
      <c r="C744" s="401">
        <f t="shared" si="0"/>
        <v>5.5643879173290934E-3</v>
      </c>
      <c r="D744" s="402">
        <f t="shared" ref="D744:F744" si="762">ROUNDDOWN($C744*D$2,0) - IF(MOD($C744*D$2,1)=0,1,0) + 1</f>
        <v>1</v>
      </c>
      <c r="E744" s="402">
        <f t="shared" si="762"/>
        <v>1</v>
      </c>
      <c r="F744" s="402">
        <f t="shared" si="762"/>
        <v>1</v>
      </c>
      <c r="G744" s="401">
        <f t="shared" si="3"/>
        <v>0</v>
      </c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 spans="1:20" ht="15.75" customHeight="1">
      <c r="A745" s="399">
        <v>43384</v>
      </c>
      <c r="B745" s="400">
        <v>-2.0447229739353423E-2</v>
      </c>
      <c r="C745" s="401">
        <f t="shared" si="0"/>
        <v>8.8235294117647065E-2</v>
      </c>
      <c r="D745" s="402">
        <f t="shared" ref="D745:F745" si="763">ROUNDDOWN($C745*D$2,0) - IF(MOD($C745*D$2,1)=0,1,0) + 1</f>
        <v>1</v>
      </c>
      <c r="E745" s="402">
        <f t="shared" si="763"/>
        <v>1</v>
      </c>
      <c r="F745" s="402">
        <f t="shared" si="763"/>
        <v>1</v>
      </c>
      <c r="G745" s="401">
        <f t="shared" si="3"/>
        <v>-2.0447229739353423E-2</v>
      </c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 spans="1:20" ht="15.75" customHeight="1">
      <c r="A746" s="399">
        <v>43385</v>
      </c>
      <c r="B746" s="400">
        <v>4.0276614554252799E-2</v>
      </c>
      <c r="C746" s="401">
        <f t="shared" si="0"/>
        <v>0.97376788553259142</v>
      </c>
      <c r="D746" s="402">
        <f t="shared" ref="D746:F746" si="764">ROUNDDOWN($C746*D$2,0) - IF(MOD($C746*D$2,1)=0,1,0) + 1</f>
        <v>2</v>
      </c>
      <c r="E746" s="402">
        <f t="shared" si="764"/>
        <v>3</v>
      </c>
      <c r="F746" s="402">
        <f t="shared" si="764"/>
        <v>4</v>
      </c>
      <c r="G746" s="401">
        <f t="shared" si="3"/>
        <v>4.0276614554252799E-2</v>
      </c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spans="1:20" ht="15.75" customHeight="1">
      <c r="A747" s="399">
        <v>43388</v>
      </c>
      <c r="B747" s="400">
        <v>-1.5464522729941033E-2</v>
      </c>
      <c r="C747" s="401">
        <f t="shared" si="0"/>
        <v>0.13195548489666137</v>
      </c>
      <c r="D747" s="402">
        <f t="shared" ref="D747:F747" si="765">ROUNDDOWN($C747*D$2,0) - IF(MOD($C747*D$2,1)=0,1,0) + 1</f>
        <v>1</v>
      </c>
      <c r="E747" s="402">
        <f t="shared" si="765"/>
        <v>1</v>
      </c>
      <c r="F747" s="402">
        <f t="shared" si="765"/>
        <v>1</v>
      </c>
      <c r="G747" s="401">
        <f t="shared" si="3"/>
        <v>0</v>
      </c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spans="1:20" ht="15.75" customHeight="1">
      <c r="A748" s="399">
        <v>43389</v>
      </c>
      <c r="B748" s="400">
        <v>3.3510321133479071E-2</v>
      </c>
      <c r="C748" s="401">
        <f t="shared" si="0"/>
        <v>0.95866454689984104</v>
      </c>
      <c r="D748" s="402">
        <f t="shared" ref="D748:F748" si="766">ROUNDDOWN($C748*D$2,0) - IF(MOD($C748*D$2,1)=0,1,0) + 1</f>
        <v>2</v>
      </c>
      <c r="E748" s="402">
        <f t="shared" si="766"/>
        <v>3</v>
      </c>
      <c r="F748" s="402">
        <f t="shared" si="766"/>
        <v>4</v>
      </c>
      <c r="G748" s="401">
        <f t="shared" si="3"/>
        <v>3.3510321133479071E-2</v>
      </c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spans="1:20" ht="15.75" customHeight="1">
      <c r="A749" s="399">
        <v>43390</v>
      </c>
      <c r="B749" s="400">
        <v>6.4671751027494118E-3</v>
      </c>
      <c r="C749" s="401">
        <f t="shared" si="0"/>
        <v>0.6470588235294118</v>
      </c>
      <c r="D749" s="402">
        <f t="shared" ref="D749:F749" si="767">ROUNDDOWN($C749*D$2,0) - IF(MOD($C749*D$2,1)=0,1,0) + 1</f>
        <v>2</v>
      </c>
      <c r="E749" s="402">
        <f t="shared" si="767"/>
        <v>2</v>
      </c>
      <c r="F749" s="402">
        <f t="shared" si="767"/>
        <v>3</v>
      </c>
      <c r="G749" s="401">
        <f t="shared" si="3"/>
        <v>0</v>
      </c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spans="1:20" ht="15.75" customHeight="1">
      <c r="A750" s="399">
        <v>43391</v>
      </c>
      <c r="B750" s="400">
        <v>-3.3307310575248494E-2</v>
      </c>
      <c r="C750" s="401">
        <f t="shared" si="0"/>
        <v>3.8950715421303655E-2</v>
      </c>
      <c r="D750" s="402">
        <f t="shared" ref="D750:F750" si="768">ROUNDDOWN($C750*D$2,0) - IF(MOD($C750*D$2,1)=0,1,0) + 1</f>
        <v>1</v>
      </c>
      <c r="E750" s="402">
        <f t="shared" si="768"/>
        <v>1</v>
      </c>
      <c r="F750" s="402">
        <f t="shared" si="768"/>
        <v>1</v>
      </c>
      <c r="G750" s="401">
        <f t="shared" si="3"/>
        <v>0</v>
      </c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spans="1:20" ht="15.75" customHeight="1">
      <c r="A751" s="399">
        <v>43392</v>
      </c>
      <c r="B751" s="400">
        <v>-3.7781241528870302E-3</v>
      </c>
      <c r="C751" s="401">
        <f t="shared" si="0"/>
        <v>0.33783783783783783</v>
      </c>
      <c r="D751" s="402">
        <f t="shared" ref="D751:F751" si="769">ROUNDDOWN($C751*D$2,0) - IF(MOD($C751*D$2,1)=0,1,0) + 1</f>
        <v>1</v>
      </c>
      <c r="E751" s="402">
        <f t="shared" si="769"/>
        <v>2</v>
      </c>
      <c r="F751" s="402">
        <f t="shared" si="769"/>
        <v>2</v>
      </c>
      <c r="G751" s="401">
        <f t="shared" si="3"/>
        <v>-3.7781241528870302E-3</v>
      </c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spans="1:20" ht="15.75" customHeight="1">
      <c r="A752" s="399">
        <v>43395</v>
      </c>
      <c r="B752" s="400">
        <v>1.4325153200342333E-2</v>
      </c>
      <c r="C752" s="401">
        <f t="shared" si="0"/>
        <v>0.82670906200317962</v>
      </c>
      <c r="D752" s="402">
        <f t="shared" ref="D752:F752" si="770">ROUNDDOWN($C752*D$2,0) - IF(MOD($C752*D$2,1)=0,1,0) + 1</f>
        <v>2</v>
      </c>
      <c r="E752" s="402">
        <f t="shared" si="770"/>
        <v>3</v>
      </c>
      <c r="F752" s="402">
        <f t="shared" si="770"/>
        <v>4</v>
      </c>
      <c r="G752" s="401">
        <f t="shared" si="3"/>
        <v>0</v>
      </c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spans="1:20" ht="15.75" customHeight="1">
      <c r="A753" s="399">
        <v>43396</v>
      </c>
      <c r="B753" s="400">
        <v>-1.1512882132677538E-2</v>
      </c>
      <c r="C753" s="401">
        <f t="shared" si="0"/>
        <v>0.17249602543720191</v>
      </c>
      <c r="D753" s="402">
        <f t="shared" ref="D753:F753" si="771">ROUNDDOWN($C753*D$2,0) - IF(MOD($C753*D$2,1)=0,1,0) + 1</f>
        <v>1</v>
      </c>
      <c r="E753" s="402">
        <f t="shared" si="771"/>
        <v>1</v>
      </c>
      <c r="F753" s="402">
        <f t="shared" si="771"/>
        <v>1</v>
      </c>
      <c r="G753" s="401">
        <f t="shared" si="3"/>
        <v>0</v>
      </c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spans="1:20" ht="15.75" customHeight="1">
      <c r="A754" s="399">
        <v>43397</v>
      </c>
      <c r="B754" s="400">
        <v>-5.9082942273986583E-2</v>
      </c>
      <c r="C754" s="401">
        <f t="shared" si="0"/>
        <v>6.3593004769475362E-3</v>
      </c>
      <c r="D754" s="402">
        <f t="shared" ref="D754:F754" si="772">ROUNDDOWN($C754*D$2,0) - IF(MOD($C754*D$2,1)=0,1,0) + 1</f>
        <v>1</v>
      </c>
      <c r="E754" s="402">
        <f t="shared" si="772"/>
        <v>1</v>
      </c>
      <c r="F754" s="402">
        <f t="shared" si="772"/>
        <v>1</v>
      </c>
      <c r="G754" s="401">
        <f t="shared" si="3"/>
        <v>-5.9082942273986583E-2</v>
      </c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spans="1:20" ht="15.75" customHeight="1">
      <c r="A755" s="399">
        <v>43398</v>
      </c>
      <c r="B755" s="400">
        <v>7.0886912630693466E-2</v>
      </c>
      <c r="C755" s="401">
        <f t="shared" si="0"/>
        <v>0.99523052464228934</v>
      </c>
      <c r="D755" s="402">
        <f t="shared" ref="D755:F755" si="773">ROUNDDOWN($C755*D$2,0) - IF(MOD($C755*D$2,1)=0,1,0) + 1</f>
        <v>2</v>
      </c>
      <c r="E755" s="402">
        <f t="shared" si="773"/>
        <v>3</v>
      </c>
      <c r="F755" s="402">
        <f t="shared" si="773"/>
        <v>4</v>
      </c>
      <c r="G755" s="401">
        <f t="shared" si="3"/>
        <v>7.0886912630693466E-2</v>
      </c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spans="1:20" ht="15.75" customHeight="1">
      <c r="A756" s="399">
        <v>43399</v>
      </c>
      <c r="B756" s="400">
        <v>-7.8196805018600934E-2</v>
      </c>
      <c r="C756" s="401">
        <f t="shared" si="0"/>
        <v>1.589825119236884E-3</v>
      </c>
      <c r="D756" s="402">
        <f t="shared" ref="D756:F756" si="774">ROUNDDOWN($C756*D$2,0) - IF(MOD($C756*D$2,1)=0,1,0) + 1</f>
        <v>1</v>
      </c>
      <c r="E756" s="402">
        <f t="shared" si="774"/>
        <v>1</v>
      </c>
      <c r="F756" s="402">
        <f t="shared" si="774"/>
        <v>1</v>
      </c>
      <c r="G756" s="401">
        <f t="shared" si="3"/>
        <v>0</v>
      </c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spans="1:20" ht="15.75" customHeight="1">
      <c r="A757" s="399">
        <v>43402</v>
      </c>
      <c r="B757" s="400">
        <v>-6.3263554519390475E-2</v>
      </c>
      <c r="C757" s="401">
        <f t="shared" si="0"/>
        <v>4.7694753577106515E-3</v>
      </c>
      <c r="D757" s="402">
        <f t="shared" ref="D757:F757" si="775">ROUNDDOWN($C757*D$2,0) - IF(MOD($C757*D$2,1)=0,1,0) + 1</f>
        <v>1</v>
      </c>
      <c r="E757" s="402">
        <f t="shared" si="775"/>
        <v>1</v>
      </c>
      <c r="F757" s="402">
        <f t="shared" si="775"/>
        <v>1</v>
      </c>
      <c r="G757" s="401">
        <f t="shared" si="3"/>
        <v>-6.3263554519390475E-2</v>
      </c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spans="1:20" ht="15.75" customHeight="1">
      <c r="A758" s="399">
        <v>43403</v>
      </c>
      <c r="B758" s="400">
        <v>-5.4975046787274495E-3</v>
      </c>
      <c r="C758" s="401">
        <f t="shared" si="0"/>
        <v>0.28139904610492844</v>
      </c>
      <c r="D758" s="402">
        <f t="shared" ref="D758:F758" si="776">ROUNDDOWN($C758*D$2,0) - IF(MOD($C758*D$2,1)=0,1,0) + 1</f>
        <v>1</v>
      </c>
      <c r="E758" s="402">
        <f t="shared" si="776"/>
        <v>1</v>
      </c>
      <c r="F758" s="402">
        <f t="shared" si="776"/>
        <v>2</v>
      </c>
      <c r="G758" s="401">
        <f t="shared" si="3"/>
        <v>-5.4975046787274495E-3</v>
      </c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spans="1:20" ht="15.75" customHeight="1">
      <c r="A759" s="399">
        <v>43404</v>
      </c>
      <c r="B759" s="400">
        <v>4.416434704198835E-2</v>
      </c>
      <c r="C759" s="401">
        <f t="shared" si="0"/>
        <v>0.98012718600953896</v>
      </c>
      <c r="D759" s="402">
        <f t="shared" ref="D759:F759" si="777">ROUNDDOWN($C759*D$2,0) - IF(MOD($C759*D$2,1)=0,1,0) + 1</f>
        <v>2</v>
      </c>
      <c r="E759" s="402">
        <f t="shared" si="777"/>
        <v>3</v>
      </c>
      <c r="F759" s="402">
        <f t="shared" si="777"/>
        <v>4</v>
      </c>
      <c r="G759" s="401">
        <f t="shared" si="3"/>
        <v>0</v>
      </c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spans="1:20" ht="15.75" customHeight="1">
      <c r="A760" s="399">
        <v>43405</v>
      </c>
      <c r="B760" s="400">
        <v>4.2252551611066336E-2</v>
      </c>
      <c r="C760" s="401">
        <f t="shared" si="0"/>
        <v>0.97615262321144669</v>
      </c>
      <c r="D760" s="402">
        <f t="shared" ref="D760:F760" si="778">ROUNDDOWN($C760*D$2,0) - IF(MOD($C760*D$2,1)=0,1,0) + 1</f>
        <v>2</v>
      </c>
      <c r="E760" s="402">
        <f t="shared" si="778"/>
        <v>3</v>
      </c>
      <c r="F760" s="402">
        <f t="shared" si="778"/>
        <v>4</v>
      </c>
      <c r="G760" s="401">
        <f t="shared" si="3"/>
        <v>0</v>
      </c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spans="1:20" ht="15.75" customHeight="1">
      <c r="A761" s="399">
        <v>43406</v>
      </c>
      <c r="B761" s="400">
        <v>0</v>
      </c>
      <c r="C761" s="401">
        <f t="shared" si="0"/>
        <v>0.44316375198728142</v>
      </c>
      <c r="D761" s="402">
        <f t="shared" ref="D761:F761" si="779">ROUNDDOWN($C761*D$2,0) - IF(MOD($C761*D$2,1)=0,1,0) + 1</f>
        <v>1</v>
      </c>
      <c r="E761" s="402">
        <f t="shared" si="779"/>
        <v>2</v>
      </c>
      <c r="F761" s="402">
        <f t="shared" si="779"/>
        <v>2</v>
      </c>
      <c r="G761" s="401">
        <f t="shared" si="3"/>
        <v>0</v>
      </c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spans="1:20" ht="15.75" customHeight="1">
      <c r="A762" s="399">
        <v>43409</v>
      </c>
      <c r="B762" s="400">
        <v>-2.2653449652663138E-2</v>
      </c>
      <c r="C762" s="401">
        <f t="shared" si="0"/>
        <v>7.6311605723370424E-2</v>
      </c>
      <c r="D762" s="402">
        <f t="shared" ref="D762:F762" si="780">ROUNDDOWN($C762*D$2,0) - IF(MOD($C762*D$2,1)=0,1,0) + 1</f>
        <v>1</v>
      </c>
      <c r="E762" s="402">
        <f t="shared" si="780"/>
        <v>1</v>
      </c>
      <c r="F762" s="402">
        <f t="shared" si="780"/>
        <v>1</v>
      </c>
      <c r="G762" s="401">
        <f t="shared" si="3"/>
        <v>0</v>
      </c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spans="1:20" ht="15.75" customHeight="1">
      <c r="A763" s="399">
        <v>43410</v>
      </c>
      <c r="B763" s="400">
        <v>9.2210345251260151E-3</v>
      </c>
      <c r="C763" s="401">
        <f t="shared" si="0"/>
        <v>0.72257551669316378</v>
      </c>
      <c r="D763" s="402">
        <f t="shared" ref="D763:F763" si="781">ROUNDDOWN($C763*D$2,0) - IF(MOD($C763*D$2,1)=0,1,0) + 1</f>
        <v>2</v>
      </c>
      <c r="E763" s="402">
        <f t="shared" si="781"/>
        <v>3</v>
      </c>
      <c r="F763" s="402">
        <f t="shared" si="781"/>
        <v>3</v>
      </c>
      <c r="G763" s="401">
        <f t="shared" si="3"/>
        <v>9.2210345251260151E-3</v>
      </c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 spans="1:20" ht="15.75" customHeight="1">
      <c r="A764" s="399">
        <v>43411</v>
      </c>
      <c r="B764" s="400">
        <v>6.8589794315836894E-2</v>
      </c>
      <c r="C764" s="401">
        <f t="shared" si="0"/>
        <v>0.99364069952305245</v>
      </c>
      <c r="D764" s="402">
        <f t="shared" ref="D764:F764" si="782">ROUNDDOWN($C764*D$2,0) - IF(MOD($C764*D$2,1)=0,1,0) + 1</f>
        <v>2</v>
      </c>
      <c r="E764" s="402">
        <f t="shared" si="782"/>
        <v>3</v>
      </c>
      <c r="F764" s="402">
        <f t="shared" si="782"/>
        <v>4</v>
      </c>
      <c r="G764" s="401">
        <f t="shared" si="3"/>
        <v>0</v>
      </c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 spans="1:20" ht="15.75" customHeight="1">
      <c r="A765" s="399">
        <v>43412</v>
      </c>
      <c r="B765" s="400">
        <v>-3.3039208426133282E-4</v>
      </c>
      <c r="C765" s="401">
        <f t="shared" si="0"/>
        <v>0.43163751987281401</v>
      </c>
      <c r="D765" s="402">
        <f t="shared" ref="D765:F765" si="783">ROUNDDOWN($C765*D$2,0) - IF(MOD($C765*D$2,1)=0,1,0) + 1</f>
        <v>1</v>
      </c>
      <c r="E765" s="402">
        <f t="shared" si="783"/>
        <v>2</v>
      </c>
      <c r="F765" s="402">
        <f t="shared" si="783"/>
        <v>2</v>
      </c>
      <c r="G765" s="401">
        <f t="shared" si="3"/>
        <v>0</v>
      </c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 spans="1:20" ht="15.75" customHeight="1">
      <c r="A766" s="399">
        <v>43413</v>
      </c>
      <c r="B766" s="400">
        <v>-2.4206369557413177E-2</v>
      </c>
      <c r="C766" s="401">
        <f t="shared" si="0"/>
        <v>7.0747217806041332E-2</v>
      </c>
      <c r="D766" s="402">
        <f t="shared" ref="D766:F766" si="784">ROUNDDOWN($C766*D$2,0) - IF(MOD($C766*D$2,1)=0,1,0) + 1</f>
        <v>1</v>
      </c>
      <c r="E766" s="402">
        <f t="shared" si="784"/>
        <v>1</v>
      </c>
      <c r="F766" s="402">
        <f t="shared" si="784"/>
        <v>1</v>
      </c>
      <c r="G766" s="401">
        <f t="shared" si="3"/>
        <v>0</v>
      </c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spans="1:20" ht="15.75" customHeight="1">
      <c r="A767" s="399">
        <v>43416</v>
      </c>
      <c r="B767" s="400">
        <v>-4.4136110673137052E-2</v>
      </c>
      <c r="C767" s="401">
        <f t="shared" si="0"/>
        <v>1.9077901430842606E-2</v>
      </c>
      <c r="D767" s="402">
        <f t="shared" ref="D767:F767" si="785">ROUNDDOWN($C767*D$2,0) - IF(MOD($C767*D$2,1)=0,1,0) + 1</f>
        <v>1</v>
      </c>
      <c r="E767" s="402">
        <f t="shared" si="785"/>
        <v>1</v>
      </c>
      <c r="F767" s="402">
        <f t="shared" si="785"/>
        <v>1</v>
      </c>
      <c r="G767" s="401">
        <f t="shared" si="3"/>
        <v>-4.4136110673137052E-2</v>
      </c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spans="1:20" ht="15.75" customHeight="1">
      <c r="A768" s="399">
        <v>43417</v>
      </c>
      <c r="B768" s="400">
        <v>-3.4700797263034211E-3</v>
      </c>
      <c r="C768" s="401">
        <f t="shared" si="0"/>
        <v>0.34896661367249604</v>
      </c>
      <c r="D768" s="402">
        <f t="shared" ref="D768:F768" si="786">ROUNDDOWN($C768*D$2,0) - IF(MOD($C768*D$2,1)=0,1,0) + 1</f>
        <v>1</v>
      </c>
      <c r="E768" s="402">
        <f t="shared" si="786"/>
        <v>2</v>
      </c>
      <c r="F768" s="402">
        <f t="shared" si="786"/>
        <v>2</v>
      </c>
      <c r="G768" s="401">
        <f t="shared" si="3"/>
        <v>-3.4700797263034211E-3</v>
      </c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 spans="1:20" ht="15.75" customHeight="1">
      <c r="A769" s="399">
        <v>43418</v>
      </c>
      <c r="B769" s="400">
        <v>-1.9715909439236956E-2</v>
      </c>
      <c r="C769" s="401">
        <f t="shared" si="0"/>
        <v>9.1414944356120825E-2</v>
      </c>
      <c r="D769" s="402">
        <f t="shared" ref="D769:F769" si="787">ROUNDDOWN($C769*D$2,0) - IF(MOD($C769*D$2,1)=0,1,0) + 1</f>
        <v>1</v>
      </c>
      <c r="E769" s="402">
        <f t="shared" si="787"/>
        <v>1</v>
      </c>
      <c r="F769" s="402">
        <f t="shared" si="787"/>
        <v>1</v>
      </c>
      <c r="G769" s="401">
        <f t="shared" si="3"/>
        <v>0</v>
      </c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 spans="1:20" ht="15.75" customHeight="1">
      <c r="A770" s="399">
        <v>43419</v>
      </c>
      <c r="B770" s="400">
        <v>1.2776655555625016E-2</v>
      </c>
      <c r="C770" s="401">
        <f t="shared" si="0"/>
        <v>0.79968203497615264</v>
      </c>
      <c r="D770" s="402">
        <f t="shared" ref="D770:F770" si="788">ROUNDDOWN($C770*D$2,0) - IF(MOD($C770*D$2,1)=0,1,0) + 1</f>
        <v>2</v>
      </c>
      <c r="E770" s="402">
        <f t="shared" si="788"/>
        <v>3</v>
      </c>
      <c r="F770" s="402">
        <f t="shared" si="788"/>
        <v>4</v>
      </c>
      <c r="G770" s="401">
        <f t="shared" si="3"/>
        <v>1.2776655555625016E-2</v>
      </c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spans="1:20" ht="15.75" customHeight="1">
      <c r="A771" s="399">
        <v>43420</v>
      </c>
      <c r="B771" s="400">
        <v>-1.6073457491478482E-2</v>
      </c>
      <c r="C771" s="401">
        <f t="shared" si="0"/>
        <v>0.12241653418124006</v>
      </c>
      <c r="D771" s="402">
        <f t="shared" ref="D771:F771" si="789">ROUNDDOWN($C771*D$2,0) - IF(MOD($C771*D$2,1)=0,1,0) + 1</f>
        <v>1</v>
      </c>
      <c r="E771" s="402">
        <f t="shared" si="789"/>
        <v>1</v>
      </c>
      <c r="F771" s="402">
        <f t="shared" si="789"/>
        <v>1</v>
      </c>
      <c r="G771" s="401">
        <f t="shared" si="3"/>
        <v>0</v>
      </c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 spans="1:20" ht="15.75" customHeight="1">
      <c r="A772" s="399">
        <v>43423</v>
      </c>
      <c r="B772" s="400">
        <v>-5.0909684262054444E-2</v>
      </c>
      <c r="C772" s="401">
        <f t="shared" si="0"/>
        <v>1.4308426073131956E-2</v>
      </c>
      <c r="D772" s="402">
        <f t="shared" ref="D772:F772" si="790">ROUNDDOWN($C772*D$2,0) - IF(MOD($C772*D$2,1)=0,1,0) + 1</f>
        <v>1</v>
      </c>
      <c r="E772" s="402">
        <f t="shared" si="790"/>
        <v>1</v>
      </c>
      <c r="F772" s="402">
        <f t="shared" si="790"/>
        <v>1</v>
      </c>
      <c r="G772" s="401">
        <f t="shared" si="3"/>
        <v>-5.0909684262054444E-2</v>
      </c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 spans="1:20" ht="15.75" customHeight="1">
      <c r="A773" s="399">
        <v>43424</v>
      </c>
      <c r="B773" s="400">
        <v>-1.1128817885458386E-2</v>
      </c>
      <c r="C773" s="401">
        <f t="shared" si="0"/>
        <v>0.17885532591414943</v>
      </c>
      <c r="D773" s="402">
        <f t="shared" ref="D773:F773" si="791">ROUNDDOWN($C773*D$2,0) - IF(MOD($C773*D$2,1)=0,1,0) + 1</f>
        <v>1</v>
      </c>
      <c r="E773" s="402">
        <f t="shared" si="791"/>
        <v>1</v>
      </c>
      <c r="F773" s="402">
        <f t="shared" si="791"/>
        <v>1</v>
      </c>
      <c r="G773" s="401">
        <f t="shared" si="3"/>
        <v>-1.1128817885458386E-2</v>
      </c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 spans="1:20" ht="15.75" customHeight="1">
      <c r="A774" s="399">
        <v>43425</v>
      </c>
      <c r="B774" s="400">
        <v>1.4223048426571072E-2</v>
      </c>
      <c r="C774" s="401">
        <f t="shared" si="0"/>
        <v>0.82432432432432434</v>
      </c>
      <c r="D774" s="402">
        <f t="shared" ref="D774:F774" si="792">ROUNDDOWN($C774*D$2,0) - IF(MOD($C774*D$2,1)=0,1,0) + 1</f>
        <v>2</v>
      </c>
      <c r="E774" s="402">
        <f t="shared" si="792"/>
        <v>3</v>
      </c>
      <c r="F774" s="402">
        <f t="shared" si="792"/>
        <v>4</v>
      </c>
      <c r="G774" s="401">
        <f t="shared" si="3"/>
        <v>1.4223048426571072E-2</v>
      </c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 spans="1:20" ht="15.75" customHeight="1">
      <c r="A775" s="399">
        <v>43427</v>
      </c>
      <c r="B775" s="400">
        <v>-9.6721235816527029E-3</v>
      </c>
      <c r="C775" s="401">
        <f t="shared" si="0"/>
        <v>0.19236883942766295</v>
      </c>
      <c r="D775" s="402">
        <f t="shared" ref="D775:F775" si="793">ROUNDDOWN($C775*D$2,0) - IF(MOD($C775*D$2,1)=0,1,0) + 1</f>
        <v>1</v>
      </c>
      <c r="E775" s="402">
        <f t="shared" si="793"/>
        <v>1</v>
      </c>
      <c r="F775" s="402">
        <f t="shared" si="793"/>
        <v>1</v>
      </c>
      <c r="G775" s="401">
        <f t="shared" si="3"/>
        <v>0</v>
      </c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 spans="1:20" ht="15.75" customHeight="1">
      <c r="A776" s="399">
        <v>43430</v>
      </c>
      <c r="B776" s="400">
        <v>5.2774190112245822E-2</v>
      </c>
      <c r="C776" s="401">
        <f t="shared" si="0"/>
        <v>0.98887122416534179</v>
      </c>
      <c r="D776" s="402">
        <f t="shared" ref="D776:F776" si="794">ROUNDDOWN($C776*D$2,0) - IF(MOD($C776*D$2,1)=0,1,0) + 1</f>
        <v>2</v>
      </c>
      <c r="E776" s="402">
        <f t="shared" si="794"/>
        <v>3</v>
      </c>
      <c r="F776" s="402">
        <f t="shared" si="794"/>
        <v>4</v>
      </c>
      <c r="G776" s="401">
        <f t="shared" si="3"/>
        <v>5.2774190112245822E-2</v>
      </c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spans="1:20" ht="15.75" customHeight="1">
      <c r="A777" s="399">
        <v>43431</v>
      </c>
      <c r="B777" s="400">
        <v>5.6914116598250075E-5</v>
      </c>
      <c r="C777" s="401">
        <f t="shared" si="0"/>
        <v>0.44992050874403816</v>
      </c>
      <c r="D777" s="402">
        <f t="shared" ref="D777:F777" si="795">ROUNDDOWN($C777*D$2,0) - IF(MOD($C777*D$2,1)=0,1,0) + 1</f>
        <v>1</v>
      </c>
      <c r="E777" s="402">
        <f t="shared" si="795"/>
        <v>2</v>
      </c>
      <c r="F777" s="402">
        <f t="shared" si="795"/>
        <v>2</v>
      </c>
      <c r="G777" s="401">
        <f t="shared" si="3"/>
        <v>0</v>
      </c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 spans="1:20" ht="15.75" customHeight="1">
      <c r="A778" s="399">
        <v>43432</v>
      </c>
      <c r="B778" s="400">
        <v>6.0913609287855275E-2</v>
      </c>
      <c r="C778" s="401">
        <f t="shared" si="0"/>
        <v>0.99125596184419718</v>
      </c>
      <c r="D778" s="402">
        <f t="shared" ref="D778:F778" si="796">ROUNDDOWN($C778*D$2,0) - IF(MOD($C778*D$2,1)=0,1,0) + 1</f>
        <v>2</v>
      </c>
      <c r="E778" s="402">
        <f t="shared" si="796"/>
        <v>3</v>
      </c>
      <c r="F778" s="402">
        <f t="shared" si="796"/>
        <v>4</v>
      </c>
      <c r="G778" s="401">
        <f t="shared" si="3"/>
        <v>0</v>
      </c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spans="1:20" ht="15.75" customHeight="1">
      <c r="A779" s="399">
        <v>43433</v>
      </c>
      <c r="B779" s="400">
        <v>-2.4914319773506888E-3</v>
      </c>
      <c r="C779" s="401">
        <f t="shared" si="0"/>
        <v>0.37281399046104929</v>
      </c>
      <c r="D779" s="402">
        <f t="shared" ref="D779:F779" si="797">ROUNDDOWN($C779*D$2,0) - IF(MOD($C779*D$2,1)=0,1,0) + 1</f>
        <v>1</v>
      </c>
      <c r="E779" s="402">
        <f t="shared" si="797"/>
        <v>2</v>
      </c>
      <c r="F779" s="402">
        <f t="shared" si="797"/>
        <v>2</v>
      </c>
      <c r="G779" s="401">
        <f t="shared" si="3"/>
        <v>0</v>
      </c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 spans="1:20" ht="15.75" customHeight="1">
      <c r="A780" s="399">
        <v>43434</v>
      </c>
      <c r="B780" s="400">
        <v>9.9189158505470498E-3</v>
      </c>
      <c r="C780" s="401">
        <f t="shared" si="0"/>
        <v>0.74165341812400631</v>
      </c>
      <c r="D780" s="402">
        <f t="shared" ref="D780:F780" si="798">ROUNDDOWN($C780*D$2,0) - IF(MOD($C780*D$2,1)=0,1,0) + 1</f>
        <v>2</v>
      </c>
      <c r="E780" s="402">
        <f t="shared" si="798"/>
        <v>3</v>
      </c>
      <c r="F780" s="402">
        <f t="shared" si="798"/>
        <v>3</v>
      </c>
      <c r="G780" s="401">
        <f t="shared" si="3"/>
        <v>0</v>
      </c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spans="1:20" ht="15.75" customHeight="1">
      <c r="A781" s="399">
        <v>43437</v>
      </c>
      <c r="B781" s="400">
        <v>4.8628244496115691E-2</v>
      </c>
      <c r="C781" s="401">
        <f t="shared" si="0"/>
        <v>0.98569157392686801</v>
      </c>
      <c r="D781" s="402">
        <f t="shared" ref="D781:F781" si="799">ROUNDDOWN($C781*D$2,0) - IF(MOD($C781*D$2,1)=0,1,0) + 1</f>
        <v>2</v>
      </c>
      <c r="E781" s="402">
        <f t="shared" si="799"/>
        <v>3</v>
      </c>
      <c r="F781" s="402">
        <f t="shared" si="799"/>
        <v>4</v>
      </c>
      <c r="G781" s="401">
        <f t="shared" si="3"/>
        <v>0</v>
      </c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 spans="1:20" ht="15.75" customHeight="1">
      <c r="A782" s="399">
        <v>43438</v>
      </c>
      <c r="B782" s="400">
        <v>-5.8656254936920171E-2</v>
      </c>
      <c r="C782" s="401">
        <f t="shared" si="0"/>
        <v>7.1542130365659781E-3</v>
      </c>
      <c r="D782" s="402">
        <f t="shared" ref="D782:F782" si="800">ROUNDDOWN($C782*D$2,0) - IF(MOD($C782*D$2,1)=0,1,0) + 1</f>
        <v>1</v>
      </c>
      <c r="E782" s="402">
        <f t="shared" si="800"/>
        <v>1</v>
      </c>
      <c r="F782" s="402">
        <f t="shared" si="800"/>
        <v>1</v>
      </c>
      <c r="G782" s="401">
        <f t="shared" si="3"/>
        <v>0</v>
      </c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 spans="1:20" ht="15.75" customHeight="1">
      <c r="A783" s="399">
        <v>43440</v>
      </c>
      <c r="B783" s="400">
        <v>1.8454807000719331E-2</v>
      </c>
      <c r="C783" s="401">
        <f t="shared" si="0"/>
        <v>0.88235294117647056</v>
      </c>
      <c r="D783" s="402">
        <f t="shared" ref="D783:F783" si="801">ROUNDDOWN($C783*D$2,0) - IF(MOD($C783*D$2,1)=0,1,0) + 1</f>
        <v>2</v>
      </c>
      <c r="E783" s="402">
        <f t="shared" si="801"/>
        <v>3</v>
      </c>
      <c r="F783" s="402">
        <f t="shared" si="801"/>
        <v>4</v>
      </c>
      <c r="G783" s="401">
        <f t="shared" si="3"/>
        <v>1.8454807000719331E-2</v>
      </c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 spans="1:20" ht="15.75" customHeight="1">
      <c r="A784" s="399">
        <v>43441</v>
      </c>
      <c r="B784" s="400">
        <v>-4.1231410260182733E-2</v>
      </c>
      <c r="C784" s="401">
        <f t="shared" si="0"/>
        <v>2.3847376788553261E-2</v>
      </c>
      <c r="D784" s="402">
        <f t="shared" ref="D784:F784" si="802">ROUNDDOWN($C784*D$2,0) - IF(MOD($C784*D$2,1)=0,1,0) + 1</f>
        <v>1</v>
      </c>
      <c r="E784" s="402">
        <f t="shared" si="802"/>
        <v>1</v>
      </c>
      <c r="F784" s="402">
        <f t="shared" si="802"/>
        <v>1</v>
      </c>
      <c r="G784" s="401">
        <f t="shared" si="3"/>
        <v>0</v>
      </c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 spans="1:20" ht="15.75" customHeight="1">
      <c r="A785" s="399">
        <v>43444</v>
      </c>
      <c r="B785" s="400">
        <v>7.304512224316051E-3</v>
      </c>
      <c r="C785" s="401">
        <f t="shared" si="0"/>
        <v>0.67011128775834661</v>
      </c>
      <c r="D785" s="402">
        <f t="shared" ref="D785:F785" si="803">ROUNDDOWN($C785*D$2,0) - IF(MOD($C785*D$2,1)=0,1,0) + 1</f>
        <v>2</v>
      </c>
      <c r="E785" s="402">
        <f t="shared" si="803"/>
        <v>3</v>
      </c>
      <c r="F785" s="402">
        <f t="shared" si="803"/>
        <v>3</v>
      </c>
      <c r="G785" s="401">
        <f t="shared" si="3"/>
        <v>7.304512224316051E-3</v>
      </c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 spans="1:20" ht="15.75" customHeight="1">
      <c r="A786" s="399">
        <v>43445</v>
      </c>
      <c r="B786" s="400">
        <v>1.3467151727879489E-3</v>
      </c>
      <c r="C786" s="401">
        <f t="shared" si="0"/>
        <v>0.49682034976152623</v>
      </c>
      <c r="D786" s="402">
        <f t="shared" ref="D786:F786" si="804">ROUNDDOWN($C786*D$2,0) - IF(MOD($C786*D$2,1)=0,1,0) + 1</f>
        <v>1</v>
      </c>
      <c r="E786" s="402">
        <f t="shared" si="804"/>
        <v>2</v>
      </c>
      <c r="F786" s="402">
        <f t="shared" si="804"/>
        <v>2</v>
      </c>
      <c r="G786" s="401">
        <f t="shared" si="3"/>
        <v>0</v>
      </c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 spans="1:20" ht="15.75" customHeight="1">
      <c r="A787" s="399">
        <v>43446</v>
      </c>
      <c r="B787" s="400">
        <v>1.2353642803242249E-2</v>
      </c>
      <c r="C787" s="401">
        <f t="shared" si="0"/>
        <v>0.7925278219395866</v>
      </c>
      <c r="D787" s="402">
        <f t="shared" ref="D787:F787" si="805">ROUNDDOWN($C787*D$2,0) - IF(MOD($C787*D$2,1)=0,1,0) + 1</f>
        <v>2</v>
      </c>
      <c r="E787" s="402">
        <f t="shared" si="805"/>
        <v>3</v>
      </c>
      <c r="F787" s="402">
        <f t="shared" si="805"/>
        <v>4</v>
      </c>
      <c r="G787" s="401">
        <f t="shared" si="3"/>
        <v>0</v>
      </c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 spans="1:20" ht="15.75" customHeight="1">
      <c r="A788" s="399">
        <v>43447</v>
      </c>
      <c r="B788" s="400">
        <v>-3.1018190124673106E-3</v>
      </c>
      <c r="C788" s="401">
        <f t="shared" si="0"/>
        <v>0.36168521462639108</v>
      </c>
      <c r="D788" s="402">
        <f t="shared" ref="D788:F788" si="806">ROUNDDOWN($C788*D$2,0) - IF(MOD($C788*D$2,1)=0,1,0) + 1</f>
        <v>1</v>
      </c>
      <c r="E788" s="402">
        <f t="shared" si="806"/>
        <v>2</v>
      </c>
      <c r="F788" s="402">
        <f t="shared" si="806"/>
        <v>2</v>
      </c>
      <c r="G788" s="401">
        <f t="shared" si="3"/>
        <v>0</v>
      </c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 spans="1:20" ht="15.75" customHeight="1">
      <c r="A789" s="399">
        <v>43448</v>
      </c>
      <c r="B789" s="400">
        <v>-4.0081284144767748E-2</v>
      </c>
      <c r="C789" s="401">
        <f t="shared" si="0"/>
        <v>2.4642289348171701E-2</v>
      </c>
      <c r="D789" s="402">
        <f t="shared" ref="D789:F789" si="807">ROUNDDOWN($C789*D$2,0) - IF(MOD($C789*D$2,1)=0,1,0) + 1</f>
        <v>1</v>
      </c>
      <c r="E789" s="402">
        <f t="shared" si="807"/>
        <v>1</v>
      </c>
      <c r="F789" s="402">
        <f t="shared" si="807"/>
        <v>1</v>
      </c>
      <c r="G789" s="401">
        <f t="shared" si="3"/>
        <v>0</v>
      </c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 spans="1:20" ht="15.75" customHeight="1">
      <c r="A790" s="399">
        <v>43451</v>
      </c>
      <c r="B790" s="400">
        <v>-4.4600511335439852E-2</v>
      </c>
      <c r="C790" s="401">
        <f t="shared" si="0"/>
        <v>1.8282988871224166E-2</v>
      </c>
      <c r="D790" s="402">
        <f t="shared" ref="D790:F790" si="808">ROUNDDOWN($C790*D$2,0) - IF(MOD($C790*D$2,1)=0,1,0) + 1</f>
        <v>1</v>
      </c>
      <c r="E790" s="402">
        <f t="shared" si="808"/>
        <v>1</v>
      </c>
      <c r="F790" s="402">
        <f t="shared" si="808"/>
        <v>1</v>
      </c>
      <c r="G790" s="401">
        <f t="shared" si="3"/>
        <v>-4.4600511335439852E-2</v>
      </c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 spans="1:20" ht="15.75" customHeight="1">
      <c r="A791" s="399">
        <v>43452</v>
      </c>
      <c r="B791" s="400">
        <v>2.0099808667179531E-2</v>
      </c>
      <c r="C791" s="401">
        <f t="shared" si="0"/>
        <v>0.89984101748807632</v>
      </c>
      <c r="D791" s="402">
        <f t="shared" ref="D791:F791" si="809">ROUNDDOWN($C791*D$2,0) - IF(MOD($C791*D$2,1)=0,1,0) + 1</f>
        <v>2</v>
      </c>
      <c r="E791" s="402">
        <f t="shared" si="809"/>
        <v>3</v>
      </c>
      <c r="F791" s="402">
        <f t="shared" si="809"/>
        <v>4</v>
      </c>
      <c r="G791" s="401">
        <f t="shared" si="3"/>
        <v>2.0099808667179531E-2</v>
      </c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 spans="1:20" ht="15.75" customHeight="1">
      <c r="A792" s="399">
        <v>43453</v>
      </c>
      <c r="B792" s="400">
        <v>-3.6352386108747803E-2</v>
      </c>
      <c r="C792" s="401">
        <f t="shared" si="0"/>
        <v>3.3386327503974564E-2</v>
      </c>
      <c r="D792" s="402">
        <f t="shared" ref="D792:F792" si="810">ROUNDDOWN($C792*D$2,0) - IF(MOD($C792*D$2,1)=0,1,0) + 1</f>
        <v>1</v>
      </c>
      <c r="E792" s="402">
        <f t="shared" si="810"/>
        <v>1</v>
      </c>
      <c r="F792" s="402">
        <f t="shared" si="810"/>
        <v>1</v>
      </c>
      <c r="G792" s="401">
        <f t="shared" si="3"/>
        <v>0</v>
      </c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 spans="1:20" ht="15.75" customHeight="1">
      <c r="A793" s="399">
        <v>43454</v>
      </c>
      <c r="B793" s="400">
        <v>-2.2908473125183959E-2</v>
      </c>
      <c r="C793" s="401">
        <f t="shared" si="0"/>
        <v>7.472178060413355E-2</v>
      </c>
      <c r="D793" s="402">
        <f t="shared" ref="D793:F793" si="811">ROUNDDOWN($C793*D$2,0) - IF(MOD($C793*D$2,1)=0,1,0) + 1</f>
        <v>1</v>
      </c>
      <c r="E793" s="402">
        <f t="shared" si="811"/>
        <v>1</v>
      </c>
      <c r="F793" s="402">
        <f t="shared" si="811"/>
        <v>1</v>
      </c>
      <c r="G793" s="401">
        <f t="shared" si="3"/>
        <v>-2.2908473125183959E-2</v>
      </c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spans="1:20" ht="15.75" customHeight="1">
      <c r="A794" s="399">
        <v>43455</v>
      </c>
      <c r="B794" s="400">
        <v>-5.7077141077332638E-2</v>
      </c>
      <c r="C794" s="401">
        <f t="shared" si="0"/>
        <v>9.538950715421303E-3</v>
      </c>
      <c r="D794" s="402">
        <f t="shared" ref="D794:F794" si="812">ROUNDDOWN($C794*D$2,0) - IF(MOD($C794*D$2,1)=0,1,0) + 1</f>
        <v>1</v>
      </c>
      <c r="E794" s="402">
        <f t="shared" si="812"/>
        <v>1</v>
      </c>
      <c r="F794" s="402">
        <f t="shared" si="812"/>
        <v>1</v>
      </c>
      <c r="G794" s="401">
        <f t="shared" si="3"/>
        <v>-5.7077141077332638E-2</v>
      </c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 spans="1:20" ht="15.75" customHeight="1">
      <c r="A795" s="399">
        <v>43458</v>
      </c>
      <c r="B795" s="400">
        <v>-2.4313042215688419E-2</v>
      </c>
      <c r="C795" s="401">
        <f t="shared" si="0"/>
        <v>6.9952305246422888E-2</v>
      </c>
      <c r="D795" s="402">
        <f t="shared" ref="D795:F795" si="813">ROUNDDOWN($C795*D$2,0) - IF(MOD($C795*D$2,1)=0,1,0) + 1</f>
        <v>1</v>
      </c>
      <c r="E795" s="402">
        <f t="shared" si="813"/>
        <v>1</v>
      </c>
      <c r="F795" s="402">
        <f t="shared" si="813"/>
        <v>1</v>
      </c>
      <c r="G795" s="401">
        <f t="shared" si="3"/>
        <v>-2.4313042215688419E-2</v>
      </c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 spans="1:20" ht="15.75" customHeight="1">
      <c r="A796" s="399">
        <v>43460</v>
      </c>
      <c r="B796" s="400">
        <v>9.4452215839757159E-2</v>
      </c>
      <c r="C796" s="401">
        <f t="shared" si="0"/>
        <v>0.99841017488076311</v>
      </c>
      <c r="D796" s="402">
        <f t="shared" ref="D796:F796" si="814">ROUNDDOWN($C796*D$2,0) - IF(MOD($C796*D$2,1)=0,1,0) + 1</f>
        <v>2</v>
      </c>
      <c r="E796" s="402">
        <f t="shared" si="814"/>
        <v>3</v>
      </c>
      <c r="F796" s="402">
        <f t="shared" si="814"/>
        <v>4</v>
      </c>
      <c r="G796" s="401">
        <f t="shared" si="3"/>
        <v>9.4452215839757159E-2</v>
      </c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spans="1:20" ht="15.75" customHeight="1">
      <c r="A797" s="399">
        <v>43461</v>
      </c>
      <c r="B797" s="400">
        <v>-6.2954653613433997E-3</v>
      </c>
      <c r="C797" s="401">
        <f t="shared" si="0"/>
        <v>0.26232114467408585</v>
      </c>
      <c r="D797" s="402">
        <f t="shared" ref="D797:F797" si="815">ROUNDDOWN($C797*D$2,0) - IF(MOD($C797*D$2,1)=0,1,0) + 1</f>
        <v>1</v>
      </c>
      <c r="E797" s="402">
        <f t="shared" si="815"/>
        <v>1</v>
      </c>
      <c r="F797" s="402">
        <f t="shared" si="815"/>
        <v>2</v>
      </c>
      <c r="G797" s="401">
        <f t="shared" si="3"/>
        <v>0</v>
      </c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spans="1:20" ht="15.75" customHeight="1">
      <c r="A798" s="399">
        <v>43462</v>
      </c>
      <c r="B798" s="400">
        <v>1.120658985796763E-2</v>
      </c>
      <c r="C798" s="401">
        <f t="shared" si="0"/>
        <v>0.7678855325914149</v>
      </c>
      <c r="D798" s="402">
        <f t="shared" ref="D798:F798" si="816">ROUNDDOWN($C798*D$2,0) - IF(MOD($C798*D$2,1)=0,1,0) + 1</f>
        <v>2</v>
      </c>
      <c r="E798" s="402">
        <f t="shared" si="816"/>
        <v>3</v>
      </c>
      <c r="F798" s="402">
        <f t="shared" si="816"/>
        <v>4</v>
      </c>
      <c r="G798" s="401">
        <f t="shared" si="3"/>
        <v>0</v>
      </c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spans="1:20" ht="15.75" customHeight="1">
      <c r="A799" s="399">
        <v>43465</v>
      </c>
      <c r="B799" s="400">
        <v>1.6204110905129854E-2</v>
      </c>
      <c r="C799" s="401">
        <f t="shared" si="0"/>
        <v>0.86009538950715425</v>
      </c>
      <c r="D799" s="402">
        <f t="shared" ref="D799:F799" si="817">ROUNDDOWN($C799*D$2,0) - IF(MOD($C799*D$2,1)=0,1,0) + 1</f>
        <v>2</v>
      </c>
      <c r="E799" s="402">
        <f t="shared" si="817"/>
        <v>3</v>
      </c>
      <c r="F799" s="402">
        <f t="shared" si="817"/>
        <v>4</v>
      </c>
      <c r="G799" s="401">
        <f t="shared" si="3"/>
        <v>0</v>
      </c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spans="1:20" ht="15.75" customHeight="1">
      <c r="A800" s="399">
        <v>43466</v>
      </c>
      <c r="B800" s="400">
        <v>0</v>
      </c>
      <c r="C800" s="401">
        <f t="shared" si="0"/>
        <v>0.44316375198728142</v>
      </c>
      <c r="D800" s="402">
        <f t="shared" ref="D800:F800" si="818">ROUNDDOWN($C800*D$2,0) - IF(MOD($C800*D$2,1)=0,1,0) + 1</f>
        <v>1</v>
      </c>
      <c r="E800" s="402">
        <f t="shared" si="818"/>
        <v>2</v>
      </c>
      <c r="F800" s="402">
        <f t="shared" si="818"/>
        <v>2</v>
      </c>
      <c r="G800" s="401">
        <f t="shared" si="3"/>
        <v>0</v>
      </c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spans="1:20" ht="15.75" customHeight="1">
      <c r="A801" s="399">
        <v>43467</v>
      </c>
      <c r="B801" s="400">
        <v>2.4740840362990069E-2</v>
      </c>
      <c r="C801" s="401">
        <f t="shared" si="0"/>
        <v>0.92368839427662952</v>
      </c>
      <c r="D801" s="402">
        <f t="shared" ref="D801:F801" si="819">ROUNDDOWN($C801*D$2,0) - IF(MOD($C801*D$2,1)=0,1,0) + 1</f>
        <v>2</v>
      </c>
      <c r="E801" s="402">
        <f t="shared" si="819"/>
        <v>3</v>
      </c>
      <c r="F801" s="402">
        <f t="shared" si="819"/>
        <v>4</v>
      </c>
      <c r="G801" s="401">
        <f t="shared" si="3"/>
        <v>0</v>
      </c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spans="1:20" ht="15.75" customHeight="1">
      <c r="A802" s="399">
        <v>43468</v>
      </c>
      <c r="B802" s="400">
        <v>-2.5241532554105328E-2</v>
      </c>
      <c r="C802" s="401">
        <f t="shared" si="0"/>
        <v>6.518282988871224E-2</v>
      </c>
      <c r="D802" s="402">
        <f t="shared" ref="D802:F802" si="820">ROUNDDOWN($C802*D$2,0) - IF(MOD($C802*D$2,1)=0,1,0) + 1</f>
        <v>1</v>
      </c>
      <c r="E802" s="402">
        <f t="shared" si="820"/>
        <v>1</v>
      </c>
      <c r="F802" s="402">
        <f t="shared" si="820"/>
        <v>1</v>
      </c>
      <c r="G802" s="401">
        <f t="shared" si="3"/>
        <v>0</v>
      </c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spans="1:20" ht="15.75" customHeight="1">
      <c r="A803" s="399">
        <v>43469</v>
      </c>
      <c r="B803" s="400">
        <v>5.0063988055563113E-2</v>
      </c>
      <c r="C803" s="401">
        <f t="shared" si="0"/>
        <v>0.98648648648648651</v>
      </c>
      <c r="D803" s="402">
        <f t="shared" ref="D803:F803" si="821">ROUNDDOWN($C803*D$2,0) - IF(MOD($C803*D$2,1)=0,1,0) + 1</f>
        <v>2</v>
      </c>
      <c r="E803" s="402">
        <f t="shared" si="821"/>
        <v>3</v>
      </c>
      <c r="F803" s="402">
        <f t="shared" si="821"/>
        <v>4</v>
      </c>
      <c r="G803" s="401">
        <f t="shared" si="3"/>
        <v>5.0063988055563113E-2</v>
      </c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spans="1:20" ht="15.75" customHeight="1">
      <c r="A804" s="399">
        <v>43472</v>
      </c>
      <c r="B804" s="400">
        <v>3.4353398206158348E-2</v>
      </c>
      <c r="C804" s="401">
        <f t="shared" si="0"/>
        <v>0.9626391096979332</v>
      </c>
      <c r="D804" s="402">
        <f t="shared" ref="D804:F804" si="822">ROUNDDOWN($C804*D$2,0) - IF(MOD($C804*D$2,1)=0,1,0) + 1</f>
        <v>2</v>
      </c>
      <c r="E804" s="402">
        <f t="shared" si="822"/>
        <v>3</v>
      </c>
      <c r="F804" s="402">
        <f t="shared" si="822"/>
        <v>4</v>
      </c>
      <c r="G804" s="401">
        <f t="shared" si="3"/>
        <v>0</v>
      </c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 spans="1:20" ht="15.75" customHeight="1">
      <c r="A805" s="399">
        <v>43473</v>
      </c>
      <c r="B805" s="400">
        <v>1.6612355861578054E-2</v>
      </c>
      <c r="C805" s="401">
        <f t="shared" si="0"/>
        <v>0.86486486486486491</v>
      </c>
      <c r="D805" s="402">
        <f t="shared" ref="D805:F805" si="823">ROUNDDOWN($C805*D$2,0) - IF(MOD($C805*D$2,1)=0,1,0) + 1</f>
        <v>2</v>
      </c>
      <c r="E805" s="402">
        <f t="shared" si="823"/>
        <v>3</v>
      </c>
      <c r="F805" s="402">
        <f t="shared" si="823"/>
        <v>4</v>
      </c>
      <c r="G805" s="401">
        <f t="shared" si="3"/>
        <v>0</v>
      </c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spans="1:20" ht="15.75" customHeight="1">
      <c r="A806" s="399">
        <v>43474</v>
      </c>
      <c r="B806" s="400">
        <v>1.7143753999204758E-3</v>
      </c>
      <c r="C806" s="401">
        <f t="shared" si="0"/>
        <v>0.51112877583465821</v>
      </c>
      <c r="D806" s="402">
        <f t="shared" ref="D806:F806" si="824">ROUNDDOWN($C806*D$2,0) - IF(MOD($C806*D$2,1)=0,1,0) + 1</f>
        <v>2</v>
      </c>
      <c r="E806" s="402">
        <f t="shared" si="824"/>
        <v>2</v>
      </c>
      <c r="F806" s="402">
        <f t="shared" si="824"/>
        <v>3</v>
      </c>
      <c r="G806" s="401">
        <f t="shared" si="3"/>
        <v>0</v>
      </c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 spans="1:20" ht="15.75" customHeight="1">
      <c r="A807" s="399">
        <v>43475</v>
      </c>
      <c r="B807" s="400">
        <v>-1.9283846163117291E-3</v>
      </c>
      <c r="C807" s="401">
        <f t="shared" si="0"/>
        <v>0.38791732909379967</v>
      </c>
      <c r="D807" s="402">
        <f t="shared" ref="D807:F807" si="825">ROUNDDOWN($C807*D$2,0) - IF(MOD($C807*D$2,1)=0,1,0) + 1</f>
        <v>1</v>
      </c>
      <c r="E807" s="402">
        <f t="shared" si="825"/>
        <v>2</v>
      </c>
      <c r="F807" s="402">
        <f t="shared" si="825"/>
        <v>2</v>
      </c>
      <c r="G807" s="401">
        <f t="shared" si="3"/>
        <v>0</v>
      </c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 spans="1:20" ht="15.75" customHeight="1">
      <c r="A808" s="399">
        <v>43476</v>
      </c>
      <c r="B808" s="400">
        <v>-9.4552656048110251E-3</v>
      </c>
      <c r="C808" s="401">
        <f t="shared" si="0"/>
        <v>0.19316375198728139</v>
      </c>
      <c r="D808" s="402">
        <f t="shared" ref="D808:F808" si="826">ROUNDDOWN($C808*D$2,0) - IF(MOD($C808*D$2,1)=0,1,0) + 1</f>
        <v>1</v>
      </c>
      <c r="E808" s="402">
        <f t="shared" si="826"/>
        <v>1</v>
      </c>
      <c r="F808" s="402">
        <f t="shared" si="826"/>
        <v>1</v>
      </c>
      <c r="G808" s="401">
        <f t="shared" si="3"/>
        <v>0</v>
      </c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 spans="1:20" ht="15.75" customHeight="1">
      <c r="A809" s="399">
        <v>43479</v>
      </c>
      <c r="B809" s="400">
        <v>-1.4232944848100559E-2</v>
      </c>
      <c r="C809" s="401">
        <f t="shared" si="0"/>
        <v>0.13910969793322733</v>
      </c>
      <c r="D809" s="402">
        <f t="shared" ref="D809:F809" si="827">ROUNDDOWN($C809*D$2,0) - IF(MOD($C809*D$2,1)=0,1,0) + 1</f>
        <v>1</v>
      </c>
      <c r="E809" s="402">
        <f t="shared" si="827"/>
        <v>1</v>
      </c>
      <c r="F809" s="402">
        <f t="shared" si="827"/>
        <v>1</v>
      </c>
      <c r="G809" s="401">
        <f t="shared" si="3"/>
        <v>-1.4232944848100559E-2</v>
      </c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 spans="1:20" ht="15.75" customHeight="1">
      <c r="A810" s="399">
        <v>43480</v>
      </c>
      <c r="B810" s="400">
        <v>3.5462308543726451E-2</v>
      </c>
      <c r="C810" s="401">
        <f t="shared" si="0"/>
        <v>0.96502384737678859</v>
      </c>
      <c r="D810" s="402">
        <f t="shared" ref="D810:F810" si="828">ROUNDDOWN($C810*D$2,0) - IF(MOD($C810*D$2,1)=0,1,0) + 1</f>
        <v>2</v>
      </c>
      <c r="E810" s="402">
        <f t="shared" si="828"/>
        <v>3</v>
      </c>
      <c r="F810" s="402">
        <f t="shared" si="828"/>
        <v>4</v>
      </c>
      <c r="G810" s="401">
        <f t="shared" si="3"/>
        <v>3.5462308543726451E-2</v>
      </c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spans="1:20" ht="15.75" customHeight="1">
      <c r="A811" s="399">
        <v>43481</v>
      </c>
      <c r="B811" s="400">
        <v>5.5059239442003527E-3</v>
      </c>
      <c r="C811" s="401">
        <f t="shared" si="0"/>
        <v>0.61923688394276633</v>
      </c>
      <c r="D811" s="402">
        <f t="shared" ref="D811:F811" si="829">ROUNDDOWN($C811*D$2,0) - IF(MOD($C811*D$2,1)=0,1,0) + 1</f>
        <v>2</v>
      </c>
      <c r="E811" s="402">
        <f t="shared" si="829"/>
        <v>2</v>
      </c>
      <c r="F811" s="402">
        <f t="shared" si="829"/>
        <v>3</v>
      </c>
      <c r="G811" s="401">
        <f t="shared" si="3"/>
        <v>0</v>
      </c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spans="1:20" ht="15.75" customHeight="1">
      <c r="A812" s="399">
        <v>43482</v>
      </c>
      <c r="B812" s="400">
        <v>5.6064331444725113E-3</v>
      </c>
      <c r="C812" s="401">
        <f t="shared" si="0"/>
        <v>0.6216216216216216</v>
      </c>
      <c r="D812" s="402">
        <f t="shared" ref="D812:F812" si="830">ROUNDDOWN($C812*D$2,0) - IF(MOD($C812*D$2,1)=0,1,0) + 1</f>
        <v>2</v>
      </c>
      <c r="E812" s="402">
        <f t="shared" si="830"/>
        <v>2</v>
      </c>
      <c r="F812" s="402">
        <f t="shared" si="830"/>
        <v>3</v>
      </c>
      <c r="G812" s="401">
        <f t="shared" si="3"/>
        <v>0</v>
      </c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 spans="1:20" ht="15.75" customHeight="1">
      <c r="A813" s="399">
        <v>43483</v>
      </c>
      <c r="B813" s="400">
        <v>1.7599603123044094E-3</v>
      </c>
      <c r="C813" s="401">
        <f t="shared" si="0"/>
        <v>0.51351351351351349</v>
      </c>
      <c r="D813" s="402">
        <f t="shared" ref="D813:F813" si="831">ROUNDDOWN($C813*D$2,0) - IF(MOD($C813*D$2,1)=0,1,0) + 1</f>
        <v>2</v>
      </c>
      <c r="E813" s="402">
        <f t="shared" si="831"/>
        <v>2</v>
      </c>
      <c r="F813" s="402">
        <f t="shared" si="831"/>
        <v>3</v>
      </c>
      <c r="G813" s="401">
        <f t="shared" si="3"/>
        <v>0</v>
      </c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 spans="1:20" ht="15.75" customHeight="1">
      <c r="A814" s="399">
        <v>43486</v>
      </c>
      <c r="B814" s="400">
        <v>0</v>
      </c>
      <c r="C814" s="401">
        <f t="shared" si="0"/>
        <v>0.44316375198728142</v>
      </c>
      <c r="D814" s="402">
        <f t="shared" ref="D814:F814" si="832">ROUNDDOWN($C814*D$2,0) - IF(MOD($C814*D$2,1)=0,1,0) + 1</f>
        <v>1</v>
      </c>
      <c r="E814" s="402">
        <f t="shared" si="832"/>
        <v>2</v>
      </c>
      <c r="F814" s="402">
        <f t="shared" si="832"/>
        <v>2</v>
      </c>
      <c r="G814" s="401">
        <f t="shared" si="3"/>
        <v>0</v>
      </c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 spans="1:20" ht="15.75" customHeight="1">
      <c r="A815" s="399">
        <v>43487</v>
      </c>
      <c r="B815" s="400">
        <v>-3.7749086192665926E-2</v>
      </c>
      <c r="C815" s="401">
        <f t="shared" si="0"/>
        <v>3.1001589825119236E-2</v>
      </c>
      <c r="D815" s="402">
        <f t="shared" ref="D815:F815" si="833">ROUNDDOWN($C815*D$2,0) - IF(MOD($C815*D$2,1)=0,1,0) + 1</f>
        <v>1</v>
      </c>
      <c r="E815" s="402">
        <f t="shared" si="833"/>
        <v>1</v>
      </c>
      <c r="F815" s="402">
        <f t="shared" si="833"/>
        <v>1</v>
      </c>
      <c r="G815" s="401">
        <f t="shared" si="3"/>
        <v>0</v>
      </c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 spans="1:20" ht="15.75" customHeight="1">
      <c r="A816" s="399">
        <v>43488</v>
      </c>
      <c r="B816" s="400">
        <v>4.8095480250218703E-3</v>
      </c>
      <c r="C816" s="401">
        <f t="shared" si="0"/>
        <v>0.59936406995230529</v>
      </c>
      <c r="D816" s="402">
        <f t="shared" ref="D816:F816" si="834">ROUNDDOWN($C816*D$2,0) - IF(MOD($C816*D$2,1)=0,1,0) + 1</f>
        <v>2</v>
      </c>
      <c r="E816" s="402">
        <f t="shared" si="834"/>
        <v>2</v>
      </c>
      <c r="F816" s="402">
        <f t="shared" si="834"/>
        <v>3</v>
      </c>
      <c r="G816" s="401">
        <f t="shared" si="3"/>
        <v>4.8095480250218703E-3</v>
      </c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spans="1:20" ht="15.75" customHeight="1">
      <c r="A817" s="399">
        <v>43489</v>
      </c>
      <c r="B817" s="400">
        <v>9.0913525444811238E-3</v>
      </c>
      <c r="C817" s="401">
        <f t="shared" si="0"/>
        <v>0.71701112877583462</v>
      </c>
      <c r="D817" s="402">
        <f t="shared" ref="D817:F817" si="835">ROUNDDOWN($C817*D$2,0) - IF(MOD($C817*D$2,1)=0,1,0) + 1</f>
        <v>2</v>
      </c>
      <c r="E817" s="402">
        <f t="shared" si="835"/>
        <v>3</v>
      </c>
      <c r="F817" s="402">
        <f t="shared" si="835"/>
        <v>3</v>
      </c>
      <c r="G817" s="401">
        <f t="shared" si="3"/>
        <v>0</v>
      </c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 spans="1:20" ht="15.75" customHeight="1">
      <c r="A818" s="399">
        <v>43490</v>
      </c>
      <c r="B818" s="400">
        <v>9.4505507785827003E-3</v>
      </c>
      <c r="C818" s="401">
        <f t="shared" si="0"/>
        <v>0.72813990461049283</v>
      </c>
      <c r="D818" s="402">
        <f t="shared" ref="D818:F818" si="836">ROUNDDOWN($C818*D$2,0) - IF(MOD($C818*D$2,1)=0,1,0) + 1</f>
        <v>2</v>
      </c>
      <c r="E818" s="402">
        <f t="shared" si="836"/>
        <v>3</v>
      </c>
      <c r="F818" s="402">
        <f t="shared" si="836"/>
        <v>3</v>
      </c>
      <c r="G818" s="401">
        <f t="shared" si="3"/>
        <v>0</v>
      </c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spans="1:20" ht="15.75" customHeight="1">
      <c r="A819" s="399">
        <v>43493</v>
      </c>
      <c r="B819" s="400">
        <v>-1.9562185361882367E-2</v>
      </c>
      <c r="C819" s="401">
        <f t="shared" si="0"/>
        <v>9.2209856915739269E-2</v>
      </c>
      <c r="D819" s="402">
        <f t="shared" ref="D819:F819" si="837">ROUNDDOWN($C819*D$2,0) - IF(MOD($C819*D$2,1)=0,1,0) + 1</f>
        <v>1</v>
      </c>
      <c r="E819" s="402">
        <f t="shared" si="837"/>
        <v>1</v>
      </c>
      <c r="F819" s="402">
        <f t="shared" si="837"/>
        <v>1</v>
      </c>
      <c r="G819" s="401">
        <f t="shared" si="3"/>
        <v>0</v>
      </c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 spans="1:20" ht="15.75" customHeight="1">
      <c r="A820" s="399">
        <v>43494</v>
      </c>
      <c r="B820" s="400">
        <v>-2.6869936320509935E-2</v>
      </c>
      <c r="C820" s="401">
        <f t="shared" si="0"/>
        <v>5.8823529411764705E-2</v>
      </c>
      <c r="D820" s="402">
        <f t="shared" ref="D820:F820" si="838">ROUNDDOWN($C820*D$2,0) - IF(MOD($C820*D$2,1)=0,1,0) + 1</f>
        <v>1</v>
      </c>
      <c r="E820" s="402">
        <f t="shared" si="838"/>
        <v>1</v>
      </c>
      <c r="F820" s="402">
        <f t="shared" si="838"/>
        <v>1</v>
      </c>
      <c r="G820" s="401">
        <f t="shared" si="3"/>
        <v>-2.6869936320509935E-2</v>
      </c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 spans="1:20" ht="15.75" customHeight="1">
      <c r="A821" s="399">
        <v>43495</v>
      </c>
      <c r="B821" s="400">
        <v>4.802745501543404E-2</v>
      </c>
      <c r="C821" s="401">
        <f t="shared" si="0"/>
        <v>0.98489666136724963</v>
      </c>
      <c r="D821" s="402">
        <f t="shared" ref="D821:F821" si="839">ROUNDDOWN($C821*D$2,0) - IF(MOD($C821*D$2,1)=0,1,0) + 1</f>
        <v>2</v>
      </c>
      <c r="E821" s="402">
        <f t="shared" si="839"/>
        <v>3</v>
      </c>
      <c r="F821" s="402">
        <f t="shared" si="839"/>
        <v>4</v>
      </c>
      <c r="G821" s="401">
        <f t="shared" si="3"/>
        <v>4.802745501543404E-2</v>
      </c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 spans="1:20" ht="15.75" customHeight="1">
      <c r="A822" s="399">
        <v>43496</v>
      </c>
      <c r="B822" s="400">
        <v>2.8914710583502368E-2</v>
      </c>
      <c r="C822" s="401">
        <f t="shared" si="0"/>
        <v>0.94753577106518283</v>
      </c>
      <c r="D822" s="402">
        <f t="shared" ref="D822:F822" si="840">ROUNDDOWN($C822*D$2,0) - IF(MOD($C822*D$2,1)=0,1,0) + 1</f>
        <v>2</v>
      </c>
      <c r="E822" s="402">
        <f t="shared" si="840"/>
        <v>3</v>
      </c>
      <c r="F822" s="402">
        <f t="shared" si="840"/>
        <v>4</v>
      </c>
      <c r="G822" s="401">
        <f t="shared" si="3"/>
        <v>0</v>
      </c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 spans="1:20" ht="15.75" customHeight="1">
      <c r="A823" s="399">
        <v>43497</v>
      </c>
      <c r="B823" s="400">
        <v>-5.3818808073403002E-2</v>
      </c>
      <c r="C823" s="401">
        <f t="shared" si="0"/>
        <v>1.0333863275039745E-2</v>
      </c>
      <c r="D823" s="402">
        <f t="shared" ref="D823:F823" si="841">ROUNDDOWN($C823*D$2,0) - IF(MOD($C823*D$2,1)=0,1,0) + 1</f>
        <v>1</v>
      </c>
      <c r="E823" s="402">
        <f t="shared" si="841"/>
        <v>1</v>
      </c>
      <c r="F823" s="402">
        <f t="shared" si="841"/>
        <v>1</v>
      </c>
      <c r="G823" s="401">
        <f t="shared" si="3"/>
        <v>0</v>
      </c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 spans="1:20" ht="15.75" customHeight="1">
      <c r="A824" s="399">
        <v>43500</v>
      </c>
      <c r="B824" s="400">
        <v>4.3536277156366321E-3</v>
      </c>
      <c r="C824" s="401">
        <f t="shared" si="0"/>
        <v>0.58187599364069953</v>
      </c>
      <c r="D824" s="402">
        <f t="shared" ref="D824:F824" si="842">ROUNDDOWN($C824*D$2,0) - IF(MOD($C824*D$2,1)=0,1,0) + 1</f>
        <v>2</v>
      </c>
      <c r="E824" s="402">
        <f t="shared" si="842"/>
        <v>2</v>
      </c>
      <c r="F824" s="402">
        <f t="shared" si="842"/>
        <v>3</v>
      </c>
      <c r="G824" s="401">
        <f t="shared" si="3"/>
        <v>4.3536277156366321E-3</v>
      </c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 spans="1:20" ht="15.75" customHeight="1">
      <c r="A825" s="399">
        <v>43501</v>
      </c>
      <c r="B825" s="400">
        <v>1.5612467933215468E-2</v>
      </c>
      <c r="C825" s="401">
        <f t="shared" si="0"/>
        <v>0.85135135135135132</v>
      </c>
      <c r="D825" s="402">
        <f t="shared" ref="D825:F825" si="843">ROUNDDOWN($C825*D$2,0) - IF(MOD($C825*D$2,1)=0,1,0) + 1</f>
        <v>2</v>
      </c>
      <c r="E825" s="402">
        <f t="shared" si="843"/>
        <v>3</v>
      </c>
      <c r="F825" s="402">
        <f t="shared" si="843"/>
        <v>4</v>
      </c>
      <c r="G825" s="401">
        <f t="shared" si="3"/>
        <v>0</v>
      </c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 spans="1:20" ht="15.75" customHeight="1">
      <c r="A826" s="399">
        <v>43502</v>
      </c>
      <c r="B826" s="400">
        <v>-1.1182715320018577E-2</v>
      </c>
      <c r="C826" s="401">
        <f t="shared" si="0"/>
        <v>0.17647058823529413</v>
      </c>
      <c r="D826" s="402">
        <f t="shared" ref="D826:F826" si="844">ROUNDDOWN($C826*D$2,0) - IF(MOD($C826*D$2,1)=0,1,0) + 1</f>
        <v>1</v>
      </c>
      <c r="E826" s="402">
        <f t="shared" si="844"/>
        <v>1</v>
      </c>
      <c r="F826" s="402">
        <f t="shared" si="844"/>
        <v>1</v>
      </c>
      <c r="G826" s="401">
        <f t="shared" si="3"/>
        <v>0</v>
      </c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 spans="1:20" ht="15.75" customHeight="1">
      <c r="A827" s="399">
        <v>43503</v>
      </c>
      <c r="B827" s="400">
        <v>-1.5784083011230021E-2</v>
      </c>
      <c r="C827" s="401">
        <f t="shared" si="0"/>
        <v>0.12559618441971382</v>
      </c>
      <c r="D827" s="402">
        <f t="shared" ref="D827:F827" si="845">ROUNDDOWN($C827*D$2,0) - IF(MOD($C827*D$2,1)=0,1,0) + 1</f>
        <v>1</v>
      </c>
      <c r="E827" s="402">
        <f t="shared" si="845"/>
        <v>1</v>
      </c>
      <c r="F827" s="402">
        <f t="shared" si="845"/>
        <v>1</v>
      </c>
      <c r="G827" s="401">
        <f t="shared" si="3"/>
        <v>-1.5784083011230021E-2</v>
      </c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spans="1:20" ht="15.75" customHeight="1">
      <c r="A828" s="399">
        <v>43504</v>
      </c>
      <c r="B828" s="400">
        <v>-1.6198269293904E-2</v>
      </c>
      <c r="C828" s="401">
        <f t="shared" si="0"/>
        <v>0.12082670906200318</v>
      </c>
      <c r="D828" s="402">
        <f t="shared" ref="D828:F828" si="846">ROUNDDOWN($C828*D$2,0) - IF(MOD($C828*D$2,1)=0,1,0) + 1</f>
        <v>1</v>
      </c>
      <c r="E828" s="402">
        <f t="shared" si="846"/>
        <v>1</v>
      </c>
      <c r="F828" s="402">
        <f t="shared" si="846"/>
        <v>1</v>
      </c>
      <c r="G828" s="401">
        <f t="shared" si="3"/>
        <v>-1.6198269293904E-2</v>
      </c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spans="1:20" ht="15.75" customHeight="1">
      <c r="A829" s="399">
        <v>43507</v>
      </c>
      <c r="B829" s="400">
        <v>1.750387225951E-3</v>
      </c>
      <c r="C829" s="401">
        <f t="shared" si="0"/>
        <v>0.5127186009538951</v>
      </c>
      <c r="D829" s="402">
        <f t="shared" ref="D829:F829" si="847">ROUNDDOWN($C829*D$2,0) - IF(MOD($C829*D$2,1)=0,1,0) + 1</f>
        <v>2</v>
      </c>
      <c r="E829" s="402">
        <f t="shared" si="847"/>
        <v>2</v>
      </c>
      <c r="F829" s="402">
        <f t="shared" si="847"/>
        <v>3</v>
      </c>
      <c r="G829" s="401">
        <f t="shared" si="3"/>
        <v>1.750387225951E-3</v>
      </c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 spans="1:20" ht="15.75" customHeight="1">
      <c r="A830" s="399">
        <v>43508</v>
      </c>
      <c r="B830" s="400">
        <v>2.9547454431175346E-2</v>
      </c>
      <c r="C830" s="401">
        <f t="shared" si="0"/>
        <v>0.94992050874403811</v>
      </c>
      <c r="D830" s="402">
        <f t="shared" ref="D830:F830" si="848">ROUNDDOWN($C830*D$2,0) - IF(MOD($C830*D$2,1)=0,1,0) + 1</f>
        <v>2</v>
      </c>
      <c r="E830" s="402">
        <f t="shared" si="848"/>
        <v>3</v>
      </c>
      <c r="F830" s="402">
        <f t="shared" si="848"/>
        <v>4</v>
      </c>
      <c r="G830" s="401">
        <f t="shared" si="3"/>
        <v>0</v>
      </c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spans="1:20" ht="15.75" customHeight="1">
      <c r="A831" s="399">
        <v>43509</v>
      </c>
      <c r="B831" s="400">
        <v>1.214888797992586E-3</v>
      </c>
      <c r="C831" s="401">
        <f t="shared" si="0"/>
        <v>0.49125596184419712</v>
      </c>
      <c r="D831" s="402">
        <f t="shared" ref="D831:F831" si="849">ROUNDDOWN($C831*D$2,0) - IF(MOD($C831*D$2,1)=0,1,0) + 1</f>
        <v>1</v>
      </c>
      <c r="E831" s="402">
        <f t="shared" si="849"/>
        <v>2</v>
      </c>
      <c r="F831" s="402">
        <f t="shared" si="849"/>
        <v>2</v>
      </c>
      <c r="G831" s="401">
        <f t="shared" si="3"/>
        <v>0</v>
      </c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 spans="1:20" ht="15.75" customHeight="1">
      <c r="A832" s="399">
        <v>43510</v>
      </c>
      <c r="B832" s="400">
        <v>-1.0579268292682853E-2</v>
      </c>
      <c r="C832" s="401">
        <f t="shared" si="0"/>
        <v>0.18362480127186009</v>
      </c>
      <c r="D832" s="402">
        <f t="shared" ref="D832:F832" si="850">ROUNDDOWN($C832*D$2,0) - IF(MOD($C832*D$2,1)=0,1,0) + 1</f>
        <v>1</v>
      </c>
      <c r="E832" s="402">
        <f t="shared" si="850"/>
        <v>1</v>
      </c>
      <c r="F832" s="402">
        <f t="shared" si="850"/>
        <v>1</v>
      </c>
      <c r="G832" s="401">
        <f t="shared" si="3"/>
        <v>0</v>
      </c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spans="1:20" ht="15.75" customHeight="1">
      <c r="A833" s="399">
        <v>43511</v>
      </c>
      <c r="B833" s="400">
        <v>-9.0592549225033681E-3</v>
      </c>
      <c r="C833" s="401">
        <f t="shared" si="0"/>
        <v>0.20190779014308427</v>
      </c>
      <c r="D833" s="402">
        <f t="shared" ref="D833:F833" si="851">ROUNDDOWN($C833*D$2,0) - IF(MOD($C833*D$2,1)=0,1,0) + 1</f>
        <v>1</v>
      </c>
      <c r="E833" s="402">
        <f t="shared" si="851"/>
        <v>1</v>
      </c>
      <c r="F833" s="402">
        <f t="shared" si="851"/>
        <v>1</v>
      </c>
      <c r="G833" s="401">
        <f t="shared" si="3"/>
        <v>-9.0592549225033681E-3</v>
      </c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 spans="1:20" ht="15.75" customHeight="1">
      <c r="A834" s="399">
        <v>43514</v>
      </c>
      <c r="B834" s="400">
        <v>0</v>
      </c>
      <c r="C834" s="401">
        <f t="shared" si="0"/>
        <v>0.44316375198728142</v>
      </c>
      <c r="D834" s="402">
        <f t="shared" ref="D834:F834" si="852">ROUNDDOWN($C834*D$2,0) - IF(MOD($C834*D$2,1)=0,1,0) + 1</f>
        <v>1</v>
      </c>
      <c r="E834" s="402">
        <f t="shared" si="852"/>
        <v>2</v>
      </c>
      <c r="F834" s="402">
        <f t="shared" si="852"/>
        <v>2</v>
      </c>
      <c r="G834" s="401">
        <f t="shared" si="3"/>
        <v>0</v>
      </c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 spans="1:20" ht="15.75" customHeight="1">
      <c r="A835" s="399">
        <v>43515</v>
      </c>
      <c r="B835" s="400">
        <v>1.2208091047607228E-2</v>
      </c>
      <c r="C835" s="401">
        <f t="shared" si="0"/>
        <v>0.78696343402225755</v>
      </c>
      <c r="D835" s="402">
        <f t="shared" ref="D835:F835" si="853">ROUNDDOWN($C835*D$2,0) - IF(MOD($C835*D$2,1)=0,1,0) + 1</f>
        <v>2</v>
      </c>
      <c r="E835" s="402">
        <f t="shared" si="853"/>
        <v>3</v>
      </c>
      <c r="F835" s="402">
        <f t="shared" si="853"/>
        <v>4</v>
      </c>
      <c r="G835" s="401">
        <f t="shared" si="3"/>
        <v>0</v>
      </c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 spans="1:20" ht="15.75" customHeight="1">
      <c r="A836" s="399">
        <v>43516</v>
      </c>
      <c r="B836" s="400">
        <v>-3.3669619926516292E-3</v>
      </c>
      <c r="C836" s="401">
        <f t="shared" si="0"/>
        <v>0.35055643879173293</v>
      </c>
      <c r="D836" s="402">
        <f t="shared" ref="D836:F836" si="854">ROUNDDOWN($C836*D$2,0) - IF(MOD($C836*D$2,1)=0,1,0) + 1</f>
        <v>1</v>
      </c>
      <c r="E836" s="402">
        <f t="shared" si="854"/>
        <v>2</v>
      </c>
      <c r="F836" s="402">
        <f t="shared" si="854"/>
        <v>2</v>
      </c>
      <c r="G836" s="401">
        <f t="shared" si="3"/>
        <v>0</v>
      </c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 spans="1:20" ht="15.75" customHeight="1">
      <c r="A837" s="399">
        <v>43517</v>
      </c>
      <c r="B837" s="400">
        <v>-1.639849577707797E-3</v>
      </c>
      <c r="C837" s="401">
        <f t="shared" si="0"/>
        <v>0.39507154213036566</v>
      </c>
      <c r="D837" s="402">
        <f t="shared" ref="D837:F837" si="855">ROUNDDOWN($C837*D$2,0) - IF(MOD($C837*D$2,1)=0,1,0) + 1</f>
        <v>1</v>
      </c>
      <c r="E837" s="402">
        <f t="shared" si="855"/>
        <v>2</v>
      </c>
      <c r="F837" s="402">
        <f t="shared" si="855"/>
        <v>2</v>
      </c>
      <c r="G837" s="401">
        <f t="shared" si="3"/>
        <v>0</v>
      </c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 spans="1:20" ht="15.75" customHeight="1">
      <c r="A838" s="399">
        <v>43518</v>
      </c>
      <c r="B838" s="400">
        <v>7.4840685669119722E-3</v>
      </c>
      <c r="C838" s="401">
        <f t="shared" si="0"/>
        <v>0.67726550079491254</v>
      </c>
      <c r="D838" s="402">
        <f t="shared" ref="D838:F838" si="856">ROUNDDOWN($C838*D$2,0) - IF(MOD($C838*D$2,1)=0,1,0) + 1</f>
        <v>2</v>
      </c>
      <c r="E838" s="402">
        <f t="shared" si="856"/>
        <v>3</v>
      </c>
      <c r="F838" s="402">
        <f t="shared" si="856"/>
        <v>3</v>
      </c>
      <c r="G838" s="401">
        <f t="shared" si="3"/>
        <v>0</v>
      </c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 spans="1:20" ht="15.75" customHeight="1">
      <c r="A839" s="399">
        <v>43521</v>
      </c>
      <c r="B839" s="400">
        <v>8.8259089460396289E-4</v>
      </c>
      <c r="C839" s="401">
        <f t="shared" si="0"/>
        <v>0.47933227344992052</v>
      </c>
      <c r="D839" s="402">
        <f t="shared" ref="D839:F839" si="857">ROUNDDOWN($C839*D$2,0) - IF(MOD($C839*D$2,1)=0,1,0) + 1</f>
        <v>1</v>
      </c>
      <c r="E839" s="402">
        <f t="shared" si="857"/>
        <v>2</v>
      </c>
      <c r="F839" s="402">
        <f t="shared" si="857"/>
        <v>2</v>
      </c>
      <c r="G839" s="401">
        <f t="shared" si="3"/>
        <v>0</v>
      </c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 spans="1:20" ht="15.75" customHeight="1">
      <c r="A840" s="399">
        <v>43522</v>
      </c>
      <c r="B840" s="400">
        <v>2.0820575627680249E-3</v>
      </c>
      <c r="C840" s="401">
        <f t="shared" si="0"/>
        <v>0.52782193958664547</v>
      </c>
      <c r="D840" s="402">
        <f t="shared" ref="D840:F840" si="858">ROUNDDOWN($C840*D$2,0) - IF(MOD($C840*D$2,1)=0,1,0) + 1</f>
        <v>2</v>
      </c>
      <c r="E840" s="402">
        <f t="shared" si="858"/>
        <v>2</v>
      </c>
      <c r="F840" s="402">
        <f t="shared" si="858"/>
        <v>3</v>
      </c>
      <c r="G840" s="401">
        <f t="shared" si="3"/>
        <v>0</v>
      </c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 spans="1:20" ht="15.75" customHeight="1">
      <c r="A841" s="399">
        <v>43523</v>
      </c>
      <c r="B841" s="400">
        <v>2.8660474211683606E-3</v>
      </c>
      <c r="C841" s="401">
        <f t="shared" si="0"/>
        <v>0.54848966613672501</v>
      </c>
      <c r="D841" s="402">
        <f t="shared" ref="D841:F841" si="859">ROUNDDOWN($C841*D$2,0) - IF(MOD($C841*D$2,1)=0,1,0) + 1</f>
        <v>2</v>
      </c>
      <c r="E841" s="402">
        <f t="shared" si="859"/>
        <v>2</v>
      </c>
      <c r="F841" s="402">
        <f t="shared" si="859"/>
        <v>3</v>
      </c>
      <c r="G841" s="401">
        <f t="shared" si="3"/>
        <v>0</v>
      </c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 spans="1:20" ht="15.75" customHeight="1">
      <c r="A842" s="399">
        <v>43524</v>
      </c>
      <c r="B842" s="400">
        <v>-7.67782388534477E-4</v>
      </c>
      <c r="C842" s="401">
        <f t="shared" si="0"/>
        <v>0.42130365659777425</v>
      </c>
      <c r="D842" s="402">
        <f t="shared" ref="D842:F842" si="860">ROUNDDOWN($C842*D$2,0) - IF(MOD($C842*D$2,1)=0,1,0) + 1</f>
        <v>1</v>
      </c>
      <c r="E842" s="402">
        <f t="shared" si="860"/>
        <v>2</v>
      </c>
      <c r="F842" s="402">
        <f t="shared" si="860"/>
        <v>2</v>
      </c>
      <c r="G842" s="401">
        <f t="shared" si="3"/>
        <v>0</v>
      </c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 spans="1:20" ht="15.75" customHeight="1">
      <c r="A843" s="399">
        <v>43525</v>
      </c>
      <c r="B843" s="400">
        <v>1.9453236006171437E-2</v>
      </c>
      <c r="C843" s="401">
        <f t="shared" si="0"/>
        <v>0.89507154213036566</v>
      </c>
      <c r="D843" s="402">
        <f t="shared" ref="D843:F843" si="861">ROUNDDOWN($C843*D$2,0) - IF(MOD($C843*D$2,1)=0,1,0) + 1</f>
        <v>2</v>
      </c>
      <c r="E843" s="402">
        <f t="shared" si="861"/>
        <v>3</v>
      </c>
      <c r="F843" s="402">
        <f t="shared" si="861"/>
        <v>4</v>
      </c>
      <c r="G843" s="401">
        <f t="shared" si="3"/>
        <v>0</v>
      </c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 spans="1:20" ht="15.75" customHeight="1">
      <c r="A844" s="399">
        <v>43528</v>
      </c>
      <c r="B844" s="400">
        <v>1.4619585698647519E-2</v>
      </c>
      <c r="C844" s="401">
        <f t="shared" si="0"/>
        <v>0.83386327503974567</v>
      </c>
      <c r="D844" s="402">
        <f t="shared" ref="D844:F844" si="862">ROUNDDOWN($C844*D$2,0) - IF(MOD($C844*D$2,1)=0,1,0) + 1</f>
        <v>2</v>
      </c>
      <c r="E844" s="402">
        <f t="shared" si="862"/>
        <v>3</v>
      </c>
      <c r="F844" s="402">
        <f t="shared" si="862"/>
        <v>4</v>
      </c>
      <c r="G844" s="401">
        <f t="shared" si="3"/>
        <v>0</v>
      </c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 spans="1:20" ht="15.75" customHeight="1">
      <c r="A845" s="399">
        <v>43529</v>
      </c>
      <c r="B845" s="400">
        <v>-2.2049676624394943E-3</v>
      </c>
      <c r="C845" s="401">
        <f t="shared" si="0"/>
        <v>0.38155802861685217</v>
      </c>
      <c r="D845" s="402">
        <f t="shared" ref="D845:F845" si="863">ROUNDDOWN($C845*D$2,0) - IF(MOD($C845*D$2,1)=0,1,0) + 1</f>
        <v>1</v>
      </c>
      <c r="E845" s="402">
        <f t="shared" si="863"/>
        <v>2</v>
      </c>
      <c r="F845" s="402">
        <f t="shared" si="863"/>
        <v>2</v>
      </c>
      <c r="G845" s="401">
        <f t="shared" si="3"/>
        <v>0</v>
      </c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 spans="1:20" ht="15.75" customHeight="1">
      <c r="A846" s="399">
        <v>43530</v>
      </c>
      <c r="B846" s="400">
        <v>-1.387354277577213E-2</v>
      </c>
      <c r="C846" s="401">
        <f t="shared" si="0"/>
        <v>0.14228934817170111</v>
      </c>
      <c r="D846" s="402">
        <f t="shared" ref="D846:F846" si="864">ROUNDDOWN($C846*D$2,0) - IF(MOD($C846*D$2,1)=0,1,0) + 1</f>
        <v>1</v>
      </c>
      <c r="E846" s="402">
        <f t="shared" si="864"/>
        <v>1</v>
      </c>
      <c r="F846" s="402">
        <f t="shared" si="864"/>
        <v>1</v>
      </c>
      <c r="G846" s="401">
        <f t="shared" si="3"/>
        <v>0</v>
      </c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 spans="1:20" ht="15.75" customHeight="1">
      <c r="A847" s="399">
        <v>43531</v>
      </c>
      <c r="B847" s="400">
        <v>-2.5764702357769842E-2</v>
      </c>
      <c r="C847" s="401">
        <f t="shared" si="0"/>
        <v>6.2798092209856909E-2</v>
      </c>
      <c r="D847" s="402">
        <f t="shared" ref="D847:F847" si="865">ROUNDDOWN($C847*D$2,0) - IF(MOD($C847*D$2,1)=0,1,0) + 1</f>
        <v>1</v>
      </c>
      <c r="E847" s="402">
        <f t="shared" si="865"/>
        <v>1</v>
      </c>
      <c r="F847" s="402">
        <f t="shared" si="865"/>
        <v>1</v>
      </c>
      <c r="G847" s="401">
        <f t="shared" si="3"/>
        <v>-2.5764702357769842E-2</v>
      </c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 spans="1:20" ht="15.75" customHeight="1">
      <c r="A848" s="399">
        <v>43532</v>
      </c>
      <c r="B848" s="400">
        <v>-3.167379070697196E-3</v>
      </c>
      <c r="C848" s="401">
        <f t="shared" si="0"/>
        <v>0.35771065182829886</v>
      </c>
      <c r="D848" s="402">
        <f t="shared" ref="D848:F848" si="866">ROUNDDOWN($C848*D$2,0) - IF(MOD($C848*D$2,1)=0,1,0) + 1</f>
        <v>1</v>
      </c>
      <c r="E848" s="402">
        <f t="shared" si="866"/>
        <v>2</v>
      </c>
      <c r="F848" s="402">
        <f t="shared" si="866"/>
        <v>2</v>
      </c>
      <c r="G848" s="401">
        <f t="shared" si="3"/>
        <v>-3.167379070697196E-3</v>
      </c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spans="1:20" ht="15.75" customHeight="1">
      <c r="A849" s="399">
        <v>43535</v>
      </c>
      <c r="B849" s="400">
        <v>3.073790720631786E-2</v>
      </c>
      <c r="C849" s="401">
        <f t="shared" si="0"/>
        <v>0.95389507154213038</v>
      </c>
      <c r="D849" s="402">
        <f t="shared" ref="D849:F849" si="867">ROUNDDOWN($C849*D$2,0) - IF(MOD($C849*D$2,1)=0,1,0) + 1</f>
        <v>2</v>
      </c>
      <c r="E849" s="402">
        <f t="shared" si="867"/>
        <v>3</v>
      </c>
      <c r="F849" s="402">
        <f t="shared" si="867"/>
        <v>4</v>
      </c>
      <c r="G849" s="401">
        <f t="shared" si="3"/>
        <v>0</v>
      </c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 spans="1:20" ht="15.75" customHeight="1">
      <c r="A850" s="399">
        <v>43536</v>
      </c>
      <c r="B850" s="400">
        <v>1.4844788162478029E-3</v>
      </c>
      <c r="C850" s="401">
        <f t="shared" si="0"/>
        <v>0.50397456279809216</v>
      </c>
      <c r="D850" s="402">
        <f t="shared" ref="D850:F850" si="868">ROUNDDOWN($C850*D$2,0) - IF(MOD($C850*D$2,1)=0,1,0) + 1</f>
        <v>2</v>
      </c>
      <c r="E850" s="402">
        <f t="shared" si="868"/>
        <v>2</v>
      </c>
      <c r="F850" s="402">
        <f t="shared" si="868"/>
        <v>3</v>
      </c>
      <c r="G850" s="401">
        <f t="shared" si="3"/>
        <v>0</v>
      </c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 spans="1:20" ht="15.75" customHeight="1">
      <c r="A851" s="399">
        <v>43537</v>
      </c>
      <c r="B851" s="400">
        <v>1.0585141354372052E-2</v>
      </c>
      <c r="C851" s="401">
        <f t="shared" si="0"/>
        <v>0.74960254372019075</v>
      </c>
      <c r="D851" s="402">
        <f t="shared" ref="D851:F851" si="869">ROUNDDOWN($C851*D$2,0) - IF(MOD($C851*D$2,1)=0,1,0) + 1</f>
        <v>2</v>
      </c>
      <c r="E851" s="402">
        <f t="shared" si="869"/>
        <v>3</v>
      </c>
      <c r="F851" s="402">
        <f t="shared" si="869"/>
        <v>3</v>
      </c>
      <c r="G851" s="401">
        <f t="shared" si="3"/>
        <v>0</v>
      </c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 spans="1:20" ht="15.75" customHeight="1">
      <c r="A852" s="399">
        <v>43538</v>
      </c>
      <c r="B852" s="400">
        <v>-2.7146752148378139E-3</v>
      </c>
      <c r="C852" s="401">
        <f t="shared" si="0"/>
        <v>0.36883942766295708</v>
      </c>
      <c r="D852" s="402">
        <f t="shared" ref="D852:F852" si="870">ROUNDDOWN($C852*D$2,0) - IF(MOD($C852*D$2,1)=0,1,0) + 1</f>
        <v>1</v>
      </c>
      <c r="E852" s="402">
        <f t="shared" si="870"/>
        <v>2</v>
      </c>
      <c r="F852" s="402">
        <f t="shared" si="870"/>
        <v>2</v>
      </c>
      <c r="G852" s="401">
        <f t="shared" si="3"/>
        <v>0</v>
      </c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spans="1:20" ht="15.75" customHeight="1">
      <c r="A853" s="399">
        <v>43539</v>
      </c>
      <c r="B853" s="400">
        <v>1.5502129022310074E-2</v>
      </c>
      <c r="C853" s="401">
        <f t="shared" si="0"/>
        <v>0.84896661367249604</v>
      </c>
      <c r="D853" s="402">
        <f t="shared" ref="D853:F853" si="871">ROUNDDOWN($C853*D$2,0) - IF(MOD($C853*D$2,1)=0,1,0) + 1</f>
        <v>2</v>
      </c>
      <c r="E853" s="402">
        <f t="shared" si="871"/>
        <v>3</v>
      </c>
      <c r="F853" s="402">
        <f t="shared" si="871"/>
        <v>4</v>
      </c>
      <c r="G853" s="401">
        <f t="shared" si="3"/>
        <v>0</v>
      </c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spans="1:20" ht="15.75" customHeight="1">
      <c r="A854" s="399">
        <v>43542</v>
      </c>
      <c r="B854" s="400">
        <v>1.7397042677941732E-2</v>
      </c>
      <c r="C854" s="401">
        <f t="shared" si="0"/>
        <v>0.87360890302066774</v>
      </c>
      <c r="D854" s="402">
        <f t="shared" ref="D854:F854" si="872">ROUNDDOWN($C854*D$2,0) - IF(MOD($C854*D$2,1)=0,1,0) + 1</f>
        <v>2</v>
      </c>
      <c r="E854" s="402">
        <f t="shared" si="872"/>
        <v>3</v>
      </c>
      <c r="F854" s="402">
        <f t="shared" si="872"/>
        <v>4</v>
      </c>
      <c r="G854" s="401">
        <f t="shared" si="3"/>
        <v>0</v>
      </c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spans="1:20" ht="15.75" customHeight="1">
      <c r="A855" s="399">
        <v>43543</v>
      </c>
      <c r="B855" s="400">
        <v>1.1307866716413484E-2</v>
      </c>
      <c r="C855" s="401">
        <f t="shared" si="0"/>
        <v>0.77106518282988867</v>
      </c>
      <c r="D855" s="402">
        <f t="shared" ref="D855:F855" si="873">ROUNDDOWN($C855*D$2,0) - IF(MOD($C855*D$2,1)=0,1,0) + 1</f>
        <v>2</v>
      </c>
      <c r="E855" s="402">
        <f t="shared" si="873"/>
        <v>3</v>
      </c>
      <c r="F855" s="402">
        <f t="shared" si="873"/>
        <v>4</v>
      </c>
      <c r="G855" s="401">
        <f t="shared" si="3"/>
        <v>0</v>
      </c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 spans="1:20" ht="15.75" customHeight="1">
      <c r="A856" s="399">
        <v>43544</v>
      </c>
      <c r="B856" s="400">
        <v>2.010386809319753E-2</v>
      </c>
      <c r="C856" s="401">
        <f t="shared" si="0"/>
        <v>0.90063593004769471</v>
      </c>
      <c r="D856" s="402">
        <f t="shared" ref="D856:F856" si="874">ROUNDDOWN($C856*D$2,0) - IF(MOD($C856*D$2,1)=0,1,0) + 1</f>
        <v>2</v>
      </c>
      <c r="E856" s="402">
        <f t="shared" si="874"/>
        <v>3</v>
      </c>
      <c r="F856" s="402">
        <f t="shared" si="874"/>
        <v>4</v>
      </c>
      <c r="G856" s="401">
        <f t="shared" si="3"/>
        <v>0</v>
      </c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 spans="1:20" ht="15.75" customHeight="1">
      <c r="A857" s="399">
        <v>43545</v>
      </c>
      <c r="B857" s="400">
        <v>1.22352234221903E-2</v>
      </c>
      <c r="C857" s="401">
        <f t="shared" si="0"/>
        <v>0.78855325914149443</v>
      </c>
      <c r="D857" s="402">
        <f t="shared" ref="D857:F857" si="875">ROUNDDOWN($C857*D$2,0) - IF(MOD($C857*D$2,1)=0,1,0) + 1</f>
        <v>2</v>
      </c>
      <c r="E857" s="402">
        <f t="shared" si="875"/>
        <v>3</v>
      </c>
      <c r="F857" s="402">
        <f t="shared" si="875"/>
        <v>4</v>
      </c>
      <c r="G857" s="401">
        <f t="shared" si="3"/>
        <v>0</v>
      </c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spans="1:20" ht="15.75" customHeight="1">
      <c r="A858" s="399">
        <v>43546</v>
      </c>
      <c r="B858" s="400">
        <v>-2.9951738618998913E-2</v>
      </c>
      <c r="C858" s="401">
        <f t="shared" si="0"/>
        <v>4.9284578696343402E-2</v>
      </c>
      <c r="D858" s="402">
        <f t="shared" ref="D858:F858" si="876">ROUNDDOWN($C858*D$2,0) - IF(MOD($C858*D$2,1)=0,1,0) + 1</f>
        <v>1</v>
      </c>
      <c r="E858" s="402">
        <f t="shared" si="876"/>
        <v>1</v>
      </c>
      <c r="F858" s="402">
        <f t="shared" si="876"/>
        <v>1</v>
      </c>
      <c r="G858" s="401">
        <f t="shared" si="3"/>
        <v>0</v>
      </c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spans="1:20" ht="15.75" customHeight="1">
      <c r="A859" s="399">
        <v>43549</v>
      </c>
      <c r="B859" s="400">
        <v>5.3774712852099338E-3</v>
      </c>
      <c r="C859" s="401">
        <f t="shared" si="0"/>
        <v>0.61605723370429255</v>
      </c>
      <c r="D859" s="402">
        <f t="shared" ref="D859:F859" si="877">ROUNDDOWN($C859*D$2,0) - IF(MOD($C859*D$2,1)=0,1,0) + 1</f>
        <v>2</v>
      </c>
      <c r="E859" s="402">
        <f t="shared" si="877"/>
        <v>2</v>
      </c>
      <c r="F859" s="402">
        <f t="shared" si="877"/>
        <v>3</v>
      </c>
      <c r="G859" s="401">
        <f t="shared" si="3"/>
        <v>5.3774712852099338E-3</v>
      </c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spans="1:20" ht="15.75" customHeight="1">
      <c r="A860" s="399">
        <v>43550</v>
      </c>
      <c r="B860" s="400">
        <v>5.3543449099906493E-3</v>
      </c>
      <c r="C860" s="401">
        <f t="shared" si="0"/>
        <v>0.61446740858505566</v>
      </c>
      <c r="D860" s="402">
        <f t="shared" ref="D860:F860" si="878">ROUNDDOWN($C860*D$2,0) - IF(MOD($C860*D$2,1)=0,1,0) + 1</f>
        <v>2</v>
      </c>
      <c r="E860" s="402">
        <f t="shared" si="878"/>
        <v>2</v>
      </c>
      <c r="F860" s="402">
        <f t="shared" si="878"/>
        <v>3</v>
      </c>
      <c r="G860" s="401">
        <f t="shared" si="3"/>
        <v>0</v>
      </c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 spans="1:20" ht="15.75" customHeight="1">
      <c r="A861" s="399">
        <v>43551</v>
      </c>
      <c r="B861" s="400">
        <v>-1.0124680450284806E-2</v>
      </c>
      <c r="C861" s="401">
        <f t="shared" si="0"/>
        <v>0.18680445151033387</v>
      </c>
      <c r="D861" s="402">
        <f t="shared" ref="D861:F861" si="879">ROUNDDOWN($C861*D$2,0) - IF(MOD($C861*D$2,1)=0,1,0) + 1</f>
        <v>1</v>
      </c>
      <c r="E861" s="402">
        <f t="shared" si="879"/>
        <v>1</v>
      </c>
      <c r="F861" s="402">
        <f t="shared" si="879"/>
        <v>1</v>
      </c>
      <c r="G861" s="401">
        <f t="shared" si="3"/>
        <v>0</v>
      </c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 spans="1:20" ht="15.75" customHeight="1">
      <c r="A862" s="399">
        <v>43552</v>
      </c>
      <c r="B862" s="400">
        <v>4.3722036586055779E-3</v>
      </c>
      <c r="C862" s="401">
        <f t="shared" si="0"/>
        <v>0.58267090620031792</v>
      </c>
      <c r="D862" s="402">
        <f t="shared" ref="D862:F862" si="880">ROUNDDOWN($C862*D$2,0) - IF(MOD($C862*D$2,1)=0,1,0) + 1</f>
        <v>2</v>
      </c>
      <c r="E862" s="402">
        <f t="shared" si="880"/>
        <v>2</v>
      </c>
      <c r="F862" s="402">
        <f t="shared" si="880"/>
        <v>3</v>
      </c>
      <c r="G862" s="401">
        <f t="shared" si="3"/>
        <v>4.3722036586055779E-3</v>
      </c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 spans="1:20" ht="15.75" customHeight="1">
      <c r="A863" s="399">
        <v>43553</v>
      </c>
      <c r="B863" s="400">
        <v>4.1332566453518016E-3</v>
      </c>
      <c r="C863" s="401">
        <f t="shared" si="0"/>
        <v>0.57710651828298887</v>
      </c>
      <c r="D863" s="402">
        <f t="shared" ref="D863:F863" si="881">ROUNDDOWN($C863*D$2,0) - IF(MOD($C863*D$2,1)=0,1,0) + 1</f>
        <v>2</v>
      </c>
      <c r="E863" s="402">
        <f t="shared" si="881"/>
        <v>2</v>
      </c>
      <c r="F863" s="402">
        <f t="shared" si="881"/>
        <v>3</v>
      </c>
      <c r="G863" s="401">
        <f t="shared" si="3"/>
        <v>0</v>
      </c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 spans="1:20" ht="15.75" customHeight="1">
      <c r="A864" s="399">
        <v>43556</v>
      </c>
      <c r="B864" s="400">
        <v>1.8778604520567121E-2</v>
      </c>
      <c r="C864" s="401">
        <f t="shared" si="0"/>
        <v>0.88712241653418122</v>
      </c>
      <c r="D864" s="402">
        <f t="shared" ref="D864:F864" si="882">ROUNDDOWN($C864*D$2,0) - IF(MOD($C864*D$2,1)=0,1,0) + 1</f>
        <v>2</v>
      </c>
      <c r="E864" s="402">
        <f t="shared" si="882"/>
        <v>3</v>
      </c>
      <c r="F864" s="402">
        <f t="shared" si="882"/>
        <v>4</v>
      </c>
      <c r="G864" s="401">
        <f t="shared" si="3"/>
        <v>0</v>
      </c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 spans="1:20" ht="15.75" customHeight="1">
      <c r="A865" s="399">
        <v>43557</v>
      </c>
      <c r="B865" s="400">
        <v>-1.1575413821041103E-4</v>
      </c>
      <c r="C865" s="401">
        <f t="shared" si="0"/>
        <v>0.43799682034976151</v>
      </c>
      <c r="D865" s="402">
        <f t="shared" ref="D865:F865" si="883">ROUNDDOWN($C865*D$2,0) - IF(MOD($C865*D$2,1)=0,1,0) + 1</f>
        <v>1</v>
      </c>
      <c r="E865" s="402">
        <f t="shared" si="883"/>
        <v>2</v>
      </c>
      <c r="F865" s="402">
        <f t="shared" si="883"/>
        <v>2</v>
      </c>
      <c r="G865" s="401">
        <f t="shared" si="3"/>
        <v>0</v>
      </c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spans="1:20" ht="15.75" customHeight="1">
      <c r="A866" s="399">
        <v>43558</v>
      </c>
      <c r="B866" s="400">
        <v>3.704561241028026E-3</v>
      </c>
      <c r="C866" s="401">
        <f t="shared" si="0"/>
        <v>0.56915739268680443</v>
      </c>
      <c r="D866" s="402">
        <f t="shared" ref="D866:F866" si="884">ROUNDDOWN($C866*D$2,0) - IF(MOD($C866*D$2,1)=0,1,0) + 1</f>
        <v>2</v>
      </c>
      <c r="E866" s="402">
        <f t="shared" si="884"/>
        <v>2</v>
      </c>
      <c r="F866" s="402">
        <f t="shared" si="884"/>
        <v>3</v>
      </c>
      <c r="G866" s="401">
        <f t="shared" si="3"/>
        <v>0</v>
      </c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 spans="1:20" ht="15.75" customHeight="1">
      <c r="A867" s="399">
        <v>43559</v>
      </c>
      <c r="B867" s="400">
        <v>-1.0106003185589296E-3</v>
      </c>
      <c r="C867" s="401">
        <f t="shared" si="0"/>
        <v>0.41096979332273448</v>
      </c>
      <c r="D867" s="402">
        <f t="shared" ref="D867:F867" si="885">ROUNDDOWN($C867*D$2,0) - IF(MOD($C867*D$2,1)=0,1,0) + 1</f>
        <v>1</v>
      </c>
      <c r="E867" s="402">
        <f t="shared" si="885"/>
        <v>2</v>
      </c>
      <c r="F867" s="402">
        <f t="shared" si="885"/>
        <v>2</v>
      </c>
      <c r="G867" s="401">
        <f t="shared" si="3"/>
        <v>0</v>
      </c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spans="1:20" ht="15.75" customHeight="1">
      <c r="A868" s="399">
        <v>43560</v>
      </c>
      <c r="B868" s="400">
        <v>1.01272225459903E-2</v>
      </c>
      <c r="C868" s="401">
        <f t="shared" si="0"/>
        <v>0.74642289348171698</v>
      </c>
      <c r="D868" s="402">
        <f t="shared" ref="D868:F868" si="886">ROUNDDOWN($C868*D$2,0) - IF(MOD($C868*D$2,1)=0,1,0) + 1</f>
        <v>2</v>
      </c>
      <c r="E868" s="402">
        <f t="shared" si="886"/>
        <v>3</v>
      </c>
      <c r="F868" s="402">
        <f t="shared" si="886"/>
        <v>3</v>
      </c>
      <c r="G868" s="401">
        <f t="shared" si="3"/>
        <v>0</v>
      </c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spans="1:20" ht="15.75" customHeight="1">
      <c r="A869" s="399">
        <v>43563</v>
      </c>
      <c r="B869" s="400">
        <v>6.8470782896454807E-3</v>
      </c>
      <c r="C869" s="401">
        <f t="shared" si="0"/>
        <v>0.66057233704292528</v>
      </c>
      <c r="D869" s="402">
        <f t="shared" ref="D869:F869" si="887">ROUNDDOWN($C869*D$2,0) - IF(MOD($C869*D$2,1)=0,1,0) + 1</f>
        <v>2</v>
      </c>
      <c r="E869" s="402">
        <f t="shared" si="887"/>
        <v>2</v>
      </c>
      <c r="F869" s="402">
        <f t="shared" si="887"/>
        <v>3</v>
      </c>
      <c r="G869" s="401">
        <f t="shared" si="3"/>
        <v>0</v>
      </c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 spans="1:20" ht="15.75" customHeight="1">
      <c r="A870" s="399">
        <v>43564</v>
      </c>
      <c r="B870" s="400">
        <v>-7.5789519206859168E-3</v>
      </c>
      <c r="C870" s="401">
        <f t="shared" si="0"/>
        <v>0.2289348171701113</v>
      </c>
      <c r="D870" s="402">
        <f t="shared" ref="D870:F870" si="888">ROUNDDOWN($C870*D$2,0) - IF(MOD($C870*D$2,1)=0,1,0) + 1</f>
        <v>1</v>
      </c>
      <c r="E870" s="402">
        <f t="shared" si="888"/>
        <v>1</v>
      </c>
      <c r="F870" s="402">
        <f t="shared" si="888"/>
        <v>1</v>
      </c>
      <c r="G870" s="401">
        <f t="shared" si="3"/>
        <v>0</v>
      </c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 spans="1:20" ht="15.75" customHeight="1">
      <c r="A871" s="399">
        <v>43565</v>
      </c>
      <c r="B871" s="400">
        <v>6.2587153564581666E-3</v>
      </c>
      <c r="C871" s="401">
        <f t="shared" si="0"/>
        <v>0.63910969793322736</v>
      </c>
      <c r="D871" s="402">
        <f t="shared" ref="D871:F871" si="889">ROUNDDOWN($C871*D$2,0) - IF(MOD($C871*D$2,1)=0,1,0) + 1</f>
        <v>2</v>
      </c>
      <c r="E871" s="402">
        <f t="shared" si="889"/>
        <v>2</v>
      </c>
      <c r="F871" s="402">
        <f t="shared" si="889"/>
        <v>3</v>
      </c>
      <c r="G871" s="401">
        <f t="shared" si="3"/>
        <v>6.2587153564581666E-3</v>
      </c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spans="1:20" ht="15.75" customHeight="1">
      <c r="A872" s="399">
        <v>43566</v>
      </c>
      <c r="B872" s="400">
        <v>-1.7647090665988685E-3</v>
      </c>
      <c r="C872" s="401">
        <f t="shared" si="0"/>
        <v>0.39189189189189189</v>
      </c>
      <c r="D872" s="402">
        <f t="shared" ref="D872:F872" si="890">ROUNDDOWN($C872*D$2,0) - IF(MOD($C872*D$2,1)=0,1,0) + 1</f>
        <v>1</v>
      </c>
      <c r="E872" s="402">
        <f t="shared" si="890"/>
        <v>2</v>
      </c>
      <c r="F872" s="402">
        <f t="shared" si="890"/>
        <v>2</v>
      </c>
      <c r="G872" s="401">
        <f t="shared" si="3"/>
        <v>0</v>
      </c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spans="1:20" ht="15.75" customHeight="1">
      <c r="A873" s="399">
        <v>43567</v>
      </c>
      <c r="B873" s="400">
        <v>-5.4770155145955624E-4</v>
      </c>
      <c r="C873" s="401">
        <f t="shared" si="0"/>
        <v>0.42686804451510335</v>
      </c>
      <c r="D873" s="402">
        <f t="shared" ref="D873:F873" si="891">ROUNDDOWN($C873*D$2,0) - IF(MOD($C873*D$2,1)=0,1,0) + 1</f>
        <v>1</v>
      </c>
      <c r="E873" s="402">
        <f t="shared" si="891"/>
        <v>2</v>
      </c>
      <c r="F873" s="402">
        <f t="shared" si="891"/>
        <v>2</v>
      </c>
      <c r="G873" s="401">
        <f t="shared" si="3"/>
        <v>0</v>
      </c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spans="1:20" ht="15.75" customHeight="1">
      <c r="A874" s="399">
        <v>43570</v>
      </c>
      <c r="B874" s="400">
        <v>9.8206243963838702E-4</v>
      </c>
      <c r="C874" s="401">
        <f t="shared" si="0"/>
        <v>0.48489666136724963</v>
      </c>
      <c r="D874" s="402">
        <f t="shared" ref="D874:F874" si="892">ROUNDDOWN($C874*D$2,0) - IF(MOD($C874*D$2,1)=0,1,0) + 1</f>
        <v>1</v>
      </c>
      <c r="E874" s="402">
        <f t="shared" si="892"/>
        <v>2</v>
      </c>
      <c r="F874" s="402">
        <f t="shared" si="892"/>
        <v>2</v>
      </c>
      <c r="G874" s="401">
        <f t="shared" si="3"/>
        <v>0</v>
      </c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 spans="1:20" ht="15.75" customHeight="1">
      <c r="A875" s="399">
        <v>43571</v>
      </c>
      <c r="B875" s="400">
        <v>9.8489324451045412E-3</v>
      </c>
      <c r="C875" s="401">
        <f t="shared" si="0"/>
        <v>0.73926868044515104</v>
      </c>
      <c r="D875" s="402">
        <f t="shared" ref="D875:F875" si="893">ROUNDDOWN($C875*D$2,0) - IF(MOD($C875*D$2,1)=0,1,0) + 1</f>
        <v>2</v>
      </c>
      <c r="E875" s="402">
        <f t="shared" si="893"/>
        <v>3</v>
      </c>
      <c r="F875" s="402">
        <f t="shared" si="893"/>
        <v>3</v>
      </c>
      <c r="G875" s="401">
        <f t="shared" si="3"/>
        <v>0</v>
      </c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spans="1:20" ht="15.75" customHeight="1">
      <c r="A876" s="399">
        <v>43572</v>
      </c>
      <c r="B876" s="400">
        <v>9.554276880796575E-4</v>
      </c>
      <c r="C876" s="401">
        <f t="shared" si="0"/>
        <v>0.48330683624801274</v>
      </c>
      <c r="D876" s="402">
        <f t="shared" ref="D876:F876" si="894">ROUNDDOWN($C876*D$2,0) - IF(MOD($C876*D$2,1)=0,1,0) + 1</f>
        <v>1</v>
      </c>
      <c r="E876" s="402">
        <f t="shared" si="894"/>
        <v>2</v>
      </c>
      <c r="F876" s="402">
        <f t="shared" si="894"/>
        <v>2</v>
      </c>
      <c r="G876" s="401">
        <f t="shared" si="3"/>
        <v>0</v>
      </c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spans="1:20" ht="15.75" customHeight="1">
      <c r="A877" s="399">
        <v>43573</v>
      </c>
      <c r="B877" s="400">
        <v>-1.6784461771108816E-3</v>
      </c>
      <c r="C877" s="401">
        <f t="shared" si="0"/>
        <v>0.39427662957074722</v>
      </c>
      <c r="D877" s="402">
        <f t="shared" ref="D877:F877" si="895">ROUNDDOWN($C877*D$2,0) - IF(MOD($C877*D$2,1)=0,1,0) + 1</f>
        <v>1</v>
      </c>
      <c r="E877" s="402">
        <f t="shared" si="895"/>
        <v>2</v>
      </c>
      <c r="F877" s="402">
        <f t="shared" si="895"/>
        <v>2</v>
      </c>
      <c r="G877" s="401">
        <f t="shared" si="3"/>
        <v>0</v>
      </c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spans="1:20" ht="15.75" customHeight="1">
      <c r="A878" s="399">
        <v>43574</v>
      </c>
      <c r="B878" s="400">
        <v>0</v>
      </c>
      <c r="C878" s="401">
        <f t="shared" si="0"/>
        <v>0.44316375198728142</v>
      </c>
      <c r="D878" s="402">
        <f t="shared" ref="D878:F878" si="896">ROUNDDOWN($C878*D$2,0) - IF(MOD($C878*D$2,1)=0,1,0) + 1</f>
        <v>1</v>
      </c>
      <c r="E878" s="402">
        <f t="shared" si="896"/>
        <v>2</v>
      </c>
      <c r="F878" s="402">
        <f t="shared" si="896"/>
        <v>2</v>
      </c>
      <c r="G878" s="401">
        <f t="shared" si="3"/>
        <v>0</v>
      </c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 spans="1:20" ht="15.75" customHeight="1">
      <c r="A879" s="399">
        <v>43577</v>
      </c>
      <c r="B879" s="400">
        <v>1.376168964757829E-2</v>
      </c>
      <c r="C879" s="401">
        <f t="shared" si="0"/>
        <v>0.81717011128775829</v>
      </c>
      <c r="D879" s="402">
        <f t="shared" ref="D879:F879" si="897">ROUNDDOWN($C879*D$2,0) - IF(MOD($C879*D$2,1)=0,1,0) + 1</f>
        <v>2</v>
      </c>
      <c r="E879" s="402">
        <f t="shared" si="897"/>
        <v>3</v>
      </c>
      <c r="F879" s="402">
        <f t="shared" si="897"/>
        <v>4</v>
      </c>
      <c r="G879" s="401">
        <f t="shared" si="3"/>
        <v>0</v>
      </c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spans="1:20" ht="15.75" customHeight="1">
      <c r="A880" s="399">
        <v>43578</v>
      </c>
      <c r="B880" s="400">
        <v>1.9318500935193494E-2</v>
      </c>
      <c r="C880" s="401">
        <f t="shared" si="0"/>
        <v>0.89427662957074727</v>
      </c>
      <c r="D880" s="402">
        <f t="shared" ref="D880:F880" si="898">ROUNDDOWN($C880*D$2,0) - IF(MOD($C880*D$2,1)=0,1,0) + 1</f>
        <v>2</v>
      </c>
      <c r="E880" s="402">
        <f t="shared" si="898"/>
        <v>3</v>
      </c>
      <c r="F880" s="402">
        <f t="shared" si="898"/>
        <v>4</v>
      </c>
      <c r="G880" s="401">
        <f t="shared" si="3"/>
        <v>0</v>
      </c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spans="1:20" ht="15.75" customHeight="1">
      <c r="A881" s="399">
        <v>43579</v>
      </c>
      <c r="B881" s="400">
        <v>-1.1446274762575537E-2</v>
      </c>
      <c r="C881" s="401">
        <f t="shared" si="0"/>
        <v>0.1740858505564388</v>
      </c>
      <c r="D881" s="402">
        <f t="shared" ref="D881:F881" si="899">ROUNDDOWN($C881*D$2,0) - IF(MOD($C881*D$2,1)=0,1,0) + 1</f>
        <v>1</v>
      </c>
      <c r="E881" s="402">
        <f t="shared" si="899"/>
        <v>1</v>
      </c>
      <c r="F881" s="402">
        <f t="shared" si="899"/>
        <v>1</v>
      </c>
      <c r="G881" s="401">
        <f t="shared" si="3"/>
        <v>0</v>
      </c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spans="1:20" ht="15.75" customHeight="1">
      <c r="A882" s="399">
        <v>43580</v>
      </c>
      <c r="B882" s="400">
        <v>2.629157355067413E-4</v>
      </c>
      <c r="C882" s="401">
        <f t="shared" si="0"/>
        <v>0.4578696343402226</v>
      </c>
      <c r="D882" s="402">
        <f t="shared" ref="D882:F882" si="900">ROUNDDOWN($C882*D$2,0) - IF(MOD($C882*D$2,1)=0,1,0) + 1</f>
        <v>1</v>
      </c>
      <c r="E882" s="402">
        <f t="shared" si="900"/>
        <v>2</v>
      </c>
      <c r="F882" s="402">
        <f t="shared" si="900"/>
        <v>2</v>
      </c>
      <c r="G882" s="401">
        <f t="shared" si="3"/>
        <v>2.629157355067413E-4</v>
      </c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 spans="1:20" ht="15.75" customHeight="1">
      <c r="A883" s="399">
        <v>43581</v>
      </c>
      <c r="B883" s="400">
        <v>2.5433039821264325E-2</v>
      </c>
      <c r="C883" s="401">
        <f t="shared" si="0"/>
        <v>0.93004769475357707</v>
      </c>
      <c r="D883" s="402">
        <f t="shared" ref="D883:F883" si="901">ROUNDDOWN($C883*D$2,0) - IF(MOD($C883*D$2,1)=0,1,0) + 1</f>
        <v>2</v>
      </c>
      <c r="E883" s="402">
        <f t="shared" si="901"/>
        <v>3</v>
      </c>
      <c r="F883" s="402">
        <f t="shared" si="901"/>
        <v>4</v>
      </c>
      <c r="G883" s="401">
        <f t="shared" si="3"/>
        <v>0</v>
      </c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 spans="1:20" ht="15.75" customHeight="1">
      <c r="A884" s="399">
        <v>43584</v>
      </c>
      <c r="B884" s="400">
        <v>-6.2543896074601646E-3</v>
      </c>
      <c r="C884" s="401">
        <f t="shared" si="0"/>
        <v>0.26311605723370429</v>
      </c>
      <c r="D884" s="402">
        <f t="shared" ref="D884:F884" si="902">ROUNDDOWN($C884*D$2,0) - IF(MOD($C884*D$2,1)=0,1,0) + 1</f>
        <v>1</v>
      </c>
      <c r="E884" s="402">
        <f t="shared" si="902"/>
        <v>1</v>
      </c>
      <c r="F884" s="402">
        <f t="shared" si="902"/>
        <v>2</v>
      </c>
      <c r="G884" s="401">
        <f t="shared" si="3"/>
        <v>0</v>
      </c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 spans="1:20" ht="15.75" customHeight="1">
      <c r="A885" s="399">
        <v>43585</v>
      </c>
      <c r="B885" s="400">
        <v>-6.1441475833535764E-3</v>
      </c>
      <c r="C885" s="401">
        <f t="shared" si="0"/>
        <v>0.26629570747217807</v>
      </c>
      <c r="D885" s="402">
        <f t="shared" ref="D885:F885" si="903">ROUNDDOWN($C885*D$2,0) - IF(MOD($C885*D$2,1)=0,1,0) + 1</f>
        <v>1</v>
      </c>
      <c r="E885" s="402">
        <f t="shared" si="903"/>
        <v>1</v>
      </c>
      <c r="F885" s="402">
        <f t="shared" si="903"/>
        <v>2</v>
      </c>
      <c r="G885" s="401">
        <f t="shared" si="3"/>
        <v>0</v>
      </c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 spans="1:20" ht="15.75" customHeight="1">
      <c r="A886" s="399">
        <v>43586</v>
      </c>
      <c r="B886" s="400">
        <v>-7.7860598384652535E-3</v>
      </c>
      <c r="C886" s="401">
        <f t="shared" si="0"/>
        <v>0.22655007949125597</v>
      </c>
      <c r="D886" s="402">
        <f t="shared" ref="D886:F886" si="904">ROUNDDOWN($C886*D$2,0) - IF(MOD($C886*D$2,1)=0,1,0) + 1</f>
        <v>1</v>
      </c>
      <c r="E886" s="402">
        <f t="shared" si="904"/>
        <v>1</v>
      </c>
      <c r="F886" s="402">
        <f t="shared" si="904"/>
        <v>1</v>
      </c>
      <c r="G886" s="401">
        <f t="shared" si="3"/>
        <v>0</v>
      </c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 spans="1:20" ht="15.75" customHeight="1">
      <c r="A887" s="399">
        <v>43587</v>
      </c>
      <c r="B887" s="400">
        <v>-5.5976395747886487E-3</v>
      </c>
      <c r="C887" s="401">
        <f t="shared" si="0"/>
        <v>0.27662957074721778</v>
      </c>
      <c r="D887" s="402">
        <f t="shared" ref="D887:F887" si="905">ROUNDDOWN($C887*D$2,0) - IF(MOD($C887*D$2,1)=0,1,0) + 1</f>
        <v>1</v>
      </c>
      <c r="E887" s="402">
        <f t="shared" si="905"/>
        <v>1</v>
      </c>
      <c r="F887" s="402">
        <f t="shared" si="905"/>
        <v>2</v>
      </c>
      <c r="G887" s="401">
        <f t="shared" si="3"/>
        <v>-5.5976395747886487E-3</v>
      </c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 spans="1:20" ht="15.75" customHeight="1">
      <c r="A888" s="399">
        <v>43588</v>
      </c>
      <c r="B888" s="400">
        <v>3.2428109973590358E-2</v>
      </c>
      <c r="C888" s="401">
        <f t="shared" si="0"/>
        <v>0.95707472178060415</v>
      </c>
      <c r="D888" s="402">
        <f t="shared" ref="D888:F888" si="906">ROUNDDOWN($C888*D$2,0) - IF(MOD($C888*D$2,1)=0,1,0) + 1</f>
        <v>2</v>
      </c>
      <c r="E888" s="402">
        <f t="shared" si="906"/>
        <v>3</v>
      </c>
      <c r="F888" s="402">
        <f t="shared" si="906"/>
        <v>4</v>
      </c>
      <c r="G888" s="401">
        <f t="shared" si="3"/>
        <v>0</v>
      </c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 spans="1:20" ht="15.75" customHeight="1">
      <c r="A889" s="399">
        <v>43591</v>
      </c>
      <c r="B889" s="400">
        <v>-6.0689135065173927E-3</v>
      </c>
      <c r="C889" s="401">
        <f t="shared" si="0"/>
        <v>0.2686804451510334</v>
      </c>
      <c r="D889" s="402">
        <f t="shared" ref="D889:F889" si="907">ROUNDDOWN($C889*D$2,0) - IF(MOD($C889*D$2,1)=0,1,0) + 1</f>
        <v>1</v>
      </c>
      <c r="E889" s="402">
        <f t="shared" si="907"/>
        <v>1</v>
      </c>
      <c r="F889" s="402">
        <f t="shared" si="907"/>
        <v>2</v>
      </c>
      <c r="G889" s="401">
        <f t="shared" si="3"/>
        <v>0</v>
      </c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 spans="1:20" ht="15.75" customHeight="1">
      <c r="A890" s="399">
        <v>43592</v>
      </c>
      <c r="B890" s="400">
        <v>-1.5149573197303257E-2</v>
      </c>
      <c r="C890" s="401">
        <f t="shared" si="0"/>
        <v>0.13275039745627981</v>
      </c>
      <c r="D890" s="402">
        <f t="shared" ref="D890:F890" si="908">ROUNDDOWN($C890*D$2,0) - IF(MOD($C890*D$2,1)=0,1,0) + 1</f>
        <v>1</v>
      </c>
      <c r="E890" s="402">
        <f t="shared" si="908"/>
        <v>1</v>
      </c>
      <c r="F890" s="402">
        <f t="shared" si="908"/>
        <v>1</v>
      </c>
      <c r="G890" s="401">
        <f t="shared" si="3"/>
        <v>0</v>
      </c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 spans="1:20" ht="15.75" customHeight="1">
      <c r="A891" s="399">
        <v>43593</v>
      </c>
      <c r="B891" s="400">
        <v>-1.6814159292035669E-3</v>
      </c>
      <c r="C891" s="401">
        <f t="shared" si="0"/>
        <v>0.39348171701112877</v>
      </c>
      <c r="D891" s="402">
        <f t="shared" ref="D891:F891" si="909">ROUNDDOWN($C891*D$2,0) - IF(MOD($C891*D$2,1)=0,1,0) + 1</f>
        <v>1</v>
      </c>
      <c r="E891" s="402">
        <f t="shared" si="909"/>
        <v>2</v>
      </c>
      <c r="F891" s="402">
        <f t="shared" si="909"/>
        <v>2</v>
      </c>
      <c r="G891" s="401">
        <f t="shared" si="3"/>
        <v>-1.6814159292035669E-3</v>
      </c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 spans="1:20" ht="15.75" customHeight="1">
      <c r="A892" s="399">
        <v>43594</v>
      </c>
      <c r="B892" s="400">
        <v>-9.333757437023249E-3</v>
      </c>
      <c r="C892" s="401">
        <f t="shared" si="0"/>
        <v>0.19713831478537361</v>
      </c>
      <c r="D892" s="402">
        <f t="shared" ref="D892:F892" si="910">ROUNDDOWN($C892*D$2,0) - IF(MOD($C892*D$2,1)=0,1,0) + 1</f>
        <v>1</v>
      </c>
      <c r="E892" s="402">
        <f t="shared" si="910"/>
        <v>1</v>
      </c>
      <c r="F892" s="402">
        <f t="shared" si="910"/>
        <v>1</v>
      </c>
      <c r="G892" s="401">
        <f t="shared" si="3"/>
        <v>0</v>
      </c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 spans="1:20" ht="15.75" customHeight="1">
      <c r="A893" s="399">
        <v>43595</v>
      </c>
      <c r="B893" s="400">
        <v>-5.2056193318489319E-3</v>
      </c>
      <c r="C893" s="401">
        <f t="shared" si="0"/>
        <v>0.29014308426073132</v>
      </c>
      <c r="D893" s="402">
        <f t="shared" ref="D893:F893" si="911">ROUNDDOWN($C893*D$2,0) - IF(MOD($C893*D$2,1)=0,1,0) + 1</f>
        <v>1</v>
      </c>
      <c r="E893" s="402">
        <f t="shared" si="911"/>
        <v>1</v>
      </c>
      <c r="F893" s="402">
        <f t="shared" si="911"/>
        <v>2</v>
      </c>
      <c r="G893" s="401">
        <f t="shared" si="3"/>
        <v>-5.2056193318489319E-3</v>
      </c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 spans="1:20" ht="15.75" customHeight="1">
      <c r="A894" s="399">
        <v>43598</v>
      </c>
      <c r="B894" s="400">
        <v>-3.5608842421612885E-2</v>
      </c>
      <c r="C894" s="401">
        <f t="shared" si="0"/>
        <v>3.4181240063593007E-2</v>
      </c>
      <c r="D894" s="402">
        <f t="shared" ref="D894:F894" si="912">ROUNDDOWN($C894*D$2,0) - IF(MOD($C894*D$2,1)=0,1,0) + 1</f>
        <v>1</v>
      </c>
      <c r="E894" s="402">
        <f t="shared" si="912"/>
        <v>1</v>
      </c>
      <c r="F894" s="402">
        <f t="shared" si="912"/>
        <v>1</v>
      </c>
      <c r="G894" s="401">
        <f t="shared" si="3"/>
        <v>0</v>
      </c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 spans="1:20" ht="15.75" customHeight="1">
      <c r="A895" s="399">
        <v>43599</v>
      </c>
      <c r="B895" s="400">
        <v>9.5683279566352031E-3</v>
      </c>
      <c r="C895" s="401">
        <f t="shared" si="0"/>
        <v>0.73052464228934821</v>
      </c>
      <c r="D895" s="402">
        <f t="shared" ref="D895:F895" si="913">ROUNDDOWN($C895*D$2,0) - IF(MOD($C895*D$2,1)=0,1,0) + 1</f>
        <v>2</v>
      </c>
      <c r="E895" s="402">
        <f t="shared" si="913"/>
        <v>3</v>
      </c>
      <c r="F895" s="402">
        <f t="shared" si="913"/>
        <v>3</v>
      </c>
      <c r="G895" s="401">
        <f t="shared" si="3"/>
        <v>9.5683279566352031E-3</v>
      </c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 spans="1:20" ht="15.75" customHeight="1">
      <c r="A896" s="399">
        <v>43600</v>
      </c>
      <c r="B896" s="400">
        <v>1.686303067191286E-2</v>
      </c>
      <c r="C896" s="401">
        <f t="shared" si="0"/>
        <v>0.86724960254372019</v>
      </c>
      <c r="D896" s="402">
        <f t="shared" ref="D896:F896" si="914">ROUNDDOWN($C896*D$2,0) - IF(MOD($C896*D$2,1)=0,1,0) + 1</f>
        <v>2</v>
      </c>
      <c r="E896" s="402">
        <f t="shared" si="914"/>
        <v>3</v>
      </c>
      <c r="F896" s="402">
        <f t="shared" si="914"/>
        <v>4</v>
      </c>
      <c r="G896" s="401">
        <f t="shared" si="3"/>
        <v>0</v>
      </c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 spans="1:20" ht="15.75" customHeight="1">
      <c r="A897" s="399">
        <v>43601</v>
      </c>
      <c r="B897" s="400">
        <v>1.9463966010207612E-2</v>
      </c>
      <c r="C897" s="401">
        <f t="shared" si="0"/>
        <v>0.89586645468998405</v>
      </c>
      <c r="D897" s="402">
        <f t="shared" ref="D897:F897" si="915">ROUNDDOWN($C897*D$2,0) - IF(MOD($C897*D$2,1)=0,1,0) + 1</f>
        <v>2</v>
      </c>
      <c r="E897" s="402">
        <f t="shared" si="915"/>
        <v>3</v>
      </c>
      <c r="F897" s="402">
        <f t="shared" si="915"/>
        <v>4</v>
      </c>
      <c r="G897" s="401">
        <f t="shared" si="3"/>
        <v>0</v>
      </c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 spans="1:20" ht="15.75" customHeight="1">
      <c r="A898" s="399">
        <v>43602</v>
      </c>
      <c r="B898" s="400">
        <v>-2.0219441488385725E-2</v>
      </c>
      <c r="C898" s="401">
        <f t="shared" si="0"/>
        <v>8.9030206677265494E-2</v>
      </c>
      <c r="D898" s="402">
        <f t="shared" ref="D898:F898" si="916">ROUNDDOWN($C898*D$2,0) - IF(MOD($C898*D$2,1)=0,1,0) + 1</f>
        <v>1</v>
      </c>
      <c r="E898" s="402">
        <f t="shared" si="916"/>
        <v>1</v>
      </c>
      <c r="F898" s="402">
        <f t="shared" si="916"/>
        <v>1</v>
      </c>
      <c r="G898" s="401">
        <f t="shared" si="3"/>
        <v>0</v>
      </c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 spans="1:20" ht="15.75" customHeight="1">
      <c r="A899" s="399">
        <v>43605</v>
      </c>
      <c r="B899" s="400">
        <v>-5.3665061530230318E-3</v>
      </c>
      <c r="C899" s="401">
        <f t="shared" si="0"/>
        <v>0.28696343402225755</v>
      </c>
      <c r="D899" s="402">
        <f t="shared" ref="D899:F899" si="917">ROUNDDOWN($C899*D$2,0) - IF(MOD($C899*D$2,1)=0,1,0) + 1</f>
        <v>1</v>
      </c>
      <c r="E899" s="402">
        <f t="shared" si="917"/>
        <v>1</v>
      </c>
      <c r="F899" s="402">
        <f t="shared" si="917"/>
        <v>2</v>
      </c>
      <c r="G899" s="401">
        <f t="shared" si="3"/>
        <v>-5.3665061530230318E-3</v>
      </c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 spans="1:20" ht="15.75" customHeight="1">
      <c r="A900" s="399">
        <v>43606</v>
      </c>
      <c r="B900" s="400">
        <v>-7.8000182896986736E-4</v>
      </c>
      <c r="C900" s="401">
        <f t="shared" si="0"/>
        <v>0.4205087440381558</v>
      </c>
      <c r="D900" s="402">
        <f t="shared" ref="D900:F900" si="918">ROUNDDOWN($C900*D$2,0) - IF(MOD($C900*D$2,1)=0,1,0) + 1</f>
        <v>1</v>
      </c>
      <c r="E900" s="402">
        <f t="shared" si="918"/>
        <v>2</v>
      </c>
      <c r="F900" s="402">
        <f t="shared" si="918"/>
        <v>2</v>
      </c>
      <c r="G900" s="401">
        <f t="shared" si="3"/>
        <v>0</v>
      </c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 spans="1:20" ht="15.75" customHeight="1">
      <c r="A901" s="399">
        <v>43607</v>
      </c>
      <c r="B901" s="400">
        <v>1.1628407769499471E-3</v>
      </c>
      <c r="C901" s="401">
        <f t="shared" si="0"/>
        <v>0.48887122416534179</v>
      </c>
      <c r="D901" s="402">
        <f t="shared" ref="D901:F901" si="919">ROUNDDOWN($C901*D$2,0) - IF(MOD($C901*D$2,1)=0,1,0) + 1</f>
        <v>1</v>
      </c>
      <c r="E901" s="402">
        <f t="shared" si="919"/>
        <v>2</v>
      </c>
      <c r="F901" s="402">
        <f t="shared" si="919"/>
        <v>2</v>
      </c>
      <c r="G901" s="401">
        <f t="shared" si="3"/>
        <v>0</v>
      </c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 spans="1:20" ht="15.75" customHeight="1">
      <c r="A902" s="399">
        <v>43608</v>
      </c>
      <c r="B902" s="400">
        <v>-2.3767529897616768E-2</v>
      </c>
      <c r="C902" s="401">
        <f t="shared" si="0"/>
        <v>7.1542130365659776E-2</v>
      </c>
      <c r="D902" s="402">
        <f t="shared" ref="D902:F902" si="920">ROUNDDOWN($C902*D$2,0) - IF(MOD($C902*D$2,1)=0,1,0) + 1</f>
        <v>1</v>
      </c>
      <c r="E902" s="402">
        <f t="shared" si="920"/>
        <v>1</v>
      </c>
      <c r="F902" s="402">
        <f t="shared" si="920"/>
        <v>1</v>
      </c>
      <c r="G902" s="401">
        <f t="shared" si="3"/>
        <v>0</v>
      </c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spans="1:20" ht="15.75" customHeight="1">
      <c r="A903" s="399">
        <v>43609</v>
      </c>
      <c r="B903" s="400">
        <v>4.2963844272589924E-3</v>
      </c>
      <c r="C903" s="401">
        <f t="shared" si="0"/>
        <v>0.57949125596184414</v>
      </c>
      <c r="D903" s="402">
        <f t="shared" ref="D903:F903" si="921">ROUNDDOWN($C903*D$2,0) - IF(MOD($C903*D$2,1)=0,1,0) + 1</f>
        <v>2</v>
      </c>
      <c r="E903" s="402">
        <f t="shared" si="921"/>
        <v>2</v>
      </c>
      <c r="F903" s="402">
        <f t="shared" si="921"/>
        <v>3</v>
      </c>
      <c r="G903" s="401">
        <f t="shared" si="3"/>
        <v>4.2963844272589924E-3</v>
      </c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 spans="1:20" ht="15.75" customHeight="1">
      <c r="A904" s="399">
        <v>43612</v>
      </c>
      <c r="B904" s="400">
        <v>0</v>
      </c>
      <c r="C904" s="401">
        <f t="shared" si="0"/>
        <v>0.44316375198728142</v>
      </c>
      <c r="D904" s="402">
        <f t="shared" ref="D904:F904" si="922">ROUNDDOWN($C904*D$2,0) - IF(MOD($C904*D$2,1)=0,1,0) + 1</f>
        <v>1</v>
      </c>
      <c r="E904" s="402">
        <f t="shared" si="922"/>
        <v>2</v>
      </c>
      <c r="F904" s="402">
        <f t="shared" si="922"/>
        <v>2</v>
      </c>
      <c r="G904" s="401">
        <f t="shared" si="3"/>
        <v>0</v>
      </c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 spans="1:20" ht="15.75" customHeight="1">
      <c r="A905" s="399">
        <v>43613</v>
      </c>
      <c r="B905" s="400">
        <v>7.212276775920401E-3</v>
      </c>
      <c r="C905" s="401">
        <f t="shared" si="0"/>
        <v>0.66931637519872811</v>
      </c>
      <c r="D905" s="402">
        <f t="shared" ref="D905:F905" si="923">ROUNDDOWN($C905*D$2,0) - IF(MOD($C905*D$2,1)=0,1,0) + 1</f>
        <v>2</v>
      </c>
      <c r="E905" s="402">
        <f t="shared" si="923"/>
        <v>3</v>
      </c>
      <c r="F905" s="402">
        <f t="shared" si="923"/>
        <v>3</v>
      </c>
      <c r="G905" s="401">
        <f t="shared" si="3"/>
        <v>0</v>
      </c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 spans="1:20" ht="15.75" customHeight="1">
      <c r="A906" s="399">
        <v>43614</v>
      </c>
      <c r="B906" s="400">
        <v>-9.3877795505410422E-3</v>
      </c>
      <c r="C906" s="401">
        <f t="shared" si="0"/>
        <v>0.19554848966613672</v>
      </c>
      <c r="D906" s="402">
        <f t="shared" ref="D906:F906" si="924">ROUNDDOWN($C906*D$2,0) - IF(MOD($C906*D$2,1)=0,1,0) + 1</f>
        <v>1</v>
      </c>
      <c r="E906" s="402">
        <f t="shared" si="924"/>
        <v>1</v>
      </c>
      <c r="F906" s="402">
        <f t="shared" si="924"/>
        <v>1</v>
      </c>
      <c r="G906" s="401">
        <f t="shared" si="3"/>
        <v>0</v>
      </c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 spans="1:20" ht="15.75" customHeight="1">
      <c r="A907" s="399">
        <v>43615</v>
      </c>
      <c r="B907" s="400">
        <v>-1.5776252068229191E-3</v>
      </c>
      <c r="C907" s="401">
        <f t="shared" si="0"/>
        <v>0.39745627980922099</v>
      </c>
      <c r="D907" s="402">
        <f t="shared" ref="D907:F907" si="925">ROUNDDOWN($C907*D$2,0) - IF(MOD($C907*D$2,1)=0,1,0) + 1</f>
        <v>1</v>
      </c>
      <c r="E907" s="402">
        <f t="shared" si="925"/>
        <v>2</v>
      </c>
      <c r="F907" s="402">
        <f t="shared" si="925"/>
        <v>2</v>
      </c>
      <c r="G907" s="401">
        <f t="shared" si="3"/>
        <v>-1.5776252068229191E-3</v>
      </c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 spans="1:20" ht="15.75" customHeight="1">
      <c r="A908" s="399">
        <v>43616</v>
      </c>
      <c r="B908" s="400">
        <v>-2.2710755813953543E-2</v>
      </c>
      <c r="C908" s="401">
        <f t="shared" si="0"/>
        <v>7.5516693163751994E-2</v>
      </c>
      <c r="D908" s="402">
        <f t="shared" ref="D908:F908" si="926">ROUNDDOWN($C908*D$2,0) - IF(MOD($C908*D$2,1)=0,1,0) + 1</f>
        <v>1</v>
      </c>
      <c r="E908" s="402">
        <f t="shared" si="926"/>
        <v>1</v>
      </c>
      <c r="F908" s="402">
        <f t="shared" si="926"/>
        <v>1</v>
      </c>
      <c r="G908" s="401">
        <f t="shared" si="3"/>
        <v>0</v>
      </c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 spans="1:20" ht="15.75" customHeight="1">
      <c r="A909" s="399">
        <v>43619</v>
      </c>
      <c r="B909" s="400">
        <v>-4.6409437374300699E-2</v>
      </c>
      <c r="C909" s="401">
        <f t="shared" si="0"/>
        <v>1.6693163751987282E-2</v>
      </c>
      <c r="D909" s="402">
        <f t="shared" ref="D909:F909" si="927">ROUNDDOWN($C909*D$2,0) - IF(MOD($C909*D$2,1)=0,1,0) + 1</f>
        <v>1</v>
      </c>
      <c r="E909" s="402">
        <f t="shared" si="927"/>
        <v>1</v>
      </c>
      <c r="F909" s="402">
        <f t="shared" si="927"/>
        <v>1</v>
      </c>
      <c r="G909" s="401">
        <f t="shared" si="3"/>
        <v>-4.6409437374300699E-2</v>
      </c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 spans="1:20" ht="15.75" customHeight="1">
      <c r="A910" s="399">
        <v>43620</v>
      </c>
      <c r="B910" s="400">
        <v>2.1781897453166277E-2</v>
      </c>
      <c r="C910" s="401">
        <f t="shared" si="0"/>
        <v>0.91017488076311603</v>
      </c>
      <c r="D910" s="402">
        <f t="shared" ref="D910:F910" si="928">ROUNDDOWN($C910*D$2,0) - IF(MOD($C910*D$2,1)=0,1,0) + 1</f>
        <v>2</v>
      </c>
      <c r="E910" s="402">
        <f t="shared" si="928"/>
        <v>3</v>
      </c>
      <c r="F910" s="402">
        <f t="shared" si="928"/>
        <v>4</v>
      </c>
      <c r="G910" s="401">
        <f t="shared" si="3"/>
        <v>2.1781897453166277E-2</v>
      </c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 spans="1:20" ht="15.75" customHeight="1">
      <c r="A911" s="399">
        <v>43621</v>
      </c>
      <c r="B911" s="400">
        <v>5.1689447026990187E-3</v>
      </c>
      <c r="C911" s="401">
        <f t="shared" si="0"/>
        <v>0.609697933227345</v>
      </c>
      <c r="D911" s="402">
        <f t="shared" ref="D911:F911" si="929">ROUNDDOWN($C911*D$2,0) - IF(MOD($C911*D$2,1)=0,1,0) + 1</f>
        <v>2</v>
      </c>
      <c r="E911" s="402">
        <f t="shared" si="929"/>
        <v>2</v>
      </c>
      <c r="F911" s="402">
        <f t="shared" si="929"/>
        <v>3</v>
      </c>
      <c r="G911" s="401">
        <f t="shared" si="3"/>
        <v>0</v>
      </c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 spans="1:20" ht="15.75" customHeight="1">
      <c r="A912" s="399">
        <v>43622</v>
      </c>
      <c r="B912" s="400">
        <v>9.1228070175437548E-3</v>
      </c>
      <c r="C912" s="401">
        <f t="shared" si="0"/>
        <v>0.7186009538950715</v>
      </c>
      <c r="D912" s="402">
        <f t="shared" ref="D912:F912" si="930">ROUNDDOWN($C912*D$2,0) - IF(MOD($C912*D$2,1)=0,1,0) + 1</f>
        <v>2</v>
      </c>
      <c r="E912" s="402">
        <f t="shared" si="930"/>
        <v>3</v>
      </c>
      <c r="F912" s="402">
        <f t="shared" si="930"/>
        <v>3</v>
      </c>
      <c r="G912" s="401">
        <f t="shared" si="3"/>
        <v>0</v>
      </c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 spans="1:20" ht="15.75" customHeight="1">
      <c r="A913" s="399">
        <v>43623</v>
      </c>
      <c r="B913" s="400">
        <v>2.8312319022321564E-2</v>
      </c>
      <c r="C913" s="401">
        <f t="shared" si="0"/>
        <v>0.94515103338632755</v>
      </c>
      <c r="D913" s="402">
        <f t="shared" ref="D913:F913" si="931">ROUNDDOWN($C913*D$2,0) - IF(MOD($C913*D$2,1)=0,1,0) + 1</f>
        <v>2</v>
      </c>
      <c r="E913" s="402">
        <f t="shared" si="931"/>
        <v>3</v>
      </c>
      <c r="F913" s="402">
        <f t="shared" si="931"/>
        <v>4</v>
      </c>
      <c r="G913" s="401">
        <f t="shared" si="3"/>
        <v>0</v>
      </c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 spans="1:20" ht="15.75" customHeight="1">
      <c r="A914" s="399">
        <v>43626</v>
      </c>
      <c r="B914" s="400">
        <v>3.1374201094216847E-2</v>
      </c>
      <c r="C914" s="401">
        <f t="shared" si="0"/>
        <v>0.95548489666136727</v>
      </c>
      <c r="D914" s="402">
        <f t="shared" ref="D914:F914" si="932">ROUNDDOWN($C914*D$2,0) - IF(MOD($C914*D$2,1)=0,1,0) + 1</f>
        <v>2</v>
      </c>
      <c r="E914" s="402">
        <f t="shared" si="932"/>
        <v>3</v>
      </c>
      <c r="F914" s="402">
        <f t="shared" si="932"/>
        <v>4</v>
      </c>
      <c r="G914" s="401">
        <f t="shared" si="3"/>
        <v>0</v>
      </c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 spans="1:20" ht="15.75" customHeight="1">
      <c r="A915" s="399">
        <v>43627</v>
      </c>
      <c r="B915" s="400">
        <v>1.6499787706314439E-3</v>
      </c>
      <c r="C915" s="401">
        <f t="shared" si="0"/>
        <v>0.50794912559618444</v>
      </c>
      <c r="D915" s="402">
        <f t="shared" ref="D915:F915" si="933">ROUNDDOWN($C915*D$2,0) - IF(MOD($C915*D$2,1)=0,1,0) + 1</f>
        <v>2</v>
      </c>
      <c r="E915" s="402">
        <f t="shared" si="933"/>
        <v>2</v>
      </c>
      <c r="F915" s="402">
        <f t="shared" si="933"/>
        <v>3</v>
      </c>
      <c r="G915" s="401">
        <f t="shared" si="3"/>
        <v>0</v>
      </c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 spans="1:20" ht="15.75" customHeight="1">
      <c r="A916" s="399">
        <v>43628</v>
      </c>
      <c r="B916" s="400">
        <v>-4.4964318291571548E-3</v>
      </c>
      <c r="C916" s="401">
        <f t="shared" si="0"/>
        <v>0.31160572337042924</v>
      </c>
      <c r="D916" s="402">
        <f t="shared" ref="D916:F916" si="934">ROUNDDOWN($C916*D$2,0) - IF(MOD($C916*D$2,1)=0,1,0) + 1</f>
        <v>1</v>
      </c>
      <c r="E916" s="402">
        <f t="shared" si="934"/>
        <v>1</v>
      </c>
      <c r="F916" s="402">
        <f t="shared" si="934"/>
        <v>2</v>
      </c>
      <c r="G916" s="401">
        <f t="shared" si="3"/>
        <v>0</v>
      </c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 spans="1:20" ht="15.75" customHeight="1">
      <c r="A917" s="399">
        <v>43629</v>
      </c>
      <c r="B917" s="400">
        <v>8.074078865101475E-3</v>
      </c>
      <c r="C917" s="401">
        <f t="shared" si="0"/>
        <v>0.68918918918918914</v>
      </c>
      <c r="D917" s="402">
        <f t="shared" ref="D917:F917" si="935">ROUNDDOWN($C917*D$2,0) - IF(MOD($C917*D$2,1)=0,1,0) + 1</f>
        <v>2</v>
      </c>
      <c r="E917" s="402">
        <f t="shared" si="935"/>
        <v>3</v>
      </c>
      <c r="F917" s="402">
        <f t="shared" si="935"/>
        <v>3</v>
      </c>
      <c r="G917" s="401">
        <f t="shared" si="3"/>
        <v>0</v>
      </c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 spans="1:20" ht="15.75" customHeight="1">
      <c r="A918" s="399">
        <v>43630</v>
      </c>
      <c r="B918" s="400">
        <v>-3.3684435652026057E-4</v>
      </c>
      <c r="C918" s="401">
        <f t="shared" si="0"/>
        <v>0.43084260731319557</v>
      </c>
      <c r="D918" s="402">
        <f t="shared" ref="D918:F918" si="936">ROUNDDOWN($C918*D$2,0) - IF(MOD($C918*D$2,1)=0,1,0) + 1</f>
        <v>1</v>
      </c>
      <c r="E918" s="402">
        <f t="shared" si="936"/>
        <v>2</v>
      </c>
      <c r="F918" s="402">
        <f t="shared" si="936"/>
        <v>2</v>
      </c>
      <c r="G918" s="401">
        <f t="shared" si="3"/>
        <v>0</v>
      </c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spans="1:20" ht="15.75" customHeight="1">
      <c r="A919" s="399">
        <v>43633</v>
      </c>
      <c r="B919" s="400">
        <v>8.7502072558258703E-3</v>
      </c>
      <c r="C919" s="401">
        <f t="shared" si="0"/>
        <v>0.70826709062003179</v>
      </c>
      <c r="D919" s="402">
        <f t="shared" ref="D919:F919" si="937">ROUNDDOWN($C919*D$2,0) - IF(MOD($C919*D$2,1)=0,1,0) + 1</f>
        <v>2</v>
      </c>
      <c r="E919" s="402">
        <f t="shared" si="937"/>
        <v>3</v>
      </c>
      <c r="F919" s="402">
        <f t="shared" si="937"/>
        <v>3</v>
      </c>
      <c r="G919" s="401">
        <f t="shared" si="3"/>
        <v>0</v>
      </c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 spans="1:20" ht="15.75" customHeight="1">
      <c r="A920" s="399">
        <v>43634</v>
      </c>
      <c r="B920" s="400">
        <v>8.133486741992435E-3</v>
      </c>
      <c r="C920" s="401">
        <f t="shared" si="0"/>
        <v>0.69236883942766292</v>
      </c>
      <c r="D920" s="402">
        <f t="shared" ref="D920:F920" si="938">ROUNDDOWN($C920*D$2,0) - IF(MOD($C920*D$2,1)=0,1,0) + 1</f>
        <v>2</v>
      </c>
      <c r="E920" s="402">
        <f t="shared" si="938"/>
        <v>3</v>
      </c>
      <c r="F920" s="402">
        <f t="shared" si="938"/>
        <v>3</v>
      </c>
      <c r="G920" s="401">
        <f t="shared" si="3"/>
        <v>0</v>
      </c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 spans="1:20" ht="15.75" customHeight="1">
      <c r="A921" s="399">
        <v>43635</v>
      </c>
      <c r="B921" s="400">
        <v>3.9024492865671334E-3</v>
      </c>
      <c r="C921" s="401">
        <f t="shared" si="0"/>
        <v>0.57074721780604132</v>
      </c>
      <c r="D921" s="402">
        <f t="shared" ref="D921:F921" si="939">ROUNDDOWN($C921*D$2,0) - IF(MOD($C921*D$2,1)=0,1,0) + 1</f>
        <v>2</v>
      </c>
      <c r="E921" s="402">
        <f t="shared" si="939"/>
        <v>2</v>
      </c>
      <c r="F921" s="402">
        <f t="shared" si="939"/>
        <v>3</v>
      </c>
      <c r="G921" s="401">
        <f t="shared" si="3"/>
        <v>0</v>
      </c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 spans="1:20" ht="15.75" customHeight="1">
      <c r="A922" s="399">
        <v>43636</v>
      </c>
      <c r="B922" s="400">
        <v>4.9245857323225728E-3</v>
      </c>
      <c r="C922" s="401">
        <f t="shared" si="0"/>
        <v>0.60174880763116056</v>
      </c>
      <c r="D922" s="402">
        <f t="shared" ref="D922:F922" si="940">ROUNDDOWN($C922*D$2,0) - IF(MOD($C922*D$2,1)=0,1,0) + 1</f>
        <v>2</v>
      </c>
      <c r="E922" s="402">
        <f t="shared" si="940"/>
        <v>2</v>
      </c>
      <c r="F922" s="402">
        <f t="shared" si="940"/>
        <v>3</v>
      </c>
      <c r="G922" s="401">
        <f t="shared" si="3"/>
        <v>0</v>
      </c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 spans="1:20" ht="15.75" customHeight="1">
      <c r="A923" s="399">
        <v>43637</v>
      </c>
      <c r="B923" s="400">
        <v>-3.5919278069430627E-3</v>
      </c>
      <c r="C923" s="401">
        <f t="shared" si="0"/>
        <v>0.34578696343402227</v>
      </c>
      <c r="D923" s="402">
        <f t="shared" ref="D923:F923" si="941">ROUNDDOWN($C923*D$2,0) - IF(MOD($C923*D$2,1)=0,1,0) + 1</f>
        <v>1</v>
      </c>
      <c r="E923" s="402">
        <f t="shared" si="941"/>
        <v>2</v>
      </c>
      <c r="F923" s="402">
        <f t="shared" si="941"/>
        <v>2</v>
      </c>
      <c r="G923" s="401">
        <f t="shared" si="3"/>
        <v>0</v>
      </c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 spans="1:20" ht="15.75" customHeight="1">
      <c r="A924" s="399">
        <v>43640</v>
      </c>
      <c r="B924" s="400">
        <v>1.3603306649925262E-3</v>
      </c>
      <c r="C924" s="401">
        <f t="shared" si="0"/>
        <v>0.49761526232114467</v>
      </c>
      <c r="D924" s="402">
        <f t="shared" ref="D924:F924" si="942">ROUNDDOWN($C924*D$2,0) - IF(MOD($C924*D$2,1)=0,1,0) + 1</f>
        <v>1</v>
      </c>
      <c r="E924" s="402">
        <f t="shared" si="942"/>
        <v>2</v>
      </c>
      <c r="F924" s="402">
        <f t="shared" si="942"/>
        <v>2</v>
      </c>
      <c r="G924" s="401">
        <f t="shared" si="3"/>
        <v>0</v>
      </c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 spans="1:20" ht="15.75" customHeight="1">
      <c r="A925" s="399">
        <v>43641</v>
      </c>
      <c r="B925" s="400">
        <v>-1.8616437640420092E-2</v>
      </c>
      <c r="C925" s="401">
        <f t="shared" si="0"/>
        <v>9.6184419713831473E-2</v>
      </c>
      <c r="D925" s="402">
        <f t="shared" ref="D925:F925" si="943">ROUNDDOWN($C925*D$2,0) - IF(MOD($C925*D$2,1)=0,1,0) + 1</f>
        <v>1</v>
      </c>
      <c r="E925" s="402">
        <f t="shared" si="943"/>
        <v>1</v>
      </c>
      <c r="F925" s="402">
        <f t="shared" si="943"/>
        <v>1</v>
      </c>
      <c r="G925" s="401">
        <f t="shared" si="3"/>
        <v>0</v>
      </c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 spans="1:20" ht="15.75" customHeight="1">
      <c r="A926" s="399">
        <v>43642</v>
      </c>
      <c r="B926" s="400">
        <v>1.0413838266063902E-2</v>
      </c>
      <c r="C926" s="401">
        <f t="shared" si="0"/>
        <v>0.74801271860095386</v>
      </c>
      <c r="D926" s="402">
        <f t="shared" ref="D926:F926" si="944">ROUNDDOWN($C926*D$2,0) - IF(MOD($C926*D$2,1)=0,1,0) + 1</f>
        <v>2</v>
      </c>
      <c r="E926" s="402">
        <f t="shared" si="944"/>
        <v>3</v>
      </c>
      <c r="F926" s="402">
        <f t="shared" si="944"/>
        <v>3</v>
      </c>
      <c r="G926" s="401">
        <f t="shared" si="3"/>
        <v>1.0413838266063902E-2</v>
      </c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 spans="1:20" ht="15.75" customHeight="1">
      <c r="A927" s="399">
        <v>43643</v>
      </c>
      <c r="B927" s="400">
        <v>3.3986184220926585E-3</v>
      </c>
      <c r="C927" s="401">
        <f t="shared" si="0"/>
        <v>0.56041335453100161</v>
      </c>
      <c r="D927" s="402">
        <f t="shared" ref="D927:F927" si="945">ROUNDDOWN($C927*D$2,0) - IF(MOD($C927*D$2,1)=0,1,0) + 1</f>
        <v>2</v>
      </c>
      <c r="E927" s="402">
        <f t="shared" si="945"/>
        <v>2</v>
      </c>
      <c r="F927" s="402">
        <f t="shared" si="945"/>
        <v>3</v>
      </c>
      <c r="G927" s="401">
        <f t="shared" si="3"/>
        <v>0</v>
      </c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 spans="1:20" ht="15.75" customHeight="1">
      <c r="A928" s="399">
        <v>43644</v>
      </c>
      <c r="B928" s="400">
        <v>-5.5926649442308296E-3</v>
      </c>
      <c r="C928" s="401">
        <f t="shared" si="0"/>
        <v>0.27742448330683622</v>
      </c>
      <c r="D928" s="402">
        <f t="shared" ref="D928:F928" si="946">ROUNDDOWN($C928*D$2,0) - IF(MOD($C928*D$2,1)=0,1,0) + 1</f>
        <v>1</v>
      </c>
      <c r="E928" s="402">
        <f t="shared" si="946"/>
        <v>1</v>
      </c>
      <c r="F928" s="402">
        <f t="shared" si="946"/>
        <v>2</v>
      </c>
      <c r="G928" s="401">
        <f t="shared" si="3"/>
        <v>0</v>
      </c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 spans="1:20" ht="15.75" customHeight="1">
      <c r="A929" s="399">
        <v>43647</v>
      </c>
      <c r="B929" s="400">
        <v>1.5082143819014293E-2</v>
      </c>
      <c r="C929" s="401">
        <f t="shared" si="0"/>
        <v>0.84260731319554849</v>
      </c>
      <c r="D929" s="402">
        <f t="shared" ref="D929:F929" si="947">ROUNDDOWN($C929*D$2,0) - IF(MOD($C929*D$2,1)=0,1,0) + 1</f>
        <v>2</v>
      </c>
      <c r="E929" s="402">
        <f t="shared" si="947"/>
        <v>3</v>
      </c>
      <c r="F929" s="402">
        <f t="shared" si="947"/>
        <v>4</v>
      </c>
      <c r="G929" s="401">
        <f t="shared" si="3"/>
        <v>0</v>
      </c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 spans="1:20" ht="15.75" customHeight="1">
      <c r="A930" s="399">
        <v>43648</v>
      </c>
      <c r="B930" s="400">
        <v>6.3053080080532897E-3</v>
      </c>
      <c r="C930" s="401">
        <f t="shared" si="0"/>
        <v>0.63990461049284575</v>
      </c>
      <c r="D930" s="402">
        <f t="shared" ref="D930:F930" si="948">ROUNDDOWN($C930*D$2,0) - IF(MOD($C930*D$2,1)=0,1,0) + 1</f>
        <v>2</v>
      </c>
      <c r="E930" s="402">
        <f t="shared" si="948"/>
        <v>2</v>
      </c>
      <c r="F930" s="402">
        <f t="shared" si="948"/>
        <v>3</v>
      </c>
      <c r="G930" s="401">
        <f t="shared" si="3"/>
        <v>0</v>
      </c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 spans="1:20" ht="15.75" customHeight="1">
      <c r="A931" s="399">
        <v>43649</v>
      </c>
      <c r="B931" s="400">
        <v>2.4246372091341062E-3</v>
      </c>
      <c r="C931" s="401">
        <f t="shared" si="0"/>
        <v>0.53815580286168518</v>
      </c>
      <c r="D931" s="402">
        <f t="shared" ref="D931:F931" si="949">ROUNDDOWN($C931*D$2,0) - IF(MOD($C931*D$2,1)=0,1,0) + 1</f>
        <v>2</v>
      </c>
      <c r="E931" s="402">
        <f t="shared" si="949"/>
        <v>2</v>
      </c>
      <c r="F931" s="402">
        <f t="shared" si="949"/>
        <v>3</v>
      </c>
      <c r="G931" s="401">
        <f t="shared" si="3"/>
        <v>0</v>
      </c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 spans="1:20" ht="15.75" customHeight="1">
      <c r="A932" s="399">
        <v>43650</v>
      </c>
      <c r="B932" s="400">
        <v>0</v>
      </c>
      <c r="C932" s="401">
        <f t="shared" si="0"/>
        <v>0.44316375198728142</v>
      </c>
      <c r="D932" s="402">
        <f t="shared" ref="D932:F932" si="950">ROUNDDOWN($C932*D$2,0) - IF(MOD($C932*D$2,1)=0,1,0) + 1</f>
        <v>1</v>
      </c>
      <c r="E932" s="402">
        <f t="shared" si="950"/>
        <v>2</v>
      </c>
      <c r="F932" s="402">
        <f t="shared" si="950"/>
        <v>2</v>
      </c>
      <c r="G932" s="401">
        <f t="shared" si="3"/>
        <v>0</v>
      </c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 spans="1:20" ht="15.75" customHeight="1">
      <c r="A933" s="399">
        <v>43651</v>
      </c>
      <c r="B933" s="400">
        <v>2.0165033522434594E-3</v>
      </c>
      <c r="C933" s="401">
        <f t="shared" si="0"/>
        <v>0.5246422893481717</v>
      </c>
      <c r="D933" s="402">
        <f t="shared" ref="D933:F933" si="951">ROUNDDOWN($C933*D$2,0) - IF(MOD($C933*D$2,1)=0,1,0) + 1</f>
        <v>2</v>
      </c>
      <c r="E933" s="402">
        <f t="shared" si="951"/>
        <v>2</v>
      </c>
      <c r="F933" s="402">
        <f t="shared" si="951"/>
        <v>3</v>
      </c>
      <c r="G933" s="401">
        <f t="shared" si="3"/>
        <v>0</v>
      </c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 spans="1:20" ht="15.75" customHeight="1">
      <c r="A934" s="399">
        <v>43654</v>
      </c>
      <c r="B934" s="400">
        <v>4.8432505880353638E-3</v>
      </c>
      <c r="C934" s="401">
        <f t="shared" si="0"/>
        <v>0.60015898251192368</v>
      </c>
      <c r="D934" s="402">
        <f t="shared" ref="D934:F934" si="952">ROUNDDOWN($C934*D$2,0) - IF(MOD($C934*D$2,1)=0,1,0) + 1</f>
        <v>2</v>
      </c>
      <c r="E934" s="402">
        <f t="shared" si="952"/>
        <v>2</v>
      </c>
      <c r="F934" s="402">
        <f t="shared" si="952"/>
        <v>3</v>
      </c>
      <c r="G934" s="401">
        <f t="shared" si="3"/>
        <v>0</v>
      </c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 spans="1:20" ht="15.75" customHeight="1">
      <c r="A935" s="399">
        <v>43655</v>
      </c>
      <c r="B935" s="400">
        <v>1.8429355843304407E-2</v>
      </c>
      <c r="C935" s="401">
        <f t="shared" si="0"/>
        <v>0.88155802861685217</v>
      </c>
      <c r="D935" s="402">
        <f t="shared" ref="D935:F935" si="953">ROUNDDOWN($C935*D$2,0) - IF(MOD($C935*D$2,1)=0,1,0) + 1</f>
        <v>2</v>
      </c>
      <c r="E935" s="402">
        <f t="shared" si="953"/>
        <v>3</v>
      </c>
      <c r="F935" s="402">
        <f t="shared" si="953"/>
        <v>4</v>
      </c>
      <c r="G935" s="401">
        <f t="shared" si="3"/>
        <v>0</v>
      </c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 spans="1:20" ht="15.75" customHeight="1">
      <c r="A936" s="399">
        <v>43656</v>
      </c>
      <c r="B936" s="400">
        <v>1.4640647789569083E-2</v>
      </c>
      <c r="C936" s="401">
        <f t="shared" si="0"/>
        <v>0.83783783783783783</v>
      </c>
      <c r="D936" s="402">
        <f t="shared" ref="D936:F936" si="954">ROUNDDOWN($C936*D$2,0) - IF(MOD($C936*D$2,1)=0,1,0) + 1</f>
        <v>2</v>
      </c>
      <c r="E936" s="402">
        <f t="shared" si="954"/>
        <v>3</v>
      </c>
      <c r="F936" s="402">
        <f t="shared" si="954"/>
        <v>4</v>
      </c>
      <c r="G936" s="401">
        <f t="shared" si="3"/>
        <v>0</v>
      </c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 spans="1:20" ht="15.75" customHeight="1">
      <c r="A937" s="399">
        <v>43657</v>
      </c>
      <c r="B937" s="400">
        <v>-8.0994939055522019E-3</v>
      </c>
      <c r="C937" s="401">
        <f t="shared" si="0"/>
        <v>0.21939586645468998</v>
      </c>
      <c r="D937" s="402">
        <f t="shared" ref="D937:F937" si="955">ROUNDDOWN($C937*D$2,0) - IF(MOD($C937*D$2,1)=0,1,0) + 1</f>
        <v>1</v>
      </c>
      <c r="E937" s="402">
        <f t="shared" si="955"/>
        <v>1</v>
      </c>
      <c r="F937" s="402">
        <f t="shared" si="955"/>
        <v>1</v>
      </c>
      <c r="G937" s="401">
        <f t="shared" si="3"/>
        <v>0</v>
      </c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 spans="1:20" ht="15.75" customHeight="1">
      <c r="A938" s="399">
        <v>43658</v>
      </c>
      <c r="B938" s="400">
        <v>4.9623451453473244E-3</v>
      </c>
      <c r="C938" s="401">
        <f t="shared" si="0"/>
        <v>0.60254372019077906</v>
      </c>
      <c r="D938" s="402">
        <f t="shared" ref="D938:F938" si="956">ROUNDDOWN($C938*D$2,0) - IF(MOD($C938*D$2,1)=0,1,0) + 1</f>
        <v>2</v>
      </c>
      <c r="E938" s="402">
        <f t="shared" si="956"/>
        <v>2</v>
      </c>
      <c r="F938" s="402">
        <f t="shared" si="956"/>
        <v>3</v>
      </c>
      <c r="G938" s="401">
        <f t="shared" si="3"/>
        <v>4.9623451453473244E-3</v>
      </c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 spans="1:20" ht="15.75" customHeight="1">
      <c r="A939" s="399">
        <v>43661</v>
      </c>
      <c r="B939" s="400">
        <v>4.9676777722527099E-3</v>
      </c>
      <c r="C939" s="401">
        <f t="shared" si="0"/>
        <v>0.60333863275039745</v>
      </c>
      <c r="D939" s="402">
        <f t="shared" ref="D939:F939" si="957">ROUNDDOWN($C939*D$2,0) - IF(MOD($C939*D$2,1)=0,1,0) + 1</f>
        <v>2</v>
      </c>
      <c r="E939" s="402">
        <f t="shared" si="957"/>
        <v>2</v>
      </c>
      <c r="F939" s="402">
        <f t="shared" si="957"/>
        <v>3</v>
      </c>
      <c r="G939" s="401">
        <f t="shared" si="3"/>
        <v>0</v>
      </c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 spans="1:20" ht="15.75" customHeight="1">
      <c r="A940" s="399">
        <v>43662</v>
      </c>
      <c r="B940" s="400">
        <v>-5.4874096358714652E-3</v>
      </c>
      <c r="C940" s="401">
        <f t="shared" si="0"/>
        <v>0.28219395866454688</v>
      </c>
      <c r="D940" s="402">
        <f t="shared" ref="D940:F940" si="958">ROUNDDOWN($C940*D$2,0) - IF(MOD($C940*D$2,1)=0,1,0) + 1</f>
        <v>1</v>
      </c>
      <c r="E940" s="402">
        <f t="shared" si="958"/>
        <v>1</v>
      </c>
      <c r="F940" s="402">
        <f t="shared" si="958"/>
        <v>2</v>
      </c>
      <c r="G940" s="401">
        <f t="shared" si="3"/>
        <v>0</v>
      </c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 spans="1:20" ht="15.75" customHeight="1">
      <c r="A941" s="399">
        <v>43663</v>
      </c>
      <c r="B941" s="400">
        <v>-8.8909896014727208E-3</v>
      </c>
      <c r="C941" s="401">
        <f t="shared" si="0"/>
        <v>0.2066772655007949</v>
      </c>
      <c r="D941" s="402">
        <f t="shared" ref="D941:F941" si="959">ROUNDDOWN($C941*D$2,0) - IF(MOD($C941*D$2,1)=0,1,0) + 1</f>
        <v>1</v>
      </c>
      <c r="E941" s="402">
        <f t="shared" si="959"/>
        <v>1</v>
      </c>
      <c r="F941" s="402">
        <f t="shared" si="959"/>
        <v>1</v>
      </c>
      <c r="G941" s="401">
        <f t="shared" si="3"/>
        <v>0</v>
      </c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 spans="1:20" ht="15.75" customHeight="1">
      <c r="A942" s="399">
        <v>43664</v>
      </c>
      <c r="B942" s="400">
        <v>-7.093266667670628E-3</v>
      </c>
      <c r="C942" s="401">
        <f t="shared" si="0"/>
        <v>0.24165341812400637</v>
      </c>
      <c r="D942" s="402">
        <f t="shared" ref="D942:F942" si="960">ROUNDDOWN($C942*D$2,0) - IF(MOD($C942*D$2,1)=0,1,0) + 1</f>
        <v>1</v>
      </c>
      <c r="E942" s="402">
        <f t="shared" si="960"/>
        <v>1</v>
      </c>
      <c r="F942" s="402">
        <f t="shared" si="960"/>
        <v>1</v>
      </c>
      <c r="G942" s="401">
        <f t="shared" si="3"/>
        <v>-7.093266667670628E-3</v>
      </c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 spans="1:20" ht="15.75" customHeight="1">
      <c r="A943" s="399">
        <v>43665</v>
      </c>
      <c r="B943" s="400">
        <v>-6.7647504929471136E-3</v>
      </c>
      <c r="C943" s="401">
        <f t="shared" si="0"/>
        <v>0.24880763116057233</v>
      </c>
      <c r="D943" s="402">
        <f t="shared" ref="D943:F943" si="961">ROUNDDOWN($C943*D$2,0) - IF(MOD($C943*D$2,1)=0,1,0) + 1</f>
        <v>1</v>
      </c>
      <c r="E943" s="402">
        <f t="shared" si="961"/>
        <v>1</v>
      </c>
      <c r="F943" s="402">
        <f t="shared" si="961"/>
        <v>1</v>
      </c>
      <c r="G943" s="401">
        <f t="shared" si="3"/>
        <v>-6.7647504929471136E-3</v>
      </c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 spans="1:20" ht="15.75" customHeight="1">
      <c r="A944" s="399">
        <v>43668</v>
      </c>
      <c r="B944" s="400">
        <v>1.0745627430619242E-2</v>
      </c>
      <c r="C944" s="401">
        <f t="shared" si="0"/>
        <v>0.75357710651828302</v>
      </c>
      <c r="D944" s="402">
        <f t="shared" ref="D944:F944" si="962">ROUNDDOWN($C944*D$2,0) - IF(MOD($C944*D$2,1)=0,1,0) + 1</f>
        <v>2</v>
      </c>
      <c r="E944" s="402">
        <f t="shared" si="962"/>
        <v>3</v>
      </c>
      <c r="F944" s="402">
        <f t="shared" si="962"/>
        <v>4</v>
      </c>
      <c r="G944" s="401">
        <f t="shared" si="3"/>
        <v>1.0745627430619242E-2</v>
      </c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 spans="1:20" ht="15.75" customHeight="1">
      <c r="A945" s="399">
        <v>43669</v>
      </c>
      <c r="B945" s="400">
        <v>4.4620599003841743E-3</v>
      </c>
      <c r="C945" s="401">
        <f t="shared" si="0"/>
        <v>0.58585055643879169</v>
      </c>
      <c r="D945" s="402">
        <f t="shared" ref="D945:F945" si="963">ROUNDDOWN($C945*D$2,0) - IF(MOD($C945*D$2,1)=0,1,0) + 1</f>
        <v>2</v>
      </c>
      <c r="E945" s="402">
        <f t="shared" si="963"/>
        <v>2</v>
      </c>
      <c r="F945" s="402">
        <f t="shared" si="963"/>
        <v>3</v>
      </c>
      <c r="G945" s="401">
        <f t="shared" si="3"/>
        <v>0</v>
      </c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 spans="1:20" ht="15.75" customHeight="1">
      <c r="A946" s="399">
        <v>43670</v>
      </c>
      <c r="B946" s="400">
        <v>3.168729850738794E-3</v>
      </c>
      <c r="C946" s="401">
        <f t="shared" si="0"/>
        <v>0.55564387917329094</v>
      </c>
      <c r="D946" s="402">
        <f t="shared" ref="D946:F946" si="964">ROUNDDOWN($C946*D$2,0) - IF(MOD($C946*D$2,1)=0,1,0) + 1</f>
        <v>2</v>
      </c>
      <c r="E946" s="402">
        <f t="shared" si="964"/>
        <v>2</v>
      </c>
      <c r="F946" s="402">
        <f t="shared" si="964"/>
        <v>3</v>
      </c>
      <c r="G946" s="401">
        <f t="shared" si="3"/>
        <v>0</v>
      </c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 spans="1:20" ht="15.75" customHeight="1">
      <c r="A947" s="399">
        <v>43671</v>
      </c>
      <c r="B947" s="400">
        <v>-1.3489536737621322E-2</v>
      </c>
      <c r="C947" s="401">
        <f t="shared" si="0"/>
        <v>0.14705882352941177</v>
      </c>
      <c r="D947" s="402">
        <f t="shared" ref="D947:F947" si="965">ROUNDDOWN($C947*D$2,0) - IF(MOD($C947*D$2,1)=0,1,0) + 1</f>
        <v>1</v>
      </c>
      <c r="E947" s="402">
        <f t="shared" si="965"/>
        <v>1</v>
      </c>
      <c r="F947" s="402">
        <f t="shared" si="965"/>
        <v>1</v>
      </c>
      <c r="G947" s="401">
        <f t="shared" si="3"/>
        <v>0</v>
      </c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 spans="1:20" ht="15.75" customHeight="1">
      <c r="A948" s="399">
        <v>43672</v>
      </c>
      <c r="B948" s="400">
        <v>-1.5589060805949906E-2</v>
      </c>
      <c r="C948" s="401">
        <f t="shared" si="0"/>
        <v>0.13036565977742448</v>
      </c>
      <c r="D948" s="402">
        <f t="shared" ref="D948:F948" si="966">ROUNDDOWN($C948*D$2,0) - IF(MOD($C948*D$2,1)=0,1,0) + 1</f>
        <v>1</v>
      </c>
      <c r="E948" s="402">
        <f t="shared" si="966"/>
        <v>1</v>
      </c>
      <c r="F948" s="402">
        <f t="shared" si="966"/>
        <v>1</v>
      </c>
      <c r="G948" s="401">
        <f t="shared" si="3"/>
        <v>-1.5589060805949906E-2</v>
      </c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 spans="1:20" ht="15.75" customHeight="1">
      <c r="A949" s="399">
        <v>43675</v>
      </c>
      <c r="B949" s="400">
        <v>-1.574843673605919E-2</v>
      </c>
      <c r="C949" s="401">
        <f t="shared" si="0"/>
        <v>0.12639109697933226</v>
      </c>
      <c r="D949" s="402">
        <f t="shared" ref="D949:F949" si="967">ROUNDDOWN($C949*D$2,0) - IF(MOD($C949*D$2,1)=0,1,0) + 1</f>
        <v>1</v>
      </c>
      <c r="E949" s="402">
        <f t="shared" si="967"/>
        <v>1</v>
      </c>
      <c r="F949" s="402">
        <f t="shared" si="967"/>
        <v>1</v>
      </c>
      <c r="G949" s="401">
        <f t="shared" si="3"/>
        <v>-1.574843673605919E-2</v>
      </c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 spans="1:20" ht="15.75" customHeight="1">
      <c r="A950" s="399">
        <v>43676</v>
      </c>
      <c r="B950" s="400">
        <v>-7.278621663311502E-3</v>
      </c>
      <c r="C950" s="401">
        <f t="shared" si="0"/>
        <v>0.23847376788553259</v>
      </c>
      <c r="D950" s="402">
        <f t="shared" ref="D950:F950" si="968">ROUNDDOWN($C950*D$2,0) - IF(MOD($C950*D$2,1)=0,1,0) + 1</f>
        <v>1</v>
      </c>
      <c r="E950" s="402">
        <f t="shared" si="968"/>
        <v>1</v>
      </c>
      <c r="F950" s="402">
        <f t="shared" si="968"/>
        <v>1</v>
      </c>
      <c r="G950" s="401">
        <f t="shared" si="3"/>
        <v>-7.278621663311502E-3</v>
      </c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 spans="1:20" ht="15.75" customHeight="1">
      <c r="A951" s="399">
        <v>43677</v>
      </c>
      <c r="B951" s="400">
        <v>-1.6723464996602599E-2</v>
      </c>
      <c r="C951" s="401">
        <f t="shared" si="0"/>
        <v>0.11605723370429252</v>
      </c>
      <c r="D951" s="402">
        <f t="shared" ref="D951:F951" si="969">ROUNDDOWN($C951*D$2,0) - IF(MOD($C951*D$2,1)=0,1,0) + 1</f>
        <v>1</v>
      </c>
      <c r="E951" s="402">
        <f t="shared" si="969"/>
        <v>1</v>
      </c>
      <c r="F951" s="402">
        <f t="shared" si="969"/>
        <v>1</v>
      </c>
      <c r="G951" s="401">
        <f t="shared" si="3"/>
        <v>-1.6723464996602599E-2</v>
      </c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 spans="1:20" ht="15.75" customHeight="1">
      <c r="A952" s="399">
        <v>43678</v>
      </c>
      <c r="B952" s="400">
        <v>-6.1389129945682575E-3</v>
      </c>
      <c r="C952" s="401">
        <f t="shared" si="0"/>
        <v>0.26709062003179651</v>
      </c>
      <c r="D952" s="402">
        <f t="shared" ref="D952:F952" si="970">ROUNDDOWN($C952*D$2,0) - IF(MOD($C952*D$2,1)=0,1,0) + 1</f>
        <v>1</v>
      </c>
      <c r="E952" s="402">
        <f t="shared" si="970"/>
        <v>1</v>
      </c>
      <c r="F952" s="402">
        <f t="shared" si="970"/>
        <v>2</v>
      </c>
      <c r="G952" s="401">
        <f t="shared" si="3"/>
        <v>-6.1389129945682575E-3</v>
      </c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 spans="1:20" ht="15.75" customHeight="1">
      <c r="A953" s="399">
        <v>43679</v>
      </c>
      <c r="B953" s="400">
        <v>-1.7290817756505539E-2</v>
      </c>
      <c r="C953" s="401">
        <f t="shared" si="0"/>
        <v>0.11128775834658187</v>
      </c>
      <c r="D953" s="402">
        <f t="shared" ref="D953:F953" si="971">ROUNDDOWN($C953*D$2,0) - IF(MOD($C953*D$2,1)=0,1,0) + 1</f>
        <v>1</v>
      </c>
      <c r="E953" s="402">
        <f t="shared" si="971"/>
        <v>1</v>
      </c>
      <c r="F953" s="402">
        <f t="shared" si="971"/>
        <v>1</v>
      </c>
      <c r="G953" s="401">
        <f t="shared" si="3"/>
        <v>0</v>
      </c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 spans="1:20" ht="15.75" customHeight="1">
      <c r="A954" s="399">
        <v>43682</v>
      </c>
      <c r="B954" s="400">
        <v>-3.1871832561813029E-2</v>
      </c>
      <c r="C954" s="401">
        <f t="shared" si="0"/>
        <v>4.2130365659777423E-2</v>
      </c>
      <c r="D954" s="402">
        <f t="shared" ref="D954:F954" si="972">ROUNDDOWN($C954*D$2,0) - IF(MOD($C954*D$2,1)=0,1,0) + 1</f>
        <v>1</v>
      </c>
      <c r="E954" s="402">
        <f t="shared" si="972"/>
        <v>1</v>
      </c>
      <c r="F954" s="402">
        <f t="shared" si="972"/>
        <v>1</v>
      </c>
      <c r="G954" s="401">
        <f t="shared" si="3"/>
        <v>-3.1871832561813029E-2</v>
      </c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 spans="1:20" ht="15.75" customHeight="1">
      <c r="A955" s="399">
        <v>43683</v>
      </c>
      <c r="B955" s="400">
        <v>1.2860242588364601E-2</v>
      </c>
      <c r="C955" s="401">
        <f t="shared" si="0"/>
        <v>0.80047694753577103</v>
      </c>
      <c r="D955" s="402">
        <f t="shared" ref="D955:F955" si="973">ROUNDDOWN($C955*D$2,0) - IF(MOD($C955*D$2,1)=0,1,0) + 1</f>
        <v>2</v>
      </c>
      <c r="E955" s="402">
        <f t="shared" si="973"/>
        <v>3</v>
      </c>
      <c r="F955" s="402">
        <f t="shared" si="973"/>
        <v>4</v>
      </c>
      <c r="G955" s="401">
        <f t="shared" si="3"/>
        <v>1.2860242588364601E-2</v>
      </c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 spans="1:20" ht="15.75" customHeight="1">
      <c r="A956" s="399">
        <v>43684</v>
      </c>
      <c r="B956" s="400">
        <v>3.1155087452388042E-3</v>
      </c>
      <c r="C956" s="401">
        <f t="shared" si="0"/>
        <v>0.55246422893481717</v>
      </c>
      <c r="D956" s="402">
        <f t="shared" ref="D956:F956" si="974">ROUNDDOWN($C956*D$2,0) - IF(MOD($C956*D$2,1)=0,1,0) + 1</f>
        <v>2</v>
      </c>
      <c r="E956" s="402">
        <f t="shared" si="974"/>
        <v>2</v>
      </c>
      <c r="F956" s="402">
        <f t="shared" si="974"/>
        <v>3</v>
      </c>
      <c r="G956" s="401">
        <f t="shared" si="3"/>
        <v>0</v>
      </c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 spans="1:20" ht="15.75" customHeight="1">
      <c r="A957" s="399">
        <v>43685</v>
      </c>
      <c r="B957" s="400">
        <v>2.201962752314035E-2</v>
      </c>
      <c r="C957" s="401">
        <f t="shared" si="0"/>
        <v>0.91096979332273453</v>
      </c>
      <c r="D957" s="402">
        <f t="shared" ref="D957:F957" si="975">ROUNDDOWN($C957*D$2,0) - IF(MOD($C957*D$2,1)=0,1,0) + 1</f>
        <v>2</v>
      </c>
      <c r="E957" s="402">
        <f t="shared" si="975"/>
        <v>3</v>
      </c>
      <c r="F957" s="402">
        <f t="shared" si="975"/>
        <v>4</v>
      </c>
      <c r="G957" s="401">
        <f t="shared" si="3"/>
        <v>0</v>
      </c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 spans="1:20" ht="15.75" customHeight="1">
      <c r="A958" s="399">
        <v>43686</v>
      </c>
      <c r="B958" s="400">
        <v>-1.3808793762855487E-2</v>
      </c>
      <c r="C958" s="401">
        <f t="shared" si="0"/>
        <v>0.143879173290938</v>
      </c>
      <c r="D958" s="402">
        <f t="shared" ref="D958:F958" si="976">ROUNDDOWN($C958*D$2,0) - IF(MOD($C958*D$2,1)=0,1,0) + 1</f>
        <v>1</v>
      </c>
      <c r="E958" s="402">
        <f t="shared" si="976"/>
        <v>1</v>
      </c>
      <c r="F958" s="402">
        <f t="shared" si="976"/>
        <v>1</v>
      </c>
      <c r="G958" s="401">
        <f t="shared" si="3"/>
        <v>0</v>
      </c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 spans="1:20" ht="15.75" customHeight="1">
      <c r="A959" s="399">
        <v>43689</v>
      </c>
      <c r="B959" s="400">
        <v>-1.2536097987364214E-2</v>
      </c>
      <c r="C959" s="401">
        <f t="shared" si="0"/>
        <v>0.15739268680445151</v>
      </c>
      <c r="D959" s="402">
        <f t="shared" ref="D959:F959" si="977">ROUNDDOWN($C959*D$2,0) - IF(MOD($C959*D$2,1)=0,1,0) + 1</f>
        <v>1</v>
      </c>
      <c r="E959" s="402">
        <f t="shared" si="977"/>
        <v>1</v>
      </c>
      <c r="F959" s="402">
        <f t="shared" si="977"/>
        <v>1</v>
      </c>
      <c r="G959" s="401">
        <f t="shared" si="3"/>
        <v>-1.2536097987364214E-2</v>
      </c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 spans="1:20" ht="15.75" customHeight="1">
      <c r="A960" s="399">
        <v>43690</v>
      </c>
      <c r="B960" s="400">
        <v>2.208502341841645E-2</v>
      </c>
      <c r="C960" s="401">
        <f t="shared" si="0"/>
        <v>0.91176470588235292</v>
      </c>
      <c r="D960" s="402">
        <f t="shared" ref="D960:F960" si="978">ROUNDDOWN($C960*D$2,0) - IF(MOD($C960*D$2,1)=0,1,0) + 1</f>
        <v>2</v>
      </c>
      <c r="E960" s="402">
        <f t="shared" si="978"/>
        <v>3</v>
      </c>
      <c r="F960" s="402">
        <f t="shared" si="978"/>
        <v>4</v>
      </c>
      <c r="G960" s="401">
        <f t="shared" si="3"/>
        <v>2.208502341841645E-2</v>
      </c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 spans="1:20" ht="15.75" customHeight="1">
      <c r="A961" s="399">
        <v>43691</v>
      </c>
      <c r="B961" s="400">
        <v>-3.3645044235175448E-2</v>
      </c>
      <c r="C961" s="401">
        <f t="shared" si="0"/>
        <v>3.7360890302066775E-2</v>
      </c>
      <c r="D961" s="402">
        <f t="shared" ref="D961:F961" si="979">ROUNDDOWN($C961*D$2,0) - IF(MOD($C961*D$2,1)=0,1,0) + 1</f>
        <v>1</v>
      </c>
      <c r="E961" s="402">
        <f t="shared" si="979"/>
        <v>1</v>
      </c>
      <c r="F961" s="402">
        <f t="shared" si="979"/>
        <v>1</v>
      </c>
      <c r="G961" s="401">
        <f t="shared" si="3"/>
        <v>0</v>
      </c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 spans="1:20" ht="15.75" customHeight="1">
      <c r="A962" s="399">
        <v>43692</v>
      </c>
      <c r="B962" s="400">
        <v>7.4647184280980383E-3</v>
      </c>
      <c r="C962" s="401">
        <f t="shared" si="0"/>
        <v>0.67647058823529416</v>
      </c>
      <c r="D962" s="402">
        <f t="shared" ref="D962:F962" si="980">ROUNDDOWN($C962*D$2,0) - IF(MOD($C962*D$2,1)=0,1,0) + 1</f>
        <v>2</v>
      </c>
      <c r="E962" s="402">
        <f t="shared" si="980"/>
        <v>3</v>
      </c>
      <c r="F962" s="402">
        <f t="shared" si="980"/>
        <v>3</v>
      </c>
      <c r="G962" s="401">
        <f t="shared" si="3"/>
        <v>7.4647184280980383E-3</v>
      </c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 spans="1:20" ht="15.75" customHeight="1">
      <c r="A963" s="399">
        <v>43693</v>
      </c>
      <c r="B963" s="400">
        <v>9.2617615926851027E-3</v>
      </c>
      <c r="C963" s="401">
        <f t="shared" si="0"/>
        <v>0.72496025437201905</v>
      </c>
      <c r="D963" s="402">
        <f t="shared" ref="D963:F963" si="981">ROUNDDOWN($C963*D$2,0) - IF(MOD($C963*D$2,1)=0,1,0) + 1</f>
        <v>2</v>
      </c>
      <c r="E963" s="402">
        <f t="shared" si="981"/>
        <v>3</v>
      </c>
      <c r="F963" s="402">
        <f t="shared" si="981"/>
        <v>3</v>
      </c>
      <c r="G963" s="401">
        <f t="shared" si="3"/>
        <v>0</v>
      </c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 spans="1:20" ht="15.75" customHeight="1">
      <c r="A964" s="399">
        <v>43696</v>
      </c>
      <c r="B964" s="400">
        <v>1.3137562270929326E-2</v>
      </c>
      <c r="C964" s="401">
        <f t="shared" si="0"/>
        <v>0.80763116057233708</v>
      </c>
      <c r="D964" s="402">
        <f t="shared" ref="D964:F964" si="982">ROUNDDOWN($C964*D$2,0) - IF(MOD($C964*D$2,1)=0,1,0) + 1</f>
        <v>2</v>
      </c>
      <c r="E964" s="402">
        <f t="shared" si="982"/>
        <v>3</v>
      </c>
      <c r="F964" s="402">
        <f t="shared" si="982"/>
        <v>4</v>
      </c>
      <c r="G964" s="401">
        <f t="shared" si="3"/>
        <v>0</v>
      </c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 spans="1:20" ht="15.75" customHeight="1">
      <c r="A965" s="399">
        <v>43697</v>
      </c>
      <c r="B965" s="400">
        <v>-8.1162037750808214E-3</v>
      </c>
      <c r="C965" s="401">
        <f t="shared" si="0"/>
        <v>0.21860095389507153</v>
      </c>
      <c r="D965" s="402">
        <f t="shared" ref="D965:F965" si="983">ROUNDDOWN($C965*D$2,0) - IF(MOD($C965*D$2,1)=0,1,0) + 1</f>
        <v>1</v>
      </c>
      <c r="E965" s="402">
        <f t="shared" si="983"/>
        <v>1</v>
      </c>
      <c r="F965" s="402">
        <f t="shared" si="983"/>
        <v>1</v>
      </c>
      <c r="G965" s="401">
        <f t="shared" si="3"/>
        <v>0</v>
      </c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 spans="1:20" ht="15.75" customHeight="1">
      <c r="A966" s="399">
        <v>43698</v>
      </c>
      <c r="B966" s="400">
        <v>1.2301679823246481E-2</v>
      </c>
      <c r="C966" s="401">
        <f t="shared" si="0"/>
        <v>0.79014308426073132</v>
      </c>
      <c r="D966" s="402">
        <f t="shared" ref="D966:F966" si="984">ROUNDDOWN($C966*D$2,0) - IF(MOD($C966*D$2,1)=0,1,0) + 1</f>
        <v>2</v>
      </c>
      <c r="E966" s="402">
        <f t="shared" si="984"/>
        <v>3</v>
      </c>
      <c r="F966" s="402">
        <f t="shared" si="984"/>
        <v>4</v>
      </c>
      <c r="G966" s="401">
        <f t="shared" si="3"/>
        <v>1.2301679823246481E-2</v>
      </c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 spans="1:20" ht="15.75" customHeight="1">
      <c r="A967" s="399">
        <v>43699</v>
      </c>
      <c r="B967" s="400">
        <v>-9.8380073922151867E-3</v>
      </c>
      <c r="C967" s="401">
        <f t="shared" si="0"/>
        <v>0.1891891891891892</v>
      </c>
      <c r="D967" s="402">
        <f t="shared" ref="D967:F967" si="985">ROUNDDOWN($C967*D$2,0) - IF(MOD($C967*D$2,1)=0,1,0) + 1</f>
        <v>1</v>
      </c>
      <c r="E967" s="402">
        <f t="shared" si="985"/>
        <v>1</v>
      </c>
      <c r="F967" s="402">
        <f t="shared" si="985"/>
        <v>1</v>
      </c>
      <c r="G967" s="401">
        <f t="shared" si="3"/>
        <v>0</v>
      </c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r="968" spans="1:20" ht="15.75" customHeight="1">
      <c r="A968" s="399">
        <v>43700</v>
      </c>
      <c r="B968" s="400">
        <v>-3.1003544528134697E-2</v>
      </c>
      <c r="C968" s="401">
        <f t="shared" si="0"/>
        <v>4.6104928457869634E-2</v>
      </c>
      <c r="D968" s="402">
        <f t="shared" ref="D968:F968" si="986">ROUNDDOWN($C968*D$2,0) - IF(MOD($C968*D$2,1)=0,1,0) + 1</f>
        <v>1</v>
      </c>
      <c r="E968" s="402">
        <f t="shared" si="986"/>
        <v>1</v>
      </c>
      <c r="F968" s="402">
        <f t="shared" si="986"/>
        <v>1</v>
      </c>
      <c r="G968" s="401">
        <f t="shared" si="3"/>
        <v>-3.1003544528134697E-2</v>
      </c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r="969" spans="1:20" ht="15.75" customHeight="1">
      <c r="A969" s="399">
        <v>43703</v>
      </c>
      <c r="B969" s="400">
        <v>1.1002389090202458E-2</v>
      </c>
      <c r="C969" s="401">
        <f t="shared" si="0"/>
        <v>0.76232114467408585</v>
      </c>
      <c r="D969" s="402">
        <f t="shared" ref="D969:F969" si="987">ROUNDDOWN($C969*D$2,0) - IF(MOD($C969*D$2,1)=0,1,0) + 1</f>
        <v>2</v>
      </c>
      <c r="E969" s="402">
        <f t="shared" si="987"/>
        <v>3</v>
      </c>
      <c r="F969" s="402">
        <f t="shared" si="987"/>
        <v>4</v>
      </c>
      <c r="G969" s="401">
        <f t="shared" si="3"/>
        <v>1.1002389090202458E-2</v>
      </c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r="970" spans="1:20" ht="15.75" customHeight="1">
      <c r="A970" s="399">
        <v>43704</v>
      </c>
      <c r="B970" s="400">
        <v>-3.9799419968680194E-3</v>
      </c>
      <c r="C970" s="401">
        <f t="shared" si="0"/>
        <v>0.32909379968203495</v>
      </c>
      <c r="D970" s="402">
        <f t="shared" ref="D970:F970" si="988">ROUNDDOWN($C970*D$2,0) - IF(MOD($C970*D$2,1)=0,1,0) + 1</f>
        <v>1</v>
      </c>
      <c r="E970" s="402">
        <f t="shared" si="988"/>
        <v>1</v>
      </c>
      <c r="F970" s="402">
        <f t="shared" si="988"/>
        <v>2</v>
      </c>
      <c r="G970" s="401">
        <f t="shared" si="3"/>
        <v>0</v>
      </c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r="971" spans="1:20" ht="15.75" customHeight="1">
      <c r="A971" s="399">
        <v>43705</v>
      </c>
      <c r="B971" s="400">
        <v>1.3735717975060791E-3</v>
      </c>
      <c r="C971" s="401">
        <f t="shared" si="0"/>
        <v>0.49841017488076311</v>
      </c>
      <c r="D971" s="402">
        <f t="shared" ref="D971:F971" si="989">ROUNDDOWN($C971*D$2,0) - IF(MOD($C971*D$2,1)=0,1,0) + 1</f>
        <v>1</v>
      </c>
      <c r="E971" s="402">
        <f t="shared" si="989"/>
        <v>2</v>
      </c>
      <c r="F971" s="402">
        <f t="shared" si="989"/>
        <v>2</v>
      </c>
      <c r="G971" s="401">
        <f t="shared" si="3"/>
        <v>0</v>
      </c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</row>
    <row r="972" spans="1:20" ht="15.75" customHeight="1">
      <c r="A972" s="399">
        <v>43706</v>
      </c>
      <c r="B972" s="400">
        <v>1.2554910018421461E-2</v>
      </c>
      <c r="C972" s="401">
        <f t="shared" si="0"/>
        <v>0.79809220985691576</v>
      </c>
      <c r="D972" s="402">
        <f t="shared" ref="D972:F972" si="990">ROUNDDOWN($C972*D$2,0) - IF(MOD($C972*D$2,1)=0,1,0) + 1</f>
        <v>2</v>
      </c>
      <c r="E972" s="402">
        <f t="shared" si="990"/>
        <v>3</v>
      </c>
      <c r="F972" s="402">
        <f t="shared" si="990"/>
        <v>4</v>
      </c>
      <c r="G972" s="401">
        <f t="shared" si="3"/>
        <v>0</v>
      </c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</row>
    <row r="973" spans="1:20" ht="15.75" customHeight="1">
      <c r="A973" s="399">
        <v>43707</v>
      </c>
      <c r="B973" s="400">
        <v>-5.6594267801165499E-3</v>
      </c>
      <c r="C973" s="401">
        <f t="shared" si="0"/>
        <v>0.27583465818759939</v>
      </c>
      <c r="D973" s="402">
        <f t="shared" ref="D973:F973" si="991">ROUNDDOWN($C973*D$2,0) - IF(MOD($C973*D$2,1)=0,1,0) + 1</f>
        <v>1</v>
      </c>
      <c r="E973" s="402">
        <f t="shared" si="991"/>
        <v>1</v>
      </c>
      <c r="F973" s="402">
        <f t="shared" si="991"/>
        <v>2</v>
      </c>
      <c r="G973" s="401">
        <f t="shared" si="3"/>
        <v>0</v>
      </c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</row>
    <row r="974" spans="1:20" ht="15.75" customHeight="1">
      <c r="A974" s="399">
        <v>43710</v>
      </c>
      <c r="B974" s="400">
        <v>0</v>
      </c>
      <c r="C974" s="401">
        <f t="shared" si="0"/>
        <v>0.44316375198728142</v>
      </c>
      <c r="D974" s="402">
        <f t="shared" ref="D974:F974" si="992">ROUNDDOWN($C974*D$2,0) - IF(MOD($C974*D$2,1)=0,1,0) + 1</f>
        <v>1</v>
      </c>
      <c r="E974" s="402">
        <f t="shared" si="992"/>
        <v>2</v>
      </c>
      <c r="F974" s="402">
        <f t="shared" si="992"/>
        <v>2</v>
      </c>
      <c r="G974" s="401">
        <f t="shared" si="3"/>
        <v>0</v>
      </c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</row>
    <row r="975" spans="1:20" ht="15.75" customHeight="1">
      <c r="A975" s="399">
        <v>43711</v>
      </c>
      <c r="B975" s="400">
        <v>7.6282588991662958E-3</v>
      </c>
      <c r="C975" s="401">
        <f t="shared" si="0"/>
        <v>0.68282988871224171</v>
      </c>
      <c r="D975" s="402">
        <f t="shared" ref="D975:F975" si="993">ROUNDDOWN($C975*D$2,0) - IF(MOD($C975*D$2,1)=0,1,0) + 1</f>
        <v>2</v>
      </c>
      <c r="E975" s="402">
        <f t="shared" si="993"/>
        <v>3</v>
      </c>
      <c r="F975" s="402">
        <f t="shared" si="993"/>
        <v>3</v>
      </c>
      <c r="G975" s="401">
        <f t="shared" si="3"/>
        <v>0</v>
      </c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</row>
    <row r="976" spans="1:20" ht="15.75" customHeight="1">
      <c r="A976" s="399">
        <v>43712</v>
      </c>
      <c r="B976" s="400">
        <v>6.0228847271264208E-3</v>
      </c>
      <c r="C976" s="401">
        <f t="shared" si="0"/>
        <v>0.6343402225755167</v>
      </c>
      <c r="D976" s="402">
        <f t="shared" ref="D976:F976" si="994">ROUNDDOWN($C976*D$2,0) - IF(MOD($C976*D$2,1)=0,1,0) + 1</f>
        <v>2</v>
      </c>
      <c r="E976" s="402">
        <f t="shared" si="994"/>
        <v>2</v>
      </c>
      <c r="F976" s="402">
        <f t="shared" si="994"/>
        <v>3</v>
      </c>
      <c r="G976" s="401">
        <f t="shared" si="3"/>
        <v>0</v>
      </c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</row>
    <row r="977" spans="1:20" ht="15.75" customHeight="1">
      <c r="A977" s="399">
        <v>43713</v>
      </c>
      <c r="B977" s="400">
        <v>2.2270106963157232E-2</v>
      </c>
      <c r="C977" s="401">
        <f t="shared" si="0"/>
        <v>0.91255961844197142</v>
      </c>
      <c r="D977" s="402">
        <f t="shared" ref="D977:F977" si="995">ROUNDDOWN($C977*D$2,0) - IF(MOD($C977*D$2,1)=0,1,0) + 1</f>
        <v>2</v>
      </c>
      <c r="E977" s="402">
        <f t="shared" si="995"/>
        <v>3</v>
      </c>
      <c r="F977" s="402">
        <f t="shared" si="995"/>
        <v>4</v>
      </c>
      <c r="G977" s="401">
        <f t="shared" si="3"/>
        <v>0</v>
      </c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</row>
    <row r="978" spans="1:20" ht="15.75" customHeight="1">
      <c r="A978" s="399">
        <v>43714</v>
      </c>
      <c r="B978" s="400">
        <v>-3.9169455430484446E-3</v>
      </c>
      <c r="C978" s="401">
        <f t="shared" si="0"/>
        <v>0.33068362480127184</v>
      </c>
      <c r="D978" s="402">
        <f t="shared" ref="D978:F978" si="996">ROUNDDOWN($C978*D$2,0) - IF(MOD($C978*D$2,1)=0,1,0) + 1</f>
        <v>1</v>
      </c>
      <c r="E978" s="402">
        <f t="shared" si="996"/>
        <v>1</v>
      </c>
      <c r="F978" s="402">
        <f t="shared" si="996"/>
        <v>2</v>
      </c>
      <c r="G978" s="401">
        <f t="shared" si="3"/>
        <v>0</v>
      </c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</row>
    <row r="979" spans="1:20" ht="15.75" customHeight="1">
      <c r="A979" s="399">
        <v>43717</v>
      </c>
      <c r="B979" s="400">
        <v>-1.1780682952370336E-3</v>
      </c>
      <c r="C979" s="401">
        <f t="shared" si="0"/>
        <v>0.40937996820349759</v>
      </c>
      <c r="D979" s="402">
        <f t="shared" ref="D979:F979" si="997">ROUNDDOWN($C979*D$2,0) - IF(MOD($C979*D$2,1)=0,1,0) + 1</f>
        <v>1</v>
      </c>
      <c r="E979" s="402">
        <f t="shared" si="997"/>
        <v>2</v>
      </c>
      <c r="F979" s="402">
        <f t="shared" si="997"/>
        <v>2</v>
      </c>
      <c r="G979" s="401">
        <f t="shared" si="3"/>
        <v>0</v>
      </c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</row>
    <row r="980" spans="1:20" ht="15.75" customHeight="1">
      <c r="A980" s="399">
        <v>43718</v>
      </c>
      <c r="B980" s="400">
        <v>-5.8972888852485417E-3</v>
      </c>
      <c r="C980" s="401">
        <f t="shared" si="0"/>
        <v>0.27027027027027029</v>
      </c>
      <c r="D980" s="402">
        <f t="shared" ref="D980:F980" si="998">ROUNDDOWN($C980*D$2,0) - IF(MOD($C980*D$2,1)=0,1,0) + 1</f>
        <v>1</v>
      </c>
      <c r="E980" s="402">
        <f t="shared" si="998"/>
        <v>1</v>
      </c>
      <c r="F980" s="402">
        <f t="shared" si="998"/>
        <v>2</v>
      </c>
      <c r="G980" s="401">
        <f t="shared" si="3"/>
        <v>0</v>
      </c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</row>
    <row r="981" spans="1:20" ht="15.75" customHeight="1">
      <c r="A981" s="399">
        <v>43719</v>
      </c>
      <c r="B981" s="400">
        <v>1.340254318749956E-3</v>
      </c>
      <c r="C981" s="401">
        <f t="shared" si="0"/>
        <v>0.49602543720190778</v>
      </c>
      <c r="D981" s="402">
        <f t="shared" ref="D981:F981" si="999">ROUNDDOWN($C981*D$2,0) - IF(MOD($C981*D$2,1)=0,1,0) + 1</f>
        <v>1</v>
      </c>
      <c r="E981" s="402">
        <f t="shared" si="999"/>
        <v>2</v>
      </c>
      <c r="F981" s="402">
        <f t="shared" si="999"/>
        <v>2</v>
      </c>
      <c r="G981" s="401">
        <f t="shared" si="3"/>
        <v>0</v>
      </c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</row>
    <row r="982" spans="1:20" ht="15.75" customHeight="1">
      <c r="A982" s="399">
        <v>43720</v>
      </c>
      <c r="B982" s="400">
        <v>1.1278174866565349E-2</v>
      </c>
      <c r="C982" s="401">
        <f t="shared" si="0"/>
        <v>0.7686804451510334</v>
      </c>
      <c r="D982" s="402">
        <f t="shared" ref="D982:F982" si="1000">ROUNDDOWN($C982*D$2,0) - IF(MOD($C982*D$2,1)=0,1,0) + 1</f>
        <v>2</v>
      </c>
      <c r="E982" s="402">
        <f t="shared" si="1000"/>
        <v>3</v>
      </c>
      <c r="F982" s="402">
        <f t="shared" si="1000"/>
        <v>4</v>
      </c>
      <c r="G982" s="401">
        <f t="shared" si="3"/>
        <v>0</v>
      </c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</row>
    <row r="983" spans="1:20" ht="15.75" customHeight="1">
      <c r="A983" s="399">
        <v>43721</v>
      </c>
      <c r="B983" s="400">
        <v>-2.2836375471237957E-3</v>
      </c>
      <c r="C983" s="401">
        <f t="shared" si="0"/>
        <v>0.3783783783783784</v>
      </c>
      <c r="D983" s="402">
        <f t="shared" ref="D983:F983" si="1001">ROUNDDOWN($C983*D$2,0) - IF(MOD($C983*D$2,1)=0,1,0) + 1</f>
        <v>1</v>
      </c>
      <c r="E983" s="402">
        <f t="shared" si="1001"/>
        <v>2</v>
      </c>
      <c r="F983" s="402">
        <f t="shared" si="1001"/>
        <v>2</v>
      </c>
      <c r="G983" s="401">
        <f t="shared" si="3"/>
        <v>0</v>
      </c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</row>
    <row r="984" spans="1:20" ht="15.75" customHeight="1">
      <c r="A984" s="399">
        <v>43724</v>
      </c>
      <c r="B984" s="400">
        <v>-1.7125708134439477E-2</v>
      </c>
      <c r="C984" s="401">
        <f t="shared" si="0"/>
        <v>0.11208267090620032</v>
      </c>
      <c r="D984" s="402">
        <f t="shared" ref="D984:F984" si="1002">ROUNDDOWN($C984*D$2,0) - IF(MOD($C984*D$2,1)=0,1,0) + 1</f>
        <v>1</v>
      </c>
      <c r="E984" s="402">
        <f t="shared" si="1002"/>
        <v>1</v>
      </c>
      <c r="F984" s="402">
        <f t="shared" si="1002"/>
        <v>1</v>
      </c>
      <c r="G984" s="401">
        <f t="shared" si="3"/>
        <v>0</v>
      </c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</row>
    <row r="985" spans="1:20" ht="15.75" customHeight="1">
      <c r="A985" s="399">
        <v>43725</v>
      </c>
      <c r="B985" s="400">
        <v>8.1367820161075688E-3</v>
      </c>
      <c r="C985" s="401">
        <f t="shared" si="0"/>
        <v>0.69316375198728142</v>
      </c>
      <c r="D985" s="402">
        <f t="shared" ref="D985:F985" si="1003">ROUNDDOWN($C985*D$2,0) - IF(MOD($C985*D$2,1)=0,1,0) + 1</f>
        <v>2</v>
      </c>
      <c r="E985" s="402">
        <f t="shared" si="1003"/>
        <v>3</v>
      </c>
      <c r="F985" s="402">
        <f t="shared" si="1003"/>
        <v>3</v>
      </c>
      <c r="G985" s="401">
        <f t="shared" si="3"/>
        <v>8.1367820161075688E-3</v>
      </c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</row>
    <row r="986" spans="1:20" ht="15.75" customHeight="1">
      <c r="A986" s="399">
        <v>43726</v>
      </c>
      <c r="B986" s="400">
        <v>-2.7927903212531247E-3</v>
      </c>
      <c r="C986" s="401">
        <f t="shared" si="0"/>
        <v>0.36724960254372019</v>
      </c>
      <c r="D986" s="402">
        <f t="shared" ref="D986:F986" si="1004">ROUNDDOWN($C986*D$2,0) - IF(MOD($C986*D$2,1)=0,1,0) + 1</f>
        <v>1</v>
      </c>
      <c r="E986" s="402">
        <f t="shared" si="1004"/>
        <v>2</v>
      </c>
      <c r="F986" s="402">
        <f t="shared" si="1004"/>
        <v>2</v>
      </c>
      <c r="G986" s="401">
        <f t="shared" si="3"/>
        <v>0</v>
      </c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</row>
    <row r="987" spans="1:20" ht="15.75" customHeight="1">
      <c r="A987" s="399">
        <v>43727</v>
      </c>
      <c r="B987" s="400">
        <v>2.2228824843462114E-3</v>
      </c>
      <c r="C987" s="401">
        <f t="shared" si="0"/>
        <v>0.53020667726550075</v>
      </c>
      <c r="D987" s="402">
        <f t="shared" ref="D987:F987" si="1005">ROUNDDOWN($C987*D$2,0) - IF(MOD($C987*D$2,1)=0,1,0) + 1</f>
        <v>2</v>
      </c>
      <c r="E987" s="402">
        <f t="shared" si="1005"/>
        <v>2</v>
      </c>
      <c r="F987" s="402">
        <f t="shared" si="1005"/>
        <v>3</v>
      </c>
      <c r="G987" s="401">
        <f t="shared" si="3"/>
        <v>0</v>
      </c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</row>
    <row r="988" spans="1:20" ht="15.75" customHeight="1">
      <c r="A988" s="399">
        <v>43728</v>
      </c>
      <c r="B988" s="400">
        <v>-1.5009607466373809E-2</v>
      </c>
      <c r="C988" s="401">
        <f t="shared" si="0"/>
        <v>0.13513513513513514</v>
      </c>
      <c r="D988" s="402">
        <f t="shared" ref="D988:F988" si="1006">ROUNDDOWN($C988*D$2,0) - IF(MOD($C988*D$2,1)=0,1,0) + 1</f>
        <v>1</v>
      </c>
      <c r="E988" s="402">
        <f t="shared" si="1006"/>
        <v>1</v>
      </c>
      <c r="F988" s="402">
        <f t="shared" si="1006"/>
        <v>1</v>
      </c>
      <c r="G988" s="401">
        <f t="shared" si="3"/>
        <v>0</v>
      </c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</row>
    <row r="989" spans="1:20" ht="15.75" customHeight="1">
      <c r="A989" s="399">
        <v>43731</v>
      </c>
      <c r="B989" s="400">
        <v>-4.938244080795573E-3</v>
      </c>
      <c r="C989" s="401">
        <f t="shared" si="0"/>
        <v>0.29650238473767887</v>
      </c>
      <c r="D989" s="402">
        <f t="shared" ref="D989:F989" si="1007">ROUNDDOWN($C989*D$2,0) - IF(MOD($C989*D$2,1)=0,1,0) + 1</f>
        <v>1</v>
      </c>
      <c r="E989" s="402">
        <f t="shared" si="1007"/>
        <v>1</v>
      </c>
      <c r="F989" s="402">
        <f t="shared" si="1007"/>
        <v>2</v>
      </c>
      <c r="G989" s="401">
        <f t="shared" si="3"/>
        <v>-4.938244080795573E-3</v>
      </c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</row>
    <row r="990" spans="1:20" ht="15.75" customHeight="1">
      <c r="A990" s="399">
        <v>43732</v>
      </c>
      <c r="B990" s="400">
        <v>-2.4472077521985103E-2</v>
      </c>
      <c r="C990" s="401">
        <f t="shared" si="0"/>
        <v>6.7567567567567571E-2</v>
      </c>
      <c r="D990" s="402">
        <f t="shared" ref="D990:F990" si="1008">ROUNDDOWN($C990*D$2,0) - IF(MOD($C990*D$2,1)=0,1,0) + 1</f>
        <v>1</v>
      </c>
      <c r="E990" s="402">
        <f t="shared" si="1008"/>
        <v>1</v>
      </c>
      <c r="F990" s="402">
        <f t="shared" si="1008"/>
        <v>1</v>
      </c>
      <c r="G990" s="401">
        <f t="shared" si="3"/>
        <v>0</v>
      </c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</row>
    <row r="991" spans="1:20" ht="15.75" customHeight="1">
      <c r="A991" s="399">
        <v>43733</v>
      </c>
      <c r="B991" s="400">
        <v>1.534212596390705E-2</v>
      </c>
      <c r="C991" s="401">
        <f t="shared" si="0"/>
        <v>0.84658187599364065</v>
      </c>
      <c r="D991" s="402">
        <f t="shared" ref="D991:F991" si="1009">ROUNDDOWN($C991*D$2,0) - IF(MOD($C991*D$2,1)=0,1,0) + 1</f>
        <v>2</v>
      </c>
      <c r="E991" s="402">
        <f t="shared" si="1009"/>
        <v>3</v>
      </c>
      <c r="F991" s="402">
        <f t="shared" si="1009"/>
        <v>4</v>
      </c>
      <c r="G991" s="401">
        <f t="shared" si="3"/>
        <v>1.534212596390705E-2</v>
      </c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</row>
    <row r="992" spans="1:20" ht="15.75" customHeight="1">
      <c r="A992" s="399">
        <v>43734</v>
      </c>
      <c r="B992" s="400">
        <v>-1.6111246204045582E-2</v>
      </c>
      <c r="C992" s="401">
        <f t="shared" si="0"/>
        <v>0.12162162162162163</v>
      </c>
      <c r="D992" s="402">
        <f t="shared" ref="D992:F992" si="1010">ROUNDDOWN($C992*D$2,0) - IF(MOD($C992*D$2,1)=0,1,0) + 1</f>
        <v>1</v>
      </c>
      <c r="E992" s="402">
        <f t="shared" si="1010"/>
        <v>1</v>
      </c>
      <c r="F992" s="402">
        <f t="shared" si="1010"/>
        <v>1</v>
      </c>
      <c r="G992" s="401">
        <f t="shared" si="3"/>
        <v>0</v>
      </c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</row>
    <row r="993" spans="1:20" ht="15.75" customHeight="1">
      <c r="A993" s="399">
        <v>43735</v>
      </c>
      <c r="B993" s="400">
        <v>-8.2708754828029196E-3</v>
      </c>
      <c r="C993" s="401">
        <f t="shared" si="0"/>
        <v>0.2138314785373609</v>
      </c>
      <c r="D993" s="402">
        <f t="shared" ref="D993:F993" si="1011">ROUNDDOWN($C993*D$2,0) - IF(MOD($C993*D$2,1)=0,1,0) + 1</f>
        <v>1</v>
      </c>
      <c r="E993" s="402">
        <f t="shared" si="1011"/>
        <v>1</v>
      </c>
      <c r="F993" s="402">
        <f t="shared" si="1011"/>
        <v>1</v>
      </c>
      <c r="G993" s="401">
        <f t="shared" si="3"/>
        <v>-8.2708754828029196E-3</v>
      </c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</row>
    <row r="994" spans="1:20" ht="15.75" customHeight="1">
      <c r="A994" s="399">
        <v>43738</v>
      </c>
      <c r="B994" s="400">
        <v>6.062186675939607E-3</v>
      </c>
      <c r="C994" s="401">
        <f t="shared" si="0"/>
        <v>0.63593004769475359</v>
      </c>
      <c r="D994" s="402">
        <f t="shared" ref="D994:F994" si="1012">ROUNDDOWN($C994*D$2,0) - IF(MOD($C994*D$2,1)=0,1,0) + 1</f>
        <v>2</v>
      </c>
      <c r="E994" s="402">
        <f t="shared" si="1012"/>
        <v>2</v>
      </c>
      <c r="F994" s="402">
        <f t="shared" si="1012"/>
        <v>3</v>
      </c>
      <c r="G994" s="401">
        <f t="shared" si="3"/>
        <v>6.062186675939607E-3</v>
      </c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</row>
    <row r="995" spans="1:20" ht="15.75" customHeight="1">
      <c r="A995" s="399">
        <v>43739</v>
      </c>
      <c r="B995" s="400">
        <v>-1.4977735020826888E-4</v>
      </c>
      <c r="C995" s="401">
        <f t="shared" si="0"/>
        <v>0.43640699523052462</v>
      </c>
      <c r="D995" s="402">
        <f t="shared" ref="D995:F995" si="1013">ROUNDDOWN($C995*D$2,0) - IF(MOD($C995*D$2,1)=0,1,0) + 1</f>
        <v>1</v>
      </c>
      <c r="E995" s="402">
        <f t="shared" si="1013"/>
        <v>2</v>
      </c>
      <c r="F995" s="402">
        <f t="shared" si="1013"/>
        <v>2</v>
      </c>
      <c r="G995" s="401">
        <f t="shared" si="3"/>
        <v>0</v>
      </c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</row>
    <row r="996" spans="1:20" ht="15.75" customHeight="1">
      <c r="A996" s="399">
        <v>43740</v>
      </c>
      <c r="B996" s="400">
        <v>-1.2917350848385412E-2</v>
      </c>
      <c r="C996" s="401">
        <f t="shared" si="0"/>
        <v>0.15103338632750399</v>
      </c>
      <c r="D996" s="402">
        <f t="shared" ref="D996:F996" si="1014">ROUNDDOWN($C996*D$2,0) - IF(MOD($C996*D$2,1)=0,1,0) + 1</f>
        <v>1</v>
      </c>
      <c r="E996" s="402">
        <f t="shared" si="1014"/>
        <v>1</v>
      </c>
      <c r="F996" s="402">
        <f t="shared" si="1014"/>
        <v>1</v>
      </c>
      <c r="G996" s="401">
        <f t="shared" si="3"/>
        <v>0</v>
      </c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</row>
    <row r="997" spans="1:20" ht="15.75" customHeight="1">
      <c r="A997" s="399">
        <v>43741</v>
      </c>
      <c r="B997" s="400">
        <v>6.5315223291677604E-3</v>
      </c>
      <c r="C997" s="401">
        <f t="shared" si="0"/>
        <v>0.64864864864864868</v>
      </c>
      <c r="D997" s="402">
        <f t="shared" ref="D997:F997" si="1015">ROUNDDOWN($C997*D$2,0) - IF(MOD($C997*D$2,1)=0,1,0) + 1</f>
        <v>2</v>
      </c>
      <c r="E997" s="402">
        <f t="shared" si="1015"/>
        <v>2</v>
      </c>
      <c r="F997" s="402">
        <f t="shared" si="1015"/>
        <v>3</v>
      </c>
      <c r="G997" s="401">
        <f t="shared" si="3"/>
        <v>6.5315223291677604E-3</v>
      </c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</row>
    <row r="998" spans="1:20" ht="15.75" customHeight="1">
      <c r="A998" s="399">
        <v>43742</v>
      </c>
      <c r="B998" s="400">
        <v>8.8319550921469592E-3</v>
      </c>
      <c r="C998" s="401">
        <f t="shared" si="0"/>
        <v>0.71065182829888707</v>
      </c>
      <c r="D998" s="402">
        <f t="shared" ref="D998:F998" si="1016">ROUNDDOWN($C998*D$2,0) - IF(MOD($C998*D$2,1)=0,1,0) + 1</f>
        <v>2</v>
      </c>
      <c r="E998" s="402">
        <f t="shared" si="1016"/>
        <v>3</v>
      </c>
      <c r="F998" s="402">
        <f t="shared" si="1016"/>
        <v>3</v>
      </c>
      <c r="G998" s="401">
        <f t="shared" si="3"/>
        <v>0</v>
      </c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</row>
    <row r="999" spans="1:20" ht="15.75" customHeight="1">
      <c r="A999" s="399">
        <v>43745</v>
      </c>
      <c r="B999" s="400">
        <v>-4.0180496076797079E-3</v>
      </c>
      <c r="C999" s="401">
        <f t="shared" si="0"/>
        <v>0.32670906200317967</v>
      </c>
      <c r="D999" s="402">
        <f t="shared" ref="D999:F999" si="1017">ROUNDDOWN($C999*D$2,0) - IF(MOD($C999*D$2,1)=0,1,0) + 1</f>
        <v>1</v>
      </c>
      <c r="E999" s="402">
        <f t="shared" si="1017"/>
        <v>1</v>
      </c>
      <c r="F999" s="402">
        <f t="shared" si="1017"/>
        <v>2</v>
      </c>
      <c r="G999" s="401">
        <f t="shared" si="3"/>
        <v>0</v>
      </c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</row>
    <row r="1000" spans="1:20" ht="15.75" customHeight="1">
      <c r="A1000" s="399">
        <v>43746</v>
      </c>
      <c r="B1000" s="400">
        <v>-1.566954855540037E-2</v>
      </c>
      <c r="C1000" s="401">
        <f t="shared" si="0"/>
        <v>0.12877583465818759</v>
      </c>
      <c r="D1000" s="402">
        <f t="shared" ref="D1000:F1000" si="1018">ROUNDDOWN($C1000*D$2,0) - IF(MOD($C1000*D$2,1)=0,1,0) + 1</f>
        <v>1</v>
      </c>
      <c r="E1000" s="402">
        <f t="shared" si="1018"/>
        <v>1</v>
      </c>
      <c r="F1000" s="402">
        <f t="shared" si="1018"/>
        <v>1</v>
      </c>
      <c r="G1000" s="401">
        <f t="shared" si="3"/>
        <v>0</v>
      </c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</row>
    <row r="1001" spans="1:20" ht="15.75" customHeight="1">
      <c r="A1001" s="399">
        <v>43747</v>
      </c>
      <c r="B1001" s="400">
        <v>9.6627988109128093E-3</v>
      </c>
      <c r="C1001" s="401">
        <f t="shared" si="0"/>
        <v>0.73290937996820349</v>
      </c>
      <c r="D1001" s="402">
        <f t="shared" ref="D1001:F1001" si="1019">ROUNDDOWN($C1001*D$2,0) - IF(MOD($C1001*D$2,1)=0,1,0) + 1</f>
        <v>2</v>
      </c>
      <c r="E1001" s="402">
        <f t="shared" si="1019"/>
        <v>3</v>
      </c>
      <c r="F1001" s="402">
        <f t="shared" si="1019"/>
        <v>3</v>
      </c>
      <c r="G1001" s="401">
        <f t="shared" si="3"/>
        <v>9.6627988109128093E-3</v>
      </c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</row>
    <row r="1002" spans="1:20" ht="15.75" customHeight="1">
      <c r="A1002" s="399">
        <v>43748</v>
      </c>
      <c r="B1002" s="400">
        <v>-1.0046515949569956E-3</v>
      </c>
      <c r="C1002" s="401">
        <f t="shared" si="0"/>
        <v>0.41176470588235292</v>
      </c>
      <c r="D1002" s="402">
        <f t="shared" ref="D1002:F1002" si="1020">ROUNDDOWN($C1002*D$2,0) - IF(MOD($C1002*D$2,1)=0,1,0) + 1</f>
        <v>1</v>
      </c>
      <c r="E1002" s="402">
        <f t="shared" si="1020"/>
        <v>2</v>
      </c>
      <c r="F1002" s="402">
        <f t="shared" si="1020"/>
        <v>2</v>
      </c>
      <c r="G1002" s="401">
        <f t="shared" si="3"/>
        <v>0</v>
      </c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</row>
    <row r="1003" spans="1:20" ht="15.75" customHeight="1">
      <c r="A1003" s="399">
        <v>43749</v>
      </c>
      <c r="B1003" s="400">
        <v>6.778045179217207E-3</v>
      </c>
      <c r="C1003" s="401">
        <f t="shared" si="0"/>
        <v>0.65500794912559623</v>
      </c>
      <c r="D1003" s="402">
        <f t="shared" ref="D1003:F1003" si="1021">ROUNDDOWN($C1003*D$2,0) - IF(MOD($C1003*D$2,1)=0,1,0) + 1</f>
        <v>2</v>
      </c>
      <c r="E1003" s="402">
        <f t="shared" si="1021"/>
        <v>2</v>
      </c>
      <c r="F1003" s="402">
        <f t="shared" si="1021"/>
        <v>3</v>
      </c>
      <c r="G1003" s="401">
        <f t="shared" si="3"/>
        <v>0</v>
      </c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</row>
    <row r="1004" spans="1:20" ht="15.75" customHeight="1">
      <c r="A1004" s="399">
        <v>43752</v>
      </c>
      <c r="B1004" s="400">
        <v>2.6040463762759813E-3</v>
      </c>
      <c r="C1004" s="401">
        <f t="shared" si="0"/>
        <v>0.54292527821939585</v>
      </c>
      <c r="D1004" s="402">
        <f t="shared" ref="D1004:F1004" si="1022">ROUNDDOWN($C1004*D$2,0) - IF(MOD($C1004*D$2,1)=0,1,0) + 1</f>
        <v>2</v>
      </c>
      <c r="E1004" s="402">
        <f t="shared" si="1022"/>
        <v>2</v>
      </c>
      <c r="F1004" s="402">
        <f t="shared" si="1022"/>
        <v>3</v>
      </c>
      <c r="G1004" s="401">
        <f t="shared" si="3"/>
        <v>0</v>
      </c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</row>
    <row r="1005" spans="1:20" ht="15.75" customHeight="1">
      <c r="A1005" s="399">
        <v>43753</v>
      </c>
      <c r="B1005" s="400">
        <v>1.7823926101253829E-2</v>
      </c>
      <c r="C1005" s="401">
        <f t="shared" si="0"/>
        <v>0.8783783783783784</v>
      </c>
      <c r="D1005" s="402">
        <f t="shared" ref="D1005:F1005" si="1023">ROUNDDOWN($C1005*D$2,0) - IF(MOD($C1005*D$2,1)=0,1,0) + 1</f>
        <v>2</v>
      </c>
      <c r="E1005" s="402">
        <f t="shared" si="1023"/>
        <v>3</v>
      </c>
      <c r="F1005" s="402">
        <f t="shared" si="1023"/>
        <v>4</v>
      </c>
      <c r="G1005" s="401">
        <f t="shared" si="3"/>
        <v>0</v>
      </c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</row>
    <row r="1006" spans="1:20" ht="15.75" customHeight="1">
      <c r="A1006" s="399">
        <v>43754</v>
      </c>
      <c r="B1006" s="400">
        <v>5.6863832339395515E-3</v>
      </c>
      <c r="C1006" s="401">
        <f t="shared" si="0"/>
        <v>0.62639109697933226</v>
      </c>
      <c r="D1006" s="402">
        <f t="shared" ref="D1006:F1006" si="1024">ROUNDDOWN($C1006*D$2,0) - IF(MOD($C1006*D$2,1)=0,1,0) + 1</f>
        <v>2</v>
      </c>
      <c r="E1006" s="402">
        <f t="shared" si="1024"/>
        <v>2</v>
      </c>
      <c r="F1006" s="402">
        <f t="shared" si="1024"/>
        <v>3</v>
      </c>
      <c r="G1006" s="401">
        <f t="shared" si="3"/>
        <v>0</v>
      </c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</row>
    <row r="1007" spans="1:20" ht="15.75" customHeight="1">
      <c r="A1007" s="399">
        <v>43755</v>
      </c>
      <c r="B1007" s="400">
        <v>5.6542311089606834E-3</v>
      </c>
      <c r="C1007" s="401">
        <f t="shared" si="0"/>
        <v>0.62321144674085849</v>
      </c>
      <c r="D1007" s="402">
        <f t="shared" ref="D1007:F1007" si="1025">ROUNDDOWN($C1007*D$2,0) - IF(MOD($C1007*D$2,1)=0,1,0) + 1</f>
        <v>2</v>
      </c>
      <c r="E1007" s="402">
        <f t="shared" si="1025"/>
        <v>2</v>
      </c>
      <c r="F1007" s="402">
        <f t="shared" si="1025"/>
        <v>3</v>
      </c>
      <c r="G1007" s="401">
        <f t="shared" si="3"/>
        <v>0</v>
      </c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</row>
    <row r="1008" spans="1:20" ht="15.75" customHeight="1">
      <c r="A1008" s="399">
        <v>43756</v>
      </c>
      <c r="B1008" s="400">
        <v>-1.6766621164992057E-2</v>
      </c>
      <c r="C1008" s="401">
        <f t="shared" si="0"/>
        <v>0.11526232114467408</v>
      </c>
      <c r="D1008" s="402">
        <f t="shared" ref="D1008:F1008" si="1026">ROUNDDOWN($C1008*D$2,0) - IF(MOD($C1008*D$2,1)=0,1,0) + 1</f>
        <v>1</v>
      </c>
      <c r="E1008" s="402">
        <f t="shared" si="1026"/>
        <v>1</v>
      </c>
      <c r="F1008" s="402">
        <f t="shared" si="1026"/>
        <v>1</v>
      </c>
      <c r="G1008" s="401">
        <f t="shared" si="3"/>
        <v>0</v>
      </c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</row>
    <row r="1009" spans="1:20" ht="15.75" customHeight="1">
      <c r="A1009" s="399">
        <v>43759</v>
      </c>
      <c r="B1009" s="400">
        <v>1.6016978566267159E-2</v>
      </c>
      <c r="C1009" s="401">
        <f t="shared" si="0"/>
        <v>0.85691573926868048</v>
      </c>
      <c r="D1009" s="402">
        <f t="shared" ref="D1009:F1009" si="1027">ROUNDDOWN($C1009*D$2,0) - IF(MOD($C1009*D$2,1)=0,1,0) + 1</f>
        <v>2</v>
      </c>
      <c r="E1009" s="402">
        <f t="shared" si="1027"/>
        <v>3</v>
      </c>
      <c r="F1009" s="402">
        <f t="shared" si="1027"/>
        <v>4</v>
      </c>
      <c r="G1009" s="401">
        <f t="shared" si="3"/>
        <v>1.6016978566267159E-2</v>
      </c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</row>
    <row r="1010" spans="1:20" ht="15.75" customHeight="1">
      <c r="A1010" s="399">
        <v>43760</v>
      </c>
      <c r="B1010" s="400">
        <v>-1.1161139298634715E-2</v>
      </c>
      <c r="C1010" s="401">
        <f t="shared" si="0"/>
        <v>0.17726550079491257</v>
      </c>
      <c r="D1010" s="402">
        <f t="shared" ref="D1010:F1010" si="1028">ROUNDDOWN($C1010*D$2,0) - IF(MOD($C1010*D$2,1)=0,1,0) + 1</f>
        <v>1</v>
      </c>
      <c r="E1010" s="402">
        <f t="shared" si="1028"/>
        <v>1</v>
      </c>
      <c r="F1010" s="402">
        <f t="shared" si="1028"/>
        <v>1</v>
      </c>
      <c r="G1010" s="401">
        <f t="shared" si="3"/>
        <v>0</v>
      </c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</row>
    <row r="1011" spans="1:20" ht="15.75" customHeight="1">
      <c r="A1011" s="399">
        <v>43761</v>
      </c>
      <c r="B1011" s="400">
        <v>-2.0161632865726142E-3</v>
      </c>
      <c r="C1011" s="401">
        <f t="shared" si="0"/>
        <v>0.38712241653418122</v>
      </c>
      <c r="D1011" s="402">
        <f t="shared" ref="D1011:F1011" si="1029">ROUNDDOWN($C1011*D$2,0) - IF(MOD($C1011*D$2,1)=0,1,0) + 1</f>
        <v>1</v>
      </c>
      <c r="E1011" s="402">
        <f t="shared" si="1029"/>
        <v>2</v>
      </c>
      <c r="F1011" s="402">
        <f t="shared" si="1029"/>
        <v>2</v>
      </c>
      <c r="G1011" s="401">
        <f t="shared" si="3"/>
        <v>-2.0161632865726142E-3</v>
      </c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</row>
    <row r="1012" spans="1:20" ht="15.75" customHeight="1">
      <c r="A1012" s="399">
        <v>43762</v>
      </c>
      <c r="B1012" s="400">
        <v>1.0560842597479247E-2</v>
      </c>
      <c r="C1012" s="401">
        <f t="shared" si="0"/>
        <v>0.74880763116057236</v>
      </c>
      <c r="D1012" s="402">
        <f t="shared" ref="D1012:F1012" si="1030">ROUNDDOWN($C1012*D$2,0) - IF(MOD($C1012*D$2,1)=0,1,0) + 1</f>
        <v>2</v>
      </c>
      <c r="E1012" s="402">
        <f t="shared" si="1030"/>
        <v>3</v>
      </c>
      <c r="F1012" s="402">
        <f t="shared" si="1030"/>
        <v>3</v>
      </c>
      <c r="G1012" s="401">
        <f t="shared" si="3"/>
        <v>0</v>
      </c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</row>
    <row r="1013" spans="1:20" ht="15.75" customHeight="1">
      <c r="A1013" s="399">
        <v>43763</v>
      </c>
      <c r="B1013" s="400">
        <v>-1.0922180168240869E-2</v>
      </c>
      <c r="C1013" s="401">
        <f t="shared" si="0"/>
        <v>0.18044515103338632</v>
      </c>
      <c r="D1013" s="402">
        <f t="shared" ref="D1013:F1013" si="1031">ROUNDDOWN($C1013*D$2,0) - IF(MOD($C1013*D$2,1)=0,1,0) + 1</f>
        <v>1</v>
      </c>
      <c r="E1013" s="402">
        <f t="shared" si="1031"/>
        <v>1</v>
      </c>
      <c r="F1013" s="402">
        <f t="shared" si="1031"/>
        <v>1</v>
      </c>
      <c r="G1013" s="401">
        <f t="shared" si="3"/>
        <v>0</v>
      </c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</row>
    <row r="1014" spans="1:20" ht="15.75" customHeight="1">
      <c r="A1014" s="399">
        <v>43766</v>
      </c>
      <c r="B1014" s="400">
        <v>8.9421062492547332E-3</v>
      </c>
      <c r="C1014" s="401">
        <f t="shared" si="0"/>
        <v>0.71383147853736084</v>
      </c>
      <c r="D1014" s="402">
        <f t="shared" ref="D1014:F1014" si="1032">ROUNDDOWN($C1014*D$2,0) - IF(MOD($C1014*D$2,1)=0,1,0) + 1</f>
        <v>2</v>
      </c>
      <c r="E1014" s="402">
        <f t="shared" si="1032"/>
        <v>3</v>
      </c>
      <c r="F1014" s="402">
        <f t="shared" si="1032"/>
        <v>3</v>
      </c>
      <c r="G1014" s="401">
        <f t="shared" si="3"/>
        <v>8.9421062492547332E-3</v>
      </c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</row>
    <row r="1015" spans="1:20" ht="15.75" customHeight="1">
      <c r="A1015" s="399">
        <v>43767</v>
      </c>
      <c r="B1015" s="400">
        <v>-8.0862988723072737E-3</v>
      </c>
      <c r="C1015" s="401">
        <f t="shared" si="0"/>
        <v>0.22019077901430842</v>
      </c>
      <c r="D1015" s="402">
        <f t="shared" ref="D1015:F1015" si="1033">ROUNDDOWN($C1015*D$2,0) - IF(MOD($C1015*D$2,1)=0,1,0) + 1</f>
        <v>1</v>
      </c>
      <c r="E1015" s="402">
        <f t="shared" si="1033"/>
        <v>1</v>
      </c>
      <c r="F1015" s="402">
        <f t="shared" si="1033"/>
        <v>1</v>
      </c>
      <c r="G1015" s="401">
        <f t="shared" si="3"/>
        <v>0</v>
      </c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</row>
    <row r="1016" spans="1:20" ht="15.75" customHeight="1">
      <c r="A1016" s="399">
        <v>43768</v>
      </c>
      <c r="B1016" s="400">
        <v>9.803087291726964E-3</v>
      </c>
      <c r="C1016" s="401">
        <f t="shared" si="0"/>
        <v>0.73767885532591415</v>
      </c>
      <c r="D1016" s="402">
        <f t="shared" ref="D1016:F1016" si="1034">ROUNDDOWN($C1016*D$2,0) - IF(MOD($C1016*D$2,1)=0,1,0) + 1</f>
        <v>2</v>
      </c>
      <c r="E1016" s="402">
        <f t="shared" si="1034"/>
        <v>3</v>
      </c>
      <c r="F1016" s="402">
        <f t="shared" si="1034"/>
        <v>3</v>
      </c>
      <c r="G1016" s="401">
        <f t="shared" si="3"/>
        <v>9.803087291726964E-3</v>
      </c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</row>
    <row r="1017" spans="1:20" ht="15.75" customHeight="1">
      <c r="A1017" s="399">
        <v>43769</v>
      </c>
      <c r="B1017" s="400">
        <v>-1.8707970269495888E-3</v>
      </c>
      <c r="C1017" s="401">
        <f t="shared" si="0"/>
        <v>0.38950715421303655</v>
      </c>
      <c r="D1017" s="402">
        <f t="shared" ref="D1017:F1017" si="1035">ROUNDDOWN($C1017*D$2,0) - IF(MOD($C1017*D$2,1)=0,1,0) + 1</f>
        <v>1</v>
      </c>
      <c r="E1017" s="402">
        <f t="shared" si="1035"/>
        <v>2</v>
      </c>
      <c r="F1017" s="402">
        <f t="shared" si="1035"/>
        <v>2</v>
      </c>
      <c r="G1017" s="401">
        <f t="shared" si="3"/>
        <v>0</v>
      </c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</row>
    <row r="1018" spans="1:20" ht="15.75" customHeight="1">
      <c r="A1018" s="399">
        <v>43770</v>
      </c>
      <c r="B1018" s="400">
        <v>8.3189805590264676E-3</v>
      </c>
      <c r="C1018" s="401">
        <f t="shared" si="0"/>
        <v>0.69952305246422897</v>
      </c>
      <c r="D1018" s="402">
        <f t="shared" ref="D1018:F1018" si="1036">ROUNDDOWN($C1018*D$2,0) - IF(MOD($C1018*D$2,1)=0,1,0) + 1</f>
        <v>2</v>
      </c>
      <c r="E1018" s="402">
        <f t="shared" si="1036"/>
        <v>3</v>
      </c>
      <c r="F1018" s="402">
        <f t="shared" si="1036"/>
        <v>3</v>
      </c>
      <c r="G1018" s="401">
        <f t="shared" si="3"/>
        <v>0</v>
      </c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</row>
    <row r="1019" spans="1:20" ht="15.75" customHeight="1">
      <c r="A1019" s="399">
        <v>43773</v>
      </c>
      <c r="B1019" s="400">
        <v>7.3795382485597472E-3</v>
      </c>
      <c r="C1019" s="401">
        <f t="shared" si="0"/>
        <v>0.67170111287758349</v>
      </c>
      <c r="D1019" s="402">
        <f t="shared" ref="D1019:F1019" si="1037">ROUNDDOWN($C1019*D$2,0) - IF(MOD($C1019*D$2,1)=0,1,0) + 1</f>
        <v>2</v>
      </c>
      <c r="E1019" s="402">
        <f t="shared" si="1037"/>
        <v>3</v>
      </c>
      <c r="F1019" s="402">
        <f t="shared" si="1037"/>
        <v>3</v>
      </c>
      <c r="G1019" s="401">
        <f t="shared" si="3"/>
        <v>0</v>
      </c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</row>
    <row r="1020" spans="1:20" ht="15.75" customHeight="1">
      <c r="A1020" s="399">
        <v>43774</v>
      </c>
      <c r="B1020" s="400">
        <v>-1.6346569436902492E-3</v>
      </c>
      <c r="C1020" s="401">
        <f t="shared" si="0"/>
        <v>0.3958664546899841</v>
      </c>
      <c r="D1020" s="402">
        <f t="shared" ref="D1020:F1020" si="1038">ROUNDDOWN($C1020*D$2,0) - IF(MOD($C1020*D$2,1)=0,1,0) + 1</f>
        <v>1</v>
      </c>
      <c r="E1020" s="402">
        <f t="shared" si="1038"/>
        <v>2</v>
      </c>
      <c r="F1020" s="402">
        <f t="shared" si="1038"/>
        <v>2</v>
      </c>
      <c r="G1020" s="401">
        <f t="shared" si="3"/>
        <v>0</v>
      </c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</row>
    <row r="1021" spans="1:20" ht="15.75" customHeight="1">
      <c r="A1021" s="399">
        <v>43775</v>
      </c>
      <c r="B1021" s="400">
        <v>-3.2968679754233898E-3</v>
      </c>
      <c r="C1021" s="401">
        <f t="shared" si="0"/>
        <v>0.35294117647058826</v>
      </c>
      <c r="D1021" s="402">
        <f t="shared" ref="D1021:F1021" si="1039">ROUNDDOWN($C1021*D$2,0) - IF(MOD($C1021*D$2,1)=0,1,0) + 1</f>
        <v>1</v>
      </c>
      <c r="E1021" s="402">
        <f t="shared" si="1039"/>
        <v>2</v>
      </c>
      <c r="F1021" s="402">
        <f t="shared" si="1039"/>
        <v>2</v>
      </c>
      <c r="G1021" s="401">
        <f t="shared" si="3"/>
        <v>0</v>
      </c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</row>
    <row r="1022" spans="1:20" ht="15.75" customHeight="1">
      <c r="A1022" s="399">
        <v>43776</v>
      </c>
      <c r="B1022" s="400">
        <v>-4.2154618909994168E-3</v>
      </c>
      <c r="C1022" s="401">
        <f t="shared" si="0"/>
        <v>0.31875993640699524</v>
      </c>
      <c r="D1022" s="402">
        <f t="shared" ref="D1022:F1022" si="1040">ROUNDDOWN($C1022*D$2,0) - IF(MOD($C1022*D$2,1)=0,1,0) + 1</f>
        <v>1</v>
      </c>
      <c r="E1022" s="402">
        <f t="shared" si="1040"/>
        <v>1</v>
      </c>
      <c r="F1022" s="402">
        <f t="shared" si="1040"/>
        <v>2</v>
      </c>
      <c r="G1022" s="401">
        <f t="shared" si="3"/>
        <v>0</v>
      </c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</row>
    <row r="1023" spans="1:20" ht="15.75" customHeight="1">
      <c r="A1023" s="399">
        <v>43777</v>
      </c>
      <c r="B1023" s="400">
        <v>-1.2973940275137208E-3</v>
      </c>
      <c r="C1023" s="401">
        <f t="shared" si="0"/>
        <v>0.40540540540540543</v>
      </c>
      <c r="D1023" s="402">
        <f t="shared" ref="D1023:F1023" si="1041">ROUNDDOWN($C1023*D$2,0) - IF(MOD($C1023*D$2,1)=0,1,0) + 1</f>
        <v>1</v>
      </c>
      <c r="E1023" s="402">
        <f t="shared" si="1041"/>
        <v>2</v>
      </c>
      <c r="F1023" s="402">
        <f t="shared" si="1041"/>
        <v>2</v>
      </c>
      <c r="G1023" s="401">
        <f t="shared" si="3"/>
        <v>0</v>
      </c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</row>
    <row r="1024" spans="1:20" ht="15.75" customHeight="1">
      <c r="A1024" s="399">
        <v>43780</v>
      </c>
      <c r="B1024" s="400">
        <v>-7.9680605639796953E-3</v>
      </c>
      <c r="C1024" s="401">
        <f t="shared" si="0"/>
        <v>0.22178060413354531</v>
      </c>
      <c r="D1024" s="402">
        <f t="shared" ref="D1024:F1024" si="1042">ROUNDDOWN($C1024*D$2,0) - IF(MOD($C1024*D$2,1)=0,1,0) + 1</f>
        <v>1</v>
      </c>
      <c r="E1024" s="402">
        <f t="shared" si="1042"/>
        <v>1</v>
      </c>
      <c r="F1024" s="402">
        <f t="shared" si="1042"/>
        <v>1</v>
      </c>
      <c r="G1024" s="401">
        <f t="shared" si="3"/>
        <v>0</v>
      </c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</row>
    <row r="1025" spans="1:20" ht="15.75" customHeight="1">
      <c r="A1025" s="399">
        <v>43781</v>
      </c>
      <c r="B1025" s="400">
        <v>3.5842293906809264E-3</v>
      </c>
      <c r="C1025" s="401">
        <f t="shared" si="0"/>
        <v>0.56597774244833066</v>
      </c>
      <c r="D1025" s="402">
        <f t="shared" ref="D1025:F1025" si="1043">ROUNDDOWN($C1025*D$2,0) - IF(MOD($C1025*D$2,1)=0,1,0) + 1</f>
        <v>2</v>
      </c>
      <c r="E1025" s="402">
        <f t="shared" si="1043"/>
        <v>2</v>
      </c>
      <c r="F1025" s="402">
        <f t="shared" si="1043"/>
        <v>3</v>
      </c>
      <c r="G1025" s="401">
        <f t="shared" si="3"/>
        <v>3.5842293906809264E-3</v>
      </c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</row>
    <row r="1026" spans="1:20" ht="15.75" customHeight="1">
      <c r="A1026" s="399">
        <v>43782</v>
      </c>
      <c r="B1026" s="400">
        <v>-1.3998875140607492E-2</v>
      </c>
      <c r="C1026" s="401">
        <f t="shared" si="0"/>
        <v>0.14149443561208266</v>
      </c>
      <c r="D1026" s="402">
        <f t="shared" ref="D1026:F1026" si="1044">ROUNDDOWN($C1026*D$2,0) - IF(MOD($C1026*D$2,1)=0,1,0) + 1</f>
        <v>1</v>
      </c>
      <c r="E1026" s="402">
        <f t="shared" si="1044"/>
        <v>1</v>
      </c>
      <c r="F1026" s="402">
        <f t="shared" si="1044"/>
        <v>1</v>
      </c>
      <c r="G1026" s="401">
        <f t="shared" si="3"/>
        <v>0</v>
      </c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</row>
    <row r="1027" spans="1:20" ht="15.75" customHeight="1">
      <c r="A1027" s="399">
        <v>43783</v>
      </c>
      <c r="B1027" s="400">
        <v>8.4991814546730993E-4</v>
      </c>
      <c r="C1027" s="401">
        <f t="shared" si="0"/>
        <v>0.47774244833068363</v>
      </c>
      <c r="D1027" s="402">
        <f t="shared" ref="D1027:F1027" si="1045">ROUNDDOWN($C1027*D$2,0) - IF(MOD($C1027*D$2,1)=0,1,0) + 1</f>
        <v>1</v>
      </c>
      <c r="E1027" s="402">
        <f t="shared" si="1045"/>
        <v>2</v>
      </c>
      <c r="F1027" s="402">
        <f t="shared" si="1045"/>
        <v>2</v>
      </c>
      <c r="G1027" s="401">
        <f t="shared" si="3"/>
        <v>8.4991814546730993E-4</v>
      </c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</row>
    <row r="1028" spans="1:20" ht="15.75" customHeight="1">
      <c r="A1028" s="399">
        <v>43784</v>
      </c>
      <c r="B1028" s="400">
        <v>-8.6116493787757875E-3</v>
      </c>
      <c r="C1028" s="401">
        <f t="shared" si="0"/>
        <v>0.20906200317965024</v>
      </c>
      <c r="D1028" s="402">
        <f t="shared" ref="D1028:F1028" si="1046">ROUNDDOWN($C1028*D$2,0) - IF(MOD($C1028*D$2,1)=0,1,0) + 1</f>
        <v>1</v>
      </c>
      <c r="E1028" s="402">
        <f t="shared" si="1046"/>
        <v>1</v>
      </c>
      <c r="F1028" s="402">
        <f t="shared" si="1046"/>
        <v>1</v>
      </c>
      <c r="G1028" s="401">
        <f t="shared" si="3"/>
        <v>0</v>
      </c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</row>
    <row r="1029" spans="1:20" ht="15.75" customHeight="1">
      <c r="A1029" s="399">
        <v>43787</v>
      </c>
      <c r="B1029" s="400">
        <v>7.496450108939845E-3</v>
      </c>
      <c r="C1029" s="401">
        <f t="shared" si="0"/>
        <v>0.67965023847376793</v>
      </c>
      <c r="D1029" s="402">
        <f t="shared" ref="D1029:F1029" si="1047">ROUNDDOWN($C1029*D$2,0) - IF(MOD($C1029*D$2,1)=0,1,0) + 1</f>
        <v>2</v>
      </c>
      <c r="E1029" s="402">
        <f t="shared" si="1047"/>
        <v>3</v>
      </c>
      <c r="F1029" s="402">
        <f t="shared" si="1047"/>
        <v>3</v>
      </c>
      <c r="G1029" s="401">
        <f t="shared" si="3"/>
        <v>7.496450108939845E-3</v>
      </c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</row>
    <row r="1030" spans="1:20" ht="15.75" customHeight="1">
      <c r="A1030" s="399">
        <v>43788</v>
      </c>
      <c r="B1030" s="400">
        <v>1.483569468139212E-4</v>
      </c>
      <c r="C1030" s="401">
        <f t="shared" si="0"/>
        <v>0.45230524642289349</v>
      </c>
      <c r="D1030" s="402">
        <f t="shared" ref="D1030:F1030" si="1048">ROUNDDOWN($C1030*D$2,0) - IF(MOD($C1030*D$2,1)=0,1,0) + 1</f>
        <v>1</v>
      </c>
      <c r="E1030" s="402">
        <f t="shared" si="1048"/>
        <v>2</v>
      </c>
      <c r="F1030" s="402">
        <f t="shared" si="1048"/>
        <v>2</v>
      </c>
      <c r="G1030" s="401">
        <f t="shared" si="3"/>
        <v>0</v>
      </c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</row>
    <row r="1031" spans="1:20" ht="15.75" customHeight="1">
      <c r="A1031" s="399">
        <v>43789</v>
      </c>
      <c r="B1031" s="400">
        <v>-4.1419679482425087E-3</v>
      </c>
      <c r="C1031" s="401">
        <f t="shared" si="0"/>
        <v>0.32034976152623212</v>
      </c>
      <c r="D1031" s="402">
        <f t="shared" ref="D1031:F1031" si="1049">ROUNDDOWN($C1031*D$2,0) - IF(MOD($C1031*D$2,1)=0,1,0) + 1</f>
        <v>1</v>
      </c>
      <c r="E1031" s="402">
        <f t="shared" si="1049"/>
        <v>1</v>
      </c>
      <c r="F1031" s="402">
        <f t="shared" si="1049"/>
        <v>2</v>
      </c>
      <c r="G1031" s="401">
        <f t="shared" si="3"/>
        <v>0</v>
      </c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</row>
    <row r="1032" spans="1:20" ht="15.75" customHeight="1">
      <c r="A1032" s="399">
        <v>43790</v>
      </c>
      <c r="B1032" s="400">
        <v>-6.1986903691142459E-3</v>
      </c>
      <c r="C1032" s="401">
        <f t="shared" si="0"/>
        <v>0.26470588235294118</v>
      </c>
      <c r="D1032" s="402">
        <f t="shared" ref="D1032:F1032" si="1050">ROUNDDOWN($C1032*D$2,0) - IF(MOD($C1032*D$2,1)=0,1,0) + 1</f>
        <v>1</v>
      </c>
      <c r="E1032" s="402">
        <f t="shared" si="1050"/>
        <v>1</v>
      </c>
      <c r="F1032" s="402">
        <f t="shared" si="1050"/>
        <v>2</v>
      </c>
      <c r="G1032" s="401">
        <f t="shared" si="3"/>
        <v>0</v>
      </c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</row>
    <row r="1033" spans="1:20" ht="15.75" customHeight="1">
      <c r="A1033" s="399">
        <v>43791</v>
      </c>
      <c r="B1033" s="400">
        <v>6.3468821878007731E-3</v>
      </c>
      <c r="C1033" s="401">
        <f t="shared" si="0"/>
        <v>0.64069952305246425</v>
      </c>
      <c r="D1033" s="402">
        <f t="shared" ref="D1033:F1033" si="1051">ROUNDDOWN($C1033*D$2,0) - IF(MOD($C1033*D$2,1)=0,1,0) + 1</f>
        <v>2</v>
      </c>
      <c r="E1033" s="402">
        <f t="shared" si="1051"/>
        <v>2</v>
      </c>
      <c r="F1033" s="402">
        <f t="shared" si="1051"/>
        <v>3</v>
      </c>
      <c r="G1033" s="401">
        <f t="shared" si="3"/>
        <v>0</v>
      </c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</row>
    <row r="1034" spans="1:20" ht="15.75" customHeight="1">
      <c r="A1034" s="399">
        <v>43794</v>
      </c>
      <c r="B1034" s="400">
        <v>1.6107966913365246E-2</v>
      </c>
      <c r="C1034" s="401">
        <f t="shared" si="0"/>
        <v>0.85771065182829886</v>
      </c>
      <c r="D1034" s="402">
        <f t="shared" ref="D1034:F1034" si="1052">ROUNDDOWN($C1034*D$2,0) - IF(MOD($C1034*D$2,1)=0,1,0) + 1</f>
        <v>2</v>
      </c>
      <c r="E1034" s="402">
        <f t="shared" si="1052"/>
        <v>3</v>
      </c>
      <c r="F1034" s="402">
        <f t="shared" si="1052"/>
        <v>4</v>
      </c>
      <c r="G1034" s="401">
        <f t="shared" si="3"/>
        <v>0</v>
      </c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</row>
    <row r="1035" spans="1:20" ht="15.75" customHeight="1">
      <c r="A1035" s="399">
        <v>43795</v>
      </c>
      <c r="B1035" s="400">
        <v>1.3022595048031382E-2</v>
      </c>
      <c r="C1035" s="401">
        <f t="shared" si="0"/>
        <v>0.80445151033386331</v>
      </c>
      <c r="D1035" s="402">
        <f t="shared" ref="D1035:F1035" si="1053">ROUNDDOWN($C1035*D$2,0) - IF(MOD($C1035*D$2,1)=0,1,0) + 1</f>
        <v>2</v>
      </c>
      <c r="E1035" s="402">
        <f t="shared" si="1053"/>
        <v>3</v>
      </c>
      <c r="F1035" s="402">
        <f t="shared" si="1053"/>
        <v>4</v>
      </c>
      <c r="G1035" s="401">
        <f t="shared" si="3"/>
        <v>0</v>
      </c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</row>
    <row r="1036" spans="1:20" ht="15.75" customHeight="1">
      <c r="A1036" s="399">
        <v>43796</v>
      </c>
      <c r="B1036" s="400">
        <v>1.2003739690807702E-2</v>
      </c>
      <c r="C1036" s="401">
        <f t="shared" si="0"/>
        <v>0.78219395866454688</v>
      </c>
      <c r="D1036" s="402">
        <f t="shared" ref="D1036:F1036" si="1054">ROUNDDOWN($C1036*D$2,0) - IF(MOD($C1036*D$2,1)=0,1,0) + 1</f>
        <v>2</v>
      </c>
      <c r="E1036" s="402">
        <f t="shared" si="1054"/>
        <v>3</v>
      </c>
      <c r="F1036" s="402">
        <f t="shared" si="1054"/>
        <v>4</v>
      </c>
      <c r="G1036" s="401">
        <f t="shared" si="3"/>
        <v>0</v>
      </c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</row>
    <row r="1037" spans="1:20" ht="15.75" customHeight="1">
      <c r="A1037" s="399">
        <v>43797</v>
      </c>
      <c r="B1037" s="400">
        <v>0</v>
      </c>
      <c r="C1037" s="401">
        <f t="shared" si="0"/>
        <v>0.44316375198728142</v>
      </c>
      <c r="D1037" s="402">
        <f t="shared" ref="D1037:F1037" si="1055">ROUNDDOWN($C1037*D$2,0) - IF(MOD($C1037*D$2,1)=0,1,0) + 1</f>
        <v>1</v>
      </c>
      <c r="E1037" s="402">
        <f t="shared" si="1055"/>
        <v>2</v>
      </c>
      <c r="F1037" s="402">
        <f t="shared" si="1055"/>
        <v>2</v>
      </c>
      <c r="G1037" s="401">
        <f t="shared" si="3"/>
        <v>0</v>
      </c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</row>
    <row r="1038" spans="1:20" ht="15.75" customHeight="1">
      <c r="A1038" s="399">
        <v>43798</v>
      </c>
      <c r="B1038" s="400">
        <v>-9.7387421570406252E-3</v>
      </c>
      <c r="C1038" s="401">
        <f t="shared" si="0"/>
        <v>0.18998410174880764</v>
      </c>
      <c r="D1038" s="402">
        <f t="shared" ref="D1038:F1038" si="1056">ROUNDDOWN($C1038*D$2,0) - IF(MOD($C1038*D$2,1)=0,1,0) + 1</f>
        <v>1</v>
      </c>
      <c r="E1038" s="402">
        <f t="shared" si="1056"/>
        <v>1</v>
      </c>
      <c r="F1038" s="402">
        <f t="shared" si="1056"/>
        <v>1</v>
      </c>
      <c r="G1038" s="401">
        <f t="shared" si="3"/>
        <v>0</v>
      </c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</row>
    <row r="1039" spans="1:20" ht="15.75" customHeight="1">
      <c r="A1039" s="399">
        <v>43801</v>
      </c>
      <c r="B1039" s="400">
        <v>-1.0661928031985846E-2</v>
      </c>
      <c r="C1039" s="401">
        <f t="shared" si="0"/>
        <v>0.18282988871224165</v>
      </c>
      <c r="D1039" s="402">
        <f t="shared" ref="D1039:F1039" si="1057">ROUNDDOWN($C1039*D$2,0) - IF(MOD($C1039*D$2,1)=0,1,0) + 1</f>
        <v>1</v>
      </c>
      <c r="E1039" s="402">
        <f t="shared" si="1057"/>
        <v>1</v>
      </c>
      <c r="F1039" s="402">
        <f t="shared" si="1057"/>
        <v>1</v>
      </c>
      <c r="G1039" s="401">
        <f t="shared" si="3"/>
        <v>-1.0661928031985846E-2</v>
      </c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</row>
    <row r="1040" spans="1:20" ht="15.75" customHeight="1">
      <c r="A1040" s="399">
        <v>43802</v>
      </c>
      <c r="B1040" s="400">
        <v>-6.5334530758868192E-3</v>
      </c>
      <c r="C1040" s="401">
        <f t="shared" si="0"/>
        <v>0.25278219395866453</v>
      </c>
      <c r="D1040" s="402">
        <f t="shared" ref="D1040:F1040" si="1058">ROUNDDOWN($C1040*D$2,0) - IF(MOD($C1040*D$2,1)=0,1,0) + 1</f>
        <v>1</v>
      </c>
      <c r="E1040" s="402">
        <f t="shared" si="1058"/>
        <v>1</v>
      </c>
      <c r="F1040" s="402">
        <f t="shared" si="1058"/>
        <v>2</v>
      </c>
      <c r="G1040" s="401">
        <f t="shared" si="3"/>
        <v>-6.5334530758868192E-3</v>
      </c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</row>
    <row r="1041" spans="1:20" ht="15.75" customHeight="1">
      <c r="A1041" s="399">
        <v>43803</v>
      </c>
      <c r="B1041" s="400">
        <v>-5.2374064950619914E-3</v>
      </c>
      <c r="C1041" s="401">
        <f t="shared" si="0"/>
        <v>0.28934817170111288</v>
      </c>
      <c r="D1041" s="402">
        <f t="shared" ref="D1041:F1041" si="1059">ROUNDDOWN($C1041*D$2,0) - IF(MOD($C1041*D$2,1)=0,1,0) + 1</f>
        <v>1</v>
      </c>
      <c r="E1041" s="402">
        <f t="shared" si="1059"/>
        <v>1</v>
      </c>
      <c r="F1041" s="402">
        <f t="shared" si="1059"/>
        <v>2</v>
      </c>
      <c r="G1041" s="401">
        <f t="shared" si="3"/>
        <v>0</v>
      </c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</row>
    <row r="1042" spans="1:20" ht="15.75" customHeight="1">
      <c r="A1042" s="399">
        <v>43804</v>
      </c>
      <c r="B1042" s="400">
        <v>-1.1478454469554533E-2</v>
      </c>
      <c r="C1042" s="401">
        <f t="shared" si="0"/>
        <v>0.17329093799682035</v>
      </c>
      <c r="D1042" s="402">
        <f t="shared" ref="D1042:F1042" si="1060">ROUNDDOWN($C1042*D$2,0) - IF(MOD($C1042*D$2,1)=0,1,0) + 1</f>
        <v>1</v>
      </c>
      <c r="E1042" s="402">
        <f t="shared" si="1060"/>
        <v>1</v>
      </c>
      <c r="F1042" s="402">
        <f t="shared" si="1060"/>
        <v>1</v>
      </c>
      <c r="G1042" s="401">
        <f t="shared" si="3"/>
        <v>0</v>
      </c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</row>
    <row r="1043" spans="1:20" ht="15.75" customHeight="1">
      <c r="A1043" s="399">
        <v>43805</v>
      </c>
      <c r="B1043" s="400">
        <v>6.3890421033276912E-3</v>
      </c>
      <c r="C1043" s="401">
        <f t="shared" si="0"/>
        <v>0.64387917329093802</v>
      </c>
      <c r="D1043" s="402">
        <f t="shared" ref="D1043:F1043" si="1061">ROUNDDOWN($C1043*D$2,0) - IF(MOD($C1043*D$2,1)=0,1,0) + 1</f>
        <v>2</v>
      </c>
      <c r="E1043" s="402">
        <f t="shared" si="1061"/>
        <v>2</v>
      </c>
      <c r="F1043" s="402">
        <f t="shared" si="1061"/>
        <v>3</v>
      </c>
      <c r="G1043" s="401">
        <f t="shared" si="3"/>
        <v>6.3890421033276912E-3</v>
      </c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</row>
    <row r="1044" spans="1:20" ht="15.75" customHeight="1">
      <c r="A1044" s="399">
        <v>43808</v>
      </c>
      <c r="B1044" s="400">
        <v>-1.1931947933317977E-3</v>
      </c>
      <c r="C1044" s="401">
        <f t="shared" si="0"/>
        <v>0.40858505564387915</v>
      </c>
      <c r="D1044" s="402">
        <f t="shared" ref="D1044:F1044" si="1062">ROUNDDOWN($C1044*D$2,0) - IF(MOD($C1044*D$2,1)=0,1,0) + 1</f>
        <v>1</v>
      </c>
      <c r="E1044" s="402">
        <f t="shared" si="1062"/>
        <v>2</v>
      </c>
      <c r="F1044" s="402">
        <f t="shared" si="1062"/>
        <v>2</v>
      </c>
      <c r="G1044" s="401">
        <f t="shared" si="3"/>
        <v>0</v>
      </c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</row>
    <row r="1045" spans="1:20" ht="15.75" customHeight="1">
      <c r="A1045" s="399">
        <v>43809</v>
      </c>
      <c r="B1045" s="400">
        <v>-5.8873627472835199E-3</v>
      </c>
      <c r="C1045" s="401">
        <f t="shared" si="0"/>
        <v>0.27106518282988873</v>
      </c>
      <c r="D1045" s="402">
        <f t="shared" ref="D1045:F1045" si="1063">ROUNDDOWN($C1045*D$2,0) - IF(MOD($C1045*D$2,1)=0,1,0) + 1</f>
        <v>1</v>
      </c>
      <c r="E1045" s="402">
        <f t="shared" si="1063"/>
        <v>1</v>
      </c>
      <c r="F1045" s="402">
        <f t="shared" si="1063"/>
        <v>2</v>
      </c>
      <c r="G1045" s="401">
        <f t="shared" si="3"/>
        <v>0</v>
      </c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</row>
    <row r="1046" spans="1:20" ht="15.75" customHeight="1">
      <c r="A1046" s="399">
        <v>43810</v>
      </c>
      <c r="B1046" s="400">
        <v>5.4679998390072537E-3</v>
      </c>
      <c r="C1046" s="401">
        <f t="shared" si="0"/>
        <v>0.61844197138314783</v>
      </c>
      <c r="D1046" s="402">
        <f t="shared" ref="D1046:F1046" si="1064">ROUNDDOWN($C1046*D$2,0) - IF(MOD($C1046*D$2,1)=0,1,0) + 1</f>
        <v>2</v>
      </c>
      <c r="E1046" s="402">
        <f t="shared" si="1064"/>
        <v>2</v>
      </c>
      <c r="F1046" s="402">
        <f t="shared" si="1064"/>
        <v>3</v>
      </c>
      <c r="G1046" s="401">
        <f t="shared" si="3"/>
        <v>0</v>
      </c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</row>
    <row r="1047" spans="1:20" ht="15.75" customHeight="1">
      <c r="A1047" s="399">
        <v>43811</v>
      </c>
      <c r="B1047" s="400">
        <v>6.6391417722677648E-3</v>
      </c>
      <c r="C1047" s="401">
        <f t="shared" si="0"/>
        <v>0.65182829888712246</v>
      </c>
      <c r="D1047" s="402">
        <f t="shared" ref="D1047:F1047" si="1065">ROUNDDOWN($C1047*D$2,0) - IF(MOD($C1047*D$2,1)=0,1,0) + 1</f>
        <v>2</v>
      </c>
      <c r="E1047" s="402">
        <f t="shared" si="1065"/>
        <v>2</v>
      </c>
      <c r="F1047" s="402">
        <f t="shared" si="1065"/>
        <v>3</v>
      </c>
      <c r="G1047" s="401">
        <f t="shared" si="3"/>
        <v>0</v>
      </c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</row>
    <row r="1048" spans="1:20" ht="15.75" customHeight="1">
      <c r="A1048" s="399">
        <v>43812</v>
      </c>
      <c r="B1048" s="400">
        <v>3.465259354780148E-4</v>
      </c>
      <c r="C1048" s="401">
        <f t="shared" si="0"/>
        <v>0.46104928457869632</v>
      </c>
      <c r="D1048" s="402">
        <f t="shared" ref="D1048:F1048" si="1066">ROUNDDOWN($C1048*D$2,0) - IF(MOD($C1048*D$2,1)=0,1,0) + 1</f>
        <v>1</v>
      </c>
      <c r="E1048" s="402">
        <f t="shared" si="1066"/>
        <v>2</v>
      </c>
      <c r="F1048" s="402">
        <f t="shared" si="1066"/>
        <v>2</v>
      </c>
      <c r="G1048" s="401">
        <f t="shared" si="3"/>
        <v>0</v>
      </c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</row>
    <row r="1049" spans="1:20" ht="15.75" customHeight="1">
      <c r="A1049" s="399">
        <v>43815</v>
      </c>
      <c r="B1049" s="400">
        <v>4.6963553556622628E-3</v>
      </c>
      <c r="C1049" s="401">
        <f t="shared" si="0"/>
        <v>0.59538950715421302</v>
      </c>
      <c r="D1049" s="402">
        <f t="shared" ref="D1049:F1049" si="1067">ROUNDDOWN($C1049*D$2,0) - IF(MOD($C1049*D$2,1)=0,1,0) + 1</f>
        <v>2</v>
      </c>
      <c r="E1049" s="402">
        <f t="shared" si="1067"/>
        <v>2</v>
      </c>
      <c r="F1049" s="402">
        <f t="shared" si="1067"/>
        <v>3</v>
      </c>
      <c r="G1049" s="401">
        <f t="shared" si="3"/>
        <v>0</v>
      </c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</row>
    <row r="1050" spans="1:20" ht="15.75" customHeight="1">
      <c r="A1050" s="399">
        <v>43816</v>
      </c>
      <c r="B1050" s="400">
        <v>1.2124055369345577E-2</v>
      </c>
      <c r="C1050" s="401">
        <f t="shared" si="0"/>
        <v>0.78378378378378377</v>
      </c>
      <c r="D1050" s="402">
        <f t="shared" ref="D1050:F1050" si="1068">ROUNDDOWN($C1050*D$2,0) - IF(MOD($C1050*D$2,1)=0,1,0) + 1</f>
        <v>2</v>
      </c>
      <c r="E1050" s="402">
        <f t="shared" si="1068"/>
        <v>3</v>
      </c>
      <c r="F1050" s="402">
        <f t="shared" si="1068"/>
        <v>4</v>
      </c>
      <c r="G1050" s="401">
        <f t="shared" si="3"/>
        <v>0</v>
      </c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</row>
    <row r="1051" spans="1:20" ht="15.75" customHeight="1">
      <c r="A1051" s="399">
        <v>43817</v>
      </c>
      <c r="B1051" s="400">
        <v>-3.7025454301766736E-3</v>
      </c>
      <c r="C1051" s="401">
        <f t="shared" si="0"/>
        <v>0.34340222575516693</v>
      </c>
      <c r="D1051" s="402">
        <f t="shared" ref="D1051:F1051" si="1069">ROUNDDOWN($C1051*D$2,0) - IF(MOD($C1051*D$2,1)=0,1,0) + 1</f>
        <v>1</v>
      </c>
      <c r="E1051" s="402">
        <f t="shared" si="1069"/>
        <v>2</v>
      </c>
      <c r="F1051" s="402">
        <f t="shared" si="1069"/>
        <v>2</v>
      </c>
      <c r="G1051" s="401">
        <f t="shared" si="3"/>
        <v>0</v>
      </c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</row>
    <row r="1052" spans="1:20" ht="15.75" customHeight="1">
      <c r="A1052" s="399">
        <v>43818</v>
      </c>
      <c r="B1052" s="400">
        <v>4.6243616979535496E-3</v>
      </c>
      <c r="C1052" s="401">
        <f t="shared" si="0"/>
        <v>0.59141494435612085</v>
      </c>
      <c r="D1052" s="402">
        <f t="shared" ref="D1052:F1052" si="1070">ROUNDDOWN($C1052*D$2,0) - IF(MOD($C1052*D$2,1)=0,1,0) + 1</f>
        <v>2</v>
      </c>
      <c r="E1052" s="402">
        <f t="shared" si="1070"/>
        <v>2</v>
      </c>
      <c r="F1052" s="402">
        <f t="shared" si="1070"/>
        <v>3</v>
      </c>
      <c r="G1052" s="401">
        <f t="shared" si="3"/>
        <v>0</v>
      </c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</row>
    <row r="1053" spans="1:20" ht="15.75" customHeight="1">
      <c r="A1053" s="399">
        <v>43819</v>
      </c>
      <c r="B1053" s="400">
        <v>-3.2249425313009006E-3</v>
      </c>
      <c r="C1053" s="401">
        <f t="shared" si="0"/>
        <v>0.35532591414944353</v>
      </c>
      <c r="D1053" s="402">
        <f t="shared" ref="D1053:F1053" si="1071">ROUNDDOWN($C1053*D$2,0) - IF(MOD($C1053*D$2,1)=0,1,0) + 1</f>
        <v>1</v>
      </c>
      <c r="E1053" s="402">
        <f t="shared" si="1071"/>
        <v>2</v>
      </c>
      <c r="F1053" s="402">
        <f t="shared" si="1071"/>
        <v>2</v>
      </c>
      <c r="G1053" s="401">
        <f t="shared" si="3"/>
        <v>0</v>
      </c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</row>
    <row r="1054" spans="1:20" ht="15.75" customHeight="1">
      <c r="A1054" s="399">
        <v>43822</v>
      </c>
      <c r="B1054" s="400">
        <v>3.6383991043940078E-3</v>
      </c>
      <c r="C1054" s="401">
        <f t="shared" si="0"/>
        <v>0.56836248012718604</v>
      </c>
      <c r="D1054" s="402">
        <f t="shared" ref="D1054:F1054" si="1072">ROUNDDOWN($C1054*D$2,0) - IF(MOD($C1054*D$2,1)=0,1,0) + 1</f>
        <v>2</v>
      </c>
      <c r="E1054" s="402">
        <f t="shared" si="1072"/>
        <v>2</v>
      </c>
      <c r="F1054" s="402">
        <f t="shared" si="1072"/>
        <v>3</v>
      </c>
      <c r="G1054" s="401">
        <f t="shared" si="3"/>
        <v>0</v>
      </c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</row>
    <row r="1055" spans="1:20" ht="15.75" customHeight="1">
      <c r="A1055" s="399">
        <v>43823</v>
      </c>
      <c r="B1055" s="400">
        <v>-2.1137757947573554E-3</v>
      </c>
      <c r="C1055" s="401">
        <f t="shared" si="0"/>
        <v>0.38394276629570745</v>
      </c>
      <c r="D1055" s="402">
        <f t="shared" ref="D1055:F1055" si="1073">ROUNDDOWN($C1055*D$2,0) - IF(MOD($C1055*D$2,1)=0,1,0) + 1</f>
        <v>1</v>
      </c>
      <c r="E1055" s="402">
        <f t="shared" si="1073"/>
        <v>2</v>
      </c>
      <c r="F1055" s="402">
        <f t="shared" si="1073"/>
        <v>2</v>
      </c>
      <c r="G1055" s="401">
        <f t="shared" si="3"/>
        <v>0</v>
      </c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</row>
    <row r="1056" spans="1:20" ht="15.75" customHeight="1">
      <c r="A1056" s="399">
        <v>43824</v>
      </c>
      <c r="B1056" s="400">
        <v>0</v>
      </c>
      <c r="C1056" s="401">
        <f t="shared" si="0"/>
        <v>0.44316375198728142</v>
      </c>
      <c r="D1056" s="402">
        <f t="shared" ref="D1056:F1056" si="1074">ROUNDDOWN($C1056*D$2,0) - IF(MOD($C1056*D$2,1)=0,1,0) + 1</f>
        <v>1</v>
      </c>
      <c r="E1056" s="402">
        <f t="shared" si="1074"/>
        <v>2</v>
      </c>
      <c r="F1056" s="402">
        <f t="shared" si="1074"/>
        <v>2</v>
      </c>
      <c r="G1056" s="401">
        <f t="shared" si="3"/>
        <v>0</v>
      </c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</row>
    <row r="1057" spans="1:20" ht="15.75" customHeight="1">
      <c r="A1057" s="399">
        <v>43825</v>
      </c>
      <c r="B1057" s="400">
        <v>4.4466552277262039E-2</v>
      </c>
      <c r="C1057" s="401">
        <f t="shared" si="0"/>
        <v>0.98092209856915735</v>
      </c>
      <c r="D1057" s="402">
        <f t="shared" ref="D1057:F1057" si="1075">ROUNDDOWN($C1057*D$2,0) - IF(MOD($C1057*D$2,1)=0,1,0) + 1</f>
        <v>2</v>
      </c>
      <c r="E1057" s="402">
        <f t="shared" si="1075"/>
        <v>3</v>
      </c>
      <c r="F1057" s="402">
        <f t="shared" si="1075"/>
        <v>4</v>
      </c>
      <c r="G1057" s="401">
        <f t="shared" si="3"/>
        <v>0</v>
      </c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</row>
    <row r="1058" spans="1:20" ht="15.75" customHeight="1">
      <c r="A1058" s="399">
        <v>43826</v>
      </c>
      <c r="B1058" s="400">
        <v>5.5116466980953405E-4</v>
      </c>
      <c r="C1058" s="401">
        <f t="shared" si="0"/>
        <v>0.46661367249602542</v>
      </c>
      <c r="D1058" s="402">
        <f t="shared" ref="D1058:F1058" si="1076">ROUNDDOWN($C1058*D$2,0) - IF(MOD($C1058*D$2,1)=0,1,0) + 1</f>
        <v>1</v>
      </c>
      <c r="E1058" s="402">
        <f t="shared" si="1076"/>
        <v>2</v>
      </c>
      <c r="F1058" s="402">
        <f t="shared" si="1076"/>
        <v>2</v>
      </c>
      <c r="G1058" s="401">
        <f t="shared" si="3"/>
        <v>0</v>
      </c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</row>
    <row r="1059" spans="1:20" ht="15.75" customHeight="1">
      <c r="A1059" s="399">
        <v>43829</v>
      </c>
      <c r="B1059" s="400">
        <v>-1.2252647341961631E-2</v>
      </c>
      <c r="C1059" s="401">
        <f t="shared" si="0"/>
        <v>0.1589825119236884</v>
      </c>
      <c r="D1059" s="402">
        <f t="shared" ref="D1059:F1059" si="1077">ROUNDDOWN($C1059*D$2,0) - IF(MOD($C1059*D$2,1)=0,1,0) + 1</f>
        <v>1</v>
      </c>
      <c r="E1059" s="402">
        <f t="shared" si="1077"/>
        <v>1</v>
      </c>
      <c r="F1059" s="402">
        <f t="shared" si="1077"/>
        <v>1</v>
      </c>
      <c r="G1059" s="401">
        <f t="shared" si="3"/>
        <v>0</v>
      </c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</row>
    <row r="1060" spans="1:20" ht="15.75" customHeight="1">
      <c r="A1060" s="399">
        <v>43830</v>
      </c>
      <c r="B1060" s="400">
        <v>5.1437822501609887E-4</v>
      </c>
      <c r="C1060" s="401">
        <f t="shared" si="0"/>
        <v>0.46343402225755165</v>
      </c>
      <c r="D1060" s="402">
        <f t="shared" ref="D1060:F1060" si="1078">ROUNDDOWN($C1060*D$2,0) - IF(MOD($C1060*D$2,1)=0,1,0) + 1</f>
        <v>1</v>
      </c>
      <c r="E1060" s="402">
        <f t="shared" si="1078"/>
        <v>2</v>
      </c>
      <c r="F1060" s="402">
        <f t="shared" si="1078"/>
        <v>2</v>
      </c>
      <c r="G1060" s="401">
        <f t="shared" si="3"/>
        <v>5.1437822501609887E-4</v>
      </c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</row>
    <row r="1061" spans="1:20" ht="15.75" customHeight="1">
      <c r="A1061" s="399">
        <v>43832</v>
      </c>
      <c r="B1061" s="400">
        <v>2.7150619101220963E-2</v>
      </c>
      <c r="C1061" s="401">
        <f t="shared" si="0"/>
        <v>0.93958664546899839</v>
      </c>
      <c r="D1061" s="402">
        <f t="shared" ref="D1061:F1061" si="1079">ROUNDDOWN($C1061*D$2,0) - IF(MOD($C1061*D$2,1)=0,1,0) + 1</f>
        <v>2</v>
      </c>
      <c r="E1061" s="402">
        <f t="shared" si="1079"/>
        <v>3</v>
      </c>
      <c r="F1061" s="402">
        <f t="shared" si="1079"/>
        <v>4</v>
      </c>
      <c r="G1061" s="401">
        <f t="shared" si="3"/>
        <v>0</v>
      </c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</row>
    <row r="1062" spans="1:20" ht="15.75" customHeight="1">
      <c r="A1062" s="399">
        <v>43833</v>
      </c>
      <c r="B1062" s="400">
        <v>-1.2139029825975589E-2</v>
      </c>
      <c r="C1062" s="401">
        <f t="shared" si="0"/>
        <v>0.16454689984101747</v>
      </c>
      <c r="D1062" s="402">
        <f t="shared" ref="D1062:F1062" si="1080">ROUNDDOWN($C1062*D$2,0) - IF(MOD($C1062*D$2,1)=0,1,0) + 1</f>
        <v>1</v>
      </c>
      <c r="E1062" s="402">
        <f t="shared" si="1080"/>
        <v>1</v>
      </c>
      <c r="F1062" s="402">
        <f t="shared" si="1080"/>
        <v>1</v>
      </c>
      <c r="G1062" s="401">
        <f t="shared" si="3"/>
        <v>0</v>
      </c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</row>
    <row r="1063" spans="1:20" ht="15.75" customHeight="1">
      <c r="A1063" s="399">
        <v>43836</v>
      </c>
      <c r="B1063" s="400">
        <v>1.4885571502477379E-2</v>
      </c>
      <c r="C1063" s="401">
        <f t="shared" si="0"/>
        <v>0.83942766295707472</v>
      </c>
      <c r="D1063" s="402">
        <f t="shared" ref="D1063:F1063" si="1081">ROUNDDOWN($C1063*D$2,0) - IF(MOD($C1063*D$2,1)=0,1,0) + 1</f>
        <v>2</v>
      </c>
      <c r="E1063" s="402">
        <f t="shared" si="1081"/>
        <v>3</v>
      </c>
      <c r="F1063" s="402">
        <f t="shared" si="1081"/>
        <v>4</v>
      </c>
      <c r="G1063" s="401">
        <f t="shared" si="3"/>
        <v>1.4885571502477379E-2</v>
      </c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</row>
    <row r="1064" spans="1:20" ht="15.75" customHeight="1">
      <c r="A1064" s="399">
        <v>43837</v>
      </c>
      <c r="B1064" s="400">
        <v>2.0915664676699475E-3</v>
      </c>
      <c r="C1064" s="401">
        <f t="shared" si="0"/>
        <v>0.52861685214626386</v>
      </c>
      <c r="D1064" s="402">
        <f t="shared" ref="D1064:F1064" si="1082">ROUNDDOWN($C1064*D$2,0) - IF(MOD($C1064*D$2,1)=0,1,0) + 1</f>
        <v>2</v>
      </c>
      <c r="E1064" s="402">
        <f t="shared" si="1082"/>
        <v>2</v>
      </c>
      <c r="F1064" s="402">
        <f t="shared" si="1082"/>
        <v>3</v>
      </c>
      <c r="G1064" s="401">
        <f t="shared" si="3"/>
        <v>0</v>
      </c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</row>
    <row r="1065" spans="1:20" ht="15.75" customHeight="1">
      <c r="A1065" s="399">
        <v>43838</v>
      </c>
      <c r="B1065" s="400">
        <v>-7.808648773376059E-3</v>
      </c>
      <c r="C1065" s="401">
        <f t="shared" si="0"/>
        <v>0.22575516693163752</v>
      </c>
      <c r="D1065" s="402">
        <f t="shared" ref="D1065:F1065" si="1083">ROUNDDOWN($C1065*D$2,0) - IF(MOD($C1065*D$2,1)=0,1,0) + 1</f>
        <v>1</v>
      </c>
      <c r="E1065" s="402">
        <f t="shared" si="1083"/>
        <v>1</v>
      </c>
      <c r="F1065" s="402">
        <f t="shared" si="1083"/>
        <v>1</v>
      </c>
      <c r="G1065" s="401">
        <f t="shared" si="3"/>
        <v>0</v>
      </c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</row>
    <row r="1066" spans="1:20" ht="15.75" customHeight="1">
      <c r="A1066" s="399">
        <v>43839</v>
      </c>
      <c r="B1066" s="400">
        <v>4.7992304317721057E-3</v>
      </c>
      <c r="C1066" s="401">
        <f t="shared" si="0"/>
        <v>0.59856915739268679</v>
      </c>
      <c r="D1066" s="402">
        <f t="shared" ref="D1066:F1066" si="1084">ROUNDDOWN($C1066*D$2,0) - IF(MOD($C1066*D$2,1)=0,1,0) + 1</f>
        <v>2</v>
      </c>
      <c r="E1066" s="402">
        <f t="shared" si="1084"/>
        <v>2</v>
      </c>
      <c r="F1066" s="402">
        <f t="shared" si="1084"/>
        <v>3</v>
      </c>
      <c r="G1066" s="401">
        <f t="shared" si="3"/>
        <v>4.7992304317721057E-3</v>
      </c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</row>
    <row r="1067" spans="1:20" ht="15.75" customHeight="1">
      <c r="A1067" s="399">
        <v>43840</v>
      </c>
      <c r="B1067" s="400">
        <v>-9.4105888850897212E-3</v>
      </c>
      <c r="C1067" s="401">
        <f t="shared" si="0"/>
        <v>0.19395866454689983</v>
      </c>
      <c r="D1067" s="402">
        <f t="shared" ref="D1067:F1067" si="1085">ROUNDDOWN($C1067*D$2,0) - IF(MOD($C1067*D$2,1)=0,1,0) + 1</f>
        <v>1</v>
      </c>
      <c r="E1067" s="402">
        <f t="shared" si="1085"/>
        <v>1</v>
      </c>
      <c r="F1067" s="402">
        <f t="shared" si="1085"/>
        <v>1</v>
      </c>
      <c r="G1067" s="401">
        <f t="shared" si="3"/>
        <v>0</v>
      </c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</row>
    <row r="1068" spans="1:20" ht="15.75" customHeight="1">
      <c r="A1068" s="399">
        <v>43843</v>
      </c>
      <c r="B1068" s="400">
        <v>4.3225217188129772E-3</v>
      </c>
      <c r="C1068" s="401">
        <f t="shared" si="0"/>
        <v>0.58108108108108103</v>
      </c>
      <c r="D1068" s="402">
        <f t="shared" ref="D1068:F1068" si="1086">ROUNDDOWN($C1068*D$2,0) - IF(MOD($C1068*D$2,1)=0,1,0) + 1</f>
        <v>2</v>
      </c>
      <c r="E1068" s="402">
        <f t="shared" si="1086"/>
        <v>2</v>
      </c>
      <c r="F1068" s="402">
        <f t="shared" si="1086"/>
        <v>3</v>
      </c>
      <c r="G1068" s="401">
        <f t="shared" si="3"/>
        <v>4.3225217188129772E-3</v>
      </c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</row>
    <row r="1069" spans="1:20" ht="15.75" customHeight="1">
      <c r="A1069" s="399">
        <v>43844</v>
      </c>
      <c r="B1069" s="400">
        <v>-1.155818749008608E-2</v>
      </c>
      <c r="C1069" s="401">
        <f t="shared" si="0"/>
        <v>0.17090620031796502</v>
      </c>
      <c r="D1069" s="402">
        <f t="shared" ref="D1069:F1069" si="1087">ROUNDDOWN($C1069*D$2,0) - IF(MOD($C1069*D$2,1)=0,1,0) + 1</f>
        <v>1</v>
      </c>
      <c r="E1069" s="402">
        <f t="shared" si="1087"/>
        <v>1</v>
      </c>
      <c r="F1069" s="402">
        <f t="shared" si="1087"/>
        <v>1</v>
      </c>
      <c r="G1069" s="401">
        <f t="shared" si="3"/>
        <v>0</v>
      </c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</row>
    <row r="1070" spans="1:20" ht="15.75" customHeight="1">
      <c r="A1070" s="399">
        <v>43845</v>
      </c>
      <c r="B1070" s="400">
        <v>-3.9691030469017896E-3</v>
      </c>
      <c r="C1070" s="401">
        <f t="shared" si="0"/>
        <v>0.32988871224165339</v>
      </c>
      <c r="D1070" s="402">
        <f t="shared" ref="D1070:F1070" si="1088">ROUNDDOWN($C1070*D$2,0) - IF(MOD($C1070*D$2,1)=0,1,0) + 1</f>
        <v>1</v>
      </c>
      <c r="E1070" s="402">
        <f t="shared" si="1088"/>
        <v>1</v>
      </c>
      <c r="F1070" s="402">
        <f t="shared" si="1088"/>
        <v>2</v>
      </c>
      <c r="G1070" s="401">
        <f t="shared" si="3"/>
        <v>-3.9691030469017896E-3</v>
      </c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</row>
    <row r="1071" spans="1:20" ht="15.75" customHeight="1">
      <c r="A1071" s="399">
        <v>43846</v>
      </c>
      <c r="B1071" s="400">
        <v>8.5498544591358083E-3</v>
      </c>
      <c r="C1071" s="401">
        <f t="shared" si="0"/>
        <v>0.70349761526232113</v>
      </c>
      <c r="D1071" s="402">
        <f t="shared" ref="D1071:F1071" si="1089">ROUNDDOWN($C1071*D$2,0) - IF(MOD($C1071*D$2,1)=0,1,0) + 1</f>
        <v>2</v>
      </c>
      <c r="E1071" s="402">
        <f t="shared" si="1089"/>
        <v>3</v>
      </c>
      <c r="F1071" s="402">
        <f t="shared" si="1089"/>
        <v>3</v>
      </c>
      <c r="G1071" s="401">
        <f t="shared" si="3"/>
        <v>0</v>
      </c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</row>
    <row r="1072" spans="1:20" ht="15.75" customHeight="1">
      <c r="A1072" s="399">
        <v>43847</v>
      </c>
      <c r="B1072" s="400">
        <v>-7.0396285291329797E-3</v>
      </c>
      <c r="C1072" s="401">
        <f t="shared" si="0"/>
        <v>0.24403815580286167</v>
      </c>
      <c r="D1072" s="402">
        <f t="shared" ref="D1072:F1072" si="1090">ROUNDDOWN($C1072*D$2,0) - IF(MOD($C1072*D$2,1)=0,1,0) + 1</f>
        <v>1</v>
      </c>
      <c r="E1072" s="402">
        <f t="shared" si="1090"/>
        <v>1</v>
      </c>
      <c r="F1072" s="402">
        <f t="shared" si="1090"/>
        <v>1</v>
      </c>
      <c r="G1072" s="401">
        <f t="shared" si="3"/>
        <v>0</v>
      </c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</row>
    <row r="1073" spans="1:20" ht="15.75" customHeight="1">
      <c r="A1073" s="399">
        <v>43851</v>
      </c>
      <c r="B1073" s="400">
        <v>1.4629542236904269E-2</v>
      </c>
      <c r="C1073" s="401">
        <f t="shared" si="0"/>
        <v>0.83624801271860094</v>
      </c>
      <c r="D1073" s="402">
        <f t="shared" ref="D1073:F1073" si="1091">ROUNDDOWN($C1073*D$2,0) - IF(MOD($C1073*D$2,1)=0,1,0) + 1</f>
        <v>2</v>
      </c>
      <c r="E1073" s="402">
        <f t="shared" si="1091"/>
        <v>3</v>
      </c>
      <c r="F1073" s="402">
        <f t="shared" si="1091"/>
        <v>4</v>
      </c>
      <c r="G1073" s="401">
        <f t="shared" si="3"/>
        <v>1.4629542236904269E-2</v>
      </c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</row>
    <row r="1074" spans="1:20" ht="15.75" customHeight="1">
      <c r="A1074" s="399">
        <v>43852</v>
      </c>
      <c r="B1074" s="400">
        <v>-2.3995771670189958E-3</v>
      </c>
      <c r="C1074" s="401">
        <f t="shared" si="0"/>
        <v>0.37599364069952307</v>
      </c>
      <c r="D1074" s="402">
        <f t="shared" ref="D1074:F1074" si="1092">ROUNDDOWN($C1074*D$2,0) - IF(MOD($C1074*D$2,1)=0,1,0) + 1</f>
        <v>1</v>
      </c>
      <c r="E1074" s="402">
        <f t="shared" si="1092"/>
        <v>2</v>
      </c>
      <c r="F1074" s="402">
        <f t="shared" si="1092"/>
        <v>2</v>
      </c>
      <c r="G1074" s="401">
        <f t="shared" si="3"/>
        <v>0</v>
      </c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</row>
    <row r="1075" spans="1:20" ht="15.75" customHeight="1">
      <c r="A1075" s="399">
        <v>43853</v>
      </c>
      <c r="B1075" s="400">
        <v>-1.5258601506787928E-3</v>
      </c>
      <c r="C1075" s="401">
        <f t="shared" si="0"/>
        <v>0.39825119236883944</v>
      </c>
      <c r="D1075" s="402">
        <f t="shared" ref="D1075:F1075" si="1093">ROUNDDOWN($C1075*D$2,0) - IF(MOD($C1075*D$2,1)=0,1,0) + 1</f>
        <v>1</v>
      </c>
      <c r="E1075" s="402">
        <f t="shared" si="1093"/>
        <v>2</v>
      </c>
      <c r="F1075" s="402">
        <f t="shared" si="1093"/>
        <v>2</v>
      </c>
      <c r="G1075" s="401">
        <f t="shared" si="3"/>
        <v>0</v>
      </c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</row>
    <row r="1076" spans="1:20" ht="15.75" customHeight="1">
      <c r="A1076" s="399">
        <v>43854</v>
      </c>
      <c r="B1076" s="400">
        <v>-1.2172473442358389E-2</v>
      </c>
      <c r="C1076" s="401">
        <f t="shared" si="0"/>
        <v>0.16216216216216217</v>
      </c>
      <c r="D1076" s="402">
        <f t="shared" ref="D1076:F1076" si="1094">ROUNDDOWN($C1076*D$2,0) - IF(MOD($C1076*D$2,1)=0,1,0) + 1</f>
        <v>1</v>
      </c>
      <c r="E1076" s="402">
        <f t="shared" si="1094"/>
        <v>1</v>
      </c>
      <c r="F1076" s="402">
        <f t="shared" si="1094"/>
        <v>1</v>
      </c>
      <c r="G1076" s="401">
        <f t="shared" si="3"/>
        <v>0</v>
      </c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</row>
    <row r="1077" spans="1:20" ht="15.75" customHeight="1">
      <c r="A1077" s="399">
        <v>43857</v>
      </c>
      <c r="B1077" s="400">
        <v>-1.7887454072753162E-2</v>
      </c>
      <c r="C1077" s="401">
        <f t="shared" si="0"/>
        <v>0.10651828298887123</v>
      </c>
      <c r="D1077" s="402">
        <f t="shared" ref="D1077:F1077" si="1095">ROUNDDOWN($C1077*D$2,0) - IF(MOD($C1077*D$2,1)=0,1,0) + 1</f>
        <v>1</v>
      </c>
      <c r="E1077" s="402">
        <f t="shared" si="1095"/>
        <v>1</v>
      </c>
      <c r="F1077" s="402">
        <f t="shared" si="1095"/>
        <v>1</v>
      </c>
      <c r="G1077" s="401">
        <f t="shared" si="3"/>
        <v>-1.7887454072753162E-2</v>
      </c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</row>
    <row r="1078" spans="1:20" ht="15.75" customHeight="1">
      <c r="A1078" s="399">
        <v>43858</v>
      </c>
      <c r="B1078" s="400">
        <v>1.362438058566795E-2</v>
      </c>
      <c r="C1078" s="401">
        <f t="shared" si="0"/>
        <v>0.81637519872813991</v>
      </c>
      <c r="D1078" s="402">
        <f t="shared" ref="D1078:F1078" si="1096">ROUNDDOWN($C1078*D$2,0) - IF(MOD($C1078*D$2,1)=0,1,0) + 1</f>
        <v>2</v>
      </c>
      <c r="E1078" s="402">
        <f t="shared" si="1096"/>
        <v>3</v>
      </c>
      <c r="F1078" s="402">
        <f t="shared" si="1096"/>
        <v>4</v>
      </c>
      <c r="G1078" s="401">
        <f t="shared" si="3"/>
        <v>1.362438058566795E-2</v>
      </c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</row>
    <row r="1079" spans="1:20" ht="15.75" customHeight="1">
      <c r="A1079" s="399">
        <v>43859</v>
      </c>
      <c r="B1079" s="400">
        <v>2.5630648860111016E-3</v>
      </c>
      <c r="C1079" s="401">
        <f t="shared" si="0"/>
        <v>0.54133545310015896</v>
      </c>
      <c r="D1079" s="402">
        <f t="shared" ref="D1079:F1079" si="1097">ROUNDDOWN($C1079*D$2,0) - IF(MOD($C1079*D$2,1)=0,1,0) + 1</f>
        <v>2</v>
      </c>
      <c r="E1079" s="402">
        <f t="shared" si="1097"/>
        <v>2</v>
      </c>
      <c r="F1079" s="402">
        <f t="shared" si="1097"/>
        <v>3</v>
      </c>
      <c r="G1079" s="401">
        <f t="shared" si="3"/>
        <v>0</v>
      </c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</row>
    <row r="1080" spans="1:20" ht="15.75" customHeight="1">
      <c r="A1080" s="399">
        <v>43860</v>
      </c>
      <c r="B1080" s="400">
        <v>6.824542518837573E-3</v>
      </c>
      <c r="C1080" s="401">
        <f t="shared" si="0"/>
        <v>0.65739268680445151</v>
      </c>
      <c r="D1080" s="402">
        <f t="shared" ref="D1080:F1080" si="1098">ROUNDDOWN($C1080*D$2,0) - IF(MOD($C1080*D$2,1)=0,1,0) + 1</f>
        <v>2</v>
      </c>
      <c r="E1080" s="402">
        <f t="shared" si="1098"/>
        <v>2</v>
      </c>
      <c r="F1080" s="402">
        <f t="shared" si="1098"/>
        <v>3</v>
      </c>
      <c r="G1080" s="401">
        <f t="shared" si="3"/>
        <v>0</v>
      </c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</row>
    <row r="1081" spans="1:20" ht="15.75" customHeight="1">
      <c r="A1081" s="399">
        <v>43861</v>
      </c>
      <c r="B1081" s="400">
        <v>7.3791348600508844E-2</v>
      </c>
      <c r="C1081" s="401">
        <f t="shared" si="0"/>
        <v>0.99602543720190784</v>
      </c>
      <c r="D1081" s="402">
        <f t="shared" ref="D1081:F1081" si="1099">ROUNDDOWN($C1081*D$2,0) - IF(MOD($C1081*D$2,1)=0,1,0) + 1</f>
        <v>2</v>
      </c>
      <c r="E1081" s="402">
        <f t="shared" si="1099"/>
        <v>3</v>
      </c>
      <c r="F1081" s="402">
        <f t="shared" si="1099"/>
        <v>4</v>
      </c>
      <c r="G1081" s="401">
        <f t="shared" si="3"/>
        <v>0</v>
      </c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</row>
    <row r="1082" spans="1:20" ht="15.75" customHeight="1">
      <c r="A1082" s="399">
        <v>43864</v>
      </c>
      <c r="B1082" s="400">
        <v>-2.2501891751961489E-3</v>
      </c>
      <c r="C1082" s="401">
        <f t="shared" si="0"/>
        <v>0.37996820349761529</v>
      </c>
      <c r="D1082" s="402">
        <f t="shared" ref="D1082:F1082" si="1100">ROUNDDOWN($C1082*D$2,0) - IF(MOD($C1082*D$2,1)=0,1,0) + 1</f>
        <v>1</v>
      </c>
      <c r="E1082" s="402">
        <f t="shared" si="1100"/>
        <v>2</v>
      </c>
      <c r="F1082" s="402">
        <f t="shared" si="1100"/>
        <v>2</v>
      </c>
      <c r="G1082" s="401">
        <f t="shared" si="3"/>
        <v>0</v>
      </c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</row>
    <row r="1083" spans="1:20" ht="15.75" customHeight="1">
      <c r="A1083" s="399">
        <v>43865</v>
      </c>
      <c r="B1083" s="400">
        <v>2.2687356551242432E-2</v>
      </c>
      <c r="C1083" s="401">
        <f t="shared" si="0"/>
        <v>0.9149443561208267</v>
      </c>
      <c r="D1083" s="402">
        <f t="shared" ref="D1083:F1083" si="1101">ROUNDDOWN($C1083*D$2,0) - IF(MOD($C1083*D$2,1)=0,1,0) + 1</f>
        <v>2</v>
      </c>
      <c r="E1083" s="402">
        <f t="shared" si="1101"/>
        <v>3</v>
      </c>
      <c r="F1083" s="402">
        <f t="shared" si="1101"/>
        <v>4</v>
      </c>
      <c r="G1083" s="401">
        <f t="shared" si="3"/>
        <v>0</v>
      </c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</row>
    <row r="1084" spans="1:20" ht="15.75" customHeight="1">
      <c r="A1084" s="399">
        <v>43866</v>
      </c>
      <c r="B1084" s="400">
        <v>-4.7812574707148947E-3</v>
      </c>
      <c r="C1084" s="401">
        <f t="shared" si="0"/>
        <v>0.30127186009538953</v>
      </c>
      <c r="D1084" s="402">
        <f t="shared" ref="D1084:F1084" si="1102">ROUNDDOWN($C1084*D$2,0) - IF(MOD($C1084*D$2,1)=0,1,0) + 1</f>
        <v>1</v>
      </c>
      <c r="E1084" s="402">
        <f t="shared" si="1102"/>
        <v>1</v>
      </c>
      <c r="F1084" s="402">
        <f t="shared" si="1102"/>
        <v>2</v>
      </c>
      <c r="G1084" s="401">
        <f t="shared" si="3"/>
        <v>0</v>
      </c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</row>
    <row r="1085" spans="1:20" ht="15.75" customHeight="1">
      <c r="A1085" s="399">
        <v>43867</v>
      </c>
      <c r="B1085" s="400">
        <v>5.0787550187021413E-3</v>
      </c>
      <c r="C1085" s="401">
        <f t="shared" si="0"/>
        <v>0.60731319554848961</v>
      </c>
      <c r="D1085" s="402">
        <f t="shared" ref="D1085:F1085" si="1103">ROUNDDOWN($C1085*D$2,0) - IF(MOD($C1085*D$2,1)=0,1,0) + 1</f>
        <v>2</v>
      </c>
      <c r="E1085" s="402">
        <f t="shared" si="1103"/>
        <v>2</v>
      </c>
      <c r="F1085" s="402">
        <f t="shared" si="1103"/>
        <v>3</v>
      </c>
      <c r="G1085" s="401">
        <f t="shared" si="3"/>
        <v>0</v>
      </c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</row>
    <row r="1086" spans="1:20" ht="15.75" customHeight="1">
      <c r="A1086" s="399">
        <v>43868</v>
      </c>
      <c r="B1086" s="400">
        <v>1.4169141998702672E-2</v>
      </c>
      <c r="C1086" s="401">
        <f t="shared" si="0"/>
        <v>0.82114467408585057</v>
      </c>
      <c r="D1086" s="402">
        <f t="shared" ref="D1086:F1086" si="1104">ROUNDDOWN($C1086*D$2,0) - IF(MOD($C1086*D$2,1)=0,1,0) + 1</f>
        <v>2</v>
      </c>
      <c r="E1086" s="402">
        <f t="shared" si="1104"/>
        <v>3</v>
      </c>
      <c r="F1086" s="402">
        <f t="shared" si="1104"/>
        <v>4</v>
      </c>
      <c r="G1086" s="401">
        <f t="shared" si="3"/>
        <v>0</v>
      </c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</row>
    <row r="1087" spans="1:20" ht="15.75" customHeight="1">
      <c r="A1087" s="399">
        <v>43871</v>
      </c>
      <c r="B1087" s="400">
        <v>2.627351775614617E-2</v>
      </c>
      <c r="C1087" s="401">
        <f t="shared" si="0"/>
        <v>0.93561208267090623</v>
      </c>
      <c r="D1087" s="402">
        <f t="shared" ref="D1087:F1087" si="1105">ROUNDDOWN($C1087*D$2,0) - IF(MOD($C1087*D$2,1)=0,1,0) + 1</f>
        <v>2</v>
      </c>
      <c r="E1087" s="402">
        <f t="shared" si="1105"/>
        <v>3</v>
      </c>
      <c r="F1087" s="402">
        <f t="shared" si="1105"/>
        <v>4</v>
      </c>
      <c r="G1087" s="401">
        <f t="shared" si="3"/>
        <v>0</v>
      </c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</row>
    <row r="1088" spans="1:20" ht="15.75" customHeight="1">
      <c r="A1088" s="399">
        <v>43872</v>
      </c>
      <c r="B1088" s="400">
        <v>7.9150479635974325E-3</v>
      </c>
      <c r="C1088" s="401">
        <f t="shared" si="0"/>
        <v>0.68680445151033387</v>
      </c>
      <c r="D1088" s="402">
        <f t="shared" ref="D1088:F1088" si="1106">ROUNDDOWN($C1088*D$2,0) - IF(MOD($C1088*D$2,1)=0,1,0) + 1</f>
        <v>2</v>
      </c>
      <c r="E1088" s="402">
        <f t="shared" si="1106"/>
        <v>3</v>
      </c>
      <c r="F1088" s="402">
        <f t="shared" si="1106"/>
        <v>3</v>
      </c>
      <c r="G1088" s="401">
        <f t="shared" si="3"/>
        <v>0</v>
      </c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</row>
    <row r="1089" spans="1:20" ht="15.75" customHeight="1">
      <c r="A1089" s="399">
        <v>43873</v>
      </c>
      <c r="B1089" s="400">
        <v>4.2774781476659918E-3</v>
      </c>
      <c r="C1089" s="401">
        <f t="shared" si="0"/>
        <v>0.57869634340222575</v>
      </c>
      <c r="D1089" s="402">
        <f t="shared" ref="D1089:F1089" si="1107">ROUNDDOWN($C1089*D$2,0) - IF(MOD($C1089*D$2,1)=0,1,0) + 1</f>
        <v>2</v>
      </c>
      <c r="E1089" s="402">
        <f t="shared" si="1107"/>
        <v>2</v>
      </c>
      <c r="F1089" s="402">
        <f t="shared" si="1107"/>
        <v>3</v>
      </c>
      <c r="G1089" s="401">
        <f t="shared" si="3"/>
        <v>0</v>
      </c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</row>
    <row r="1090" spans="1:20" ht="15.75" customHeight="1">
      <c r="A1090" s="399">
        <v>43874</v>
      </c>
      <c r="B1090" s="400">
        <v>-4.6898148148148966E-3</v>
      </c>
      <c r="C1090" s="401">
        <f t="shared" si="0"/>
        <v>0.30445151033386325</v>
      </c>
      <c r="D1090" s="402">
        <f t="shared" ref="D1090:F1090" si="1108">ROUNDDOWN($C1090*D$2,0) - IF(MOD($C1090*D$2,1)=0,1,0) + 1</f>
        <v>1</v>
      </c>
      <c r="E1090" s="402">
        <f t="shared" si="1108"/>
        <v>1</v>
      </c>
      <c r="F1090" s="402">
        <f t="shared" si="1108"/>
        <v>2</v>
      </c>
      <c r="G1090" s="401">
        <f t="shared" si="3"/>
        <v>0</v>
      </c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</row>
    <row r="1091" spans="1:20" ht="15.75" customHeight="1">
      <c r="A1091" s="399">
        <v>43875</v>
      </c>
      <c r="B1091" s="400">
        <v>-6.9771660612036879E-3</v>
      </c>
      <c r="C1091" s="401">
        <f t="shared" si="0"/>
        <v>0.24562798092209856</v>
      </c>
      <c r="D1091" s="402">
        <f t="shared" ref="D1091:F1091" si="1109">ROUNDDOWN($C1091*D$2,0) - IF(MOD($C1091*D$2,1)=0,1,0) + 1</f>
        <v>1</v>
      </c>
      <c r="E1091" s="402">
        <f t="shared" si="1109"/>
        <v>1</v>
      </c>
      <c r="F1091" s="402">
        <f t="shared" si="1109"/>
        <v>1</v>
      </c>
      <c r="G1091" s="401">
        <f t="shared" si="3"/>
        <v>0</v>
      </c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</row>
    <row r="1092" spans="1:20" ht="15.75" customHeight="1">
      <c r="A1092" s="399">
        <v>43879</v>
      </c>
      <c r="B1092" s="400">
        <v>9.7429820082721719E-3</v>
      </c>
      <c r="C1092" s="401">
        <f t="shared" si="0"/>
        <v>0.73529411764705888</v>
      </c>
      <c r="D1092" s="402">
        <f t="shared" ref="D1092:F1092" si="1110">ROUNDDOWN($C1092*D$2,0) - IF(MOD($C1092*D$2,1)=0,1,0) + 1</f>
        <v>2</v>
      </c>
      <c r="E1092" s="402">
        <f t="shared" si="1110"/>
        <v>3</v>
      </c>
      <c r="F1092" s="402">
        <f t="shared" si="1110"/>
        <v>3</v>
      </c>
      <c r="G1092" s="401">
        <f t="shared" si="3"/>
        <v>9.7429820082721719E-3</v>
      </c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</row>
    <row r="1093" spans="1:20" ht="15.75" customHeight="1">
      <c r="A1093" s="399">
        <v>43880</v>
      </c>
      <c r="B1093" s="400">
        <v>6.7496416427375028E-3</v>
      </c>
      <c r="C1093" s="401">
        <f t="shared" si="0"/>
        <v>0.65421303656597773</v>
      </c>
      <c r="D1093" s="402">
        <f t="shared" ref="D1093:F1093" si="1111">ROUNDDOWN($C1093*D$2,0) - IF(MOD($C1093*D$2,1)=0,1,0) + 1</f>
        <v>2</v>
      </c>
      <c r="E1093" s="402">
        <f t="shared" si="1111"/>
        <v>2</v>
      </c>
      <c r="F1093" s="402">
        <f t="shared" si="1111"/>
        <v>3</v>
      </c>
      <c r="G1093" s="401">
        <f t="shared" si="3"/>
        <v>0</v>
      </c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</row>
    <row r="1094" spans="1:20" ht="15.75" customHeight="1">
      <c r="A1094" s="399">
        <v>43881</v>
      </c>
      <c r="B1094" s="400">
        <v>-7.8886011556431601E-3</v>
      </c>
      <c r="C1094" s="401">
        <f t="shared" si="0"/>
        <v>0.22416534181240064</v>
      </c>
      <c r="D1094" s="402">
        <f t="shared" ref="D1094:F1094" si="1112">ROUNDDOWN($C1094*D$2,0) - IF(MOD($C1094*D$2,1)=0,1,0) + 1</f>
        <v>1</v>
      </c>
      <c r="E1094" s="402">
        <f t="shared" si="1112"/>
        <v>1</v>
      </c>
      <c r="F1094" s="402">
        <f t="shared" si="1112"/>
        <v>1</v>
      </c>
      <c r="G1094" s="401">
        <f t="shared" si="3"/>
        <v>0</v>
      </c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</row>
    <row r="1095" spans="1:20" ht="15.75" customHeight="1">
      <c r="A1095" s="399">
        <v>43882</v>
      </c>
      <c r="B1095" s="400">
        <v>-2.6533834935674183E-2</v>
      </c>
      <c r="C1095" s="401">
        <f t="shared" si="0"/>
        <v>5.9618441971383149E-2</v>
      </c>
      <c r="D1095" s="402">
        <f t="shared" ref="D1095:F1095" si="1113">ROUNDDOWN($C1095*D$2,0) - IF(MOD($C1095*D$2,1)=0,1,0) + 1</f>
        <v>1</v>
      </c>
      <c r="E1095" s="402">
        <f t="shared" si="1113"/>
        <v>1</v>
      </c>
      <c r="F1095" s="402">
        <f t="shared" si="1113"/>
        <v>1</v>
      </c>
      <c r="G1095" s="401">
        <f t="shared" si="3"/>
        <v>-2.6533834935674183E-2</v>
      </c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</row>
    <row r="1096" spans="1:20" ht="15.75" customHeight="1">
      <c r="A1096" s="399">
        <v>43885</v>
      </c>
      <c r="B1096" s="400">
        <v>-4.1355553753154806E-2</v>
      </c>
      <c r="C1096" s="401">
        <f t="shared" si="0"/>
        <v>2.2257551669316374E-2</v>
      </c>
      <c r="D1096" s="402">
        <f t="shared" ref="D1096:F1096" si="1114">ROUNDDOWN($C1096*D$2,0) - IF(MOD($C1096*D$2,1)=0,1,0) + 1</f>
        <v>1</v>
      </c>
      <c r="E1096" s="402">
        <f t="shared" si="1114"/>
        <v>1</v>
      </c>
      <c r="F1096" s="402">
        <f t="shared" si="1114"/>
        <v>1</v>
      </c>
      <c r="G1096" s="401">
        <f t="shared" si="3"/>
        <v>-4.1355553753154806E-2</v>
      </c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</row>
    <row r="1097" spans="1:20" ht="15.75" customHeight="1">
      <c r="A1097" s="399">
        <v>43886</v>
      </c>
      <c r="B1097" s="400">
        <v>-1.8190505103792831E-2</v>
      </c>
      <c r="C1097" s="401">
        <f t="shared" si="0"/>
        <v>0.10174880763116058</v>
      </c>
      <c r="D1097" s="402">
        <f t="shared" ref="D1097:F1097" si="1115">ROUNDDOWN($C1097*D$2,0) - IF(MOD($C1097*D$2,1)=0,1,0) + 1</f>
        <v>1</v>
      </c>
      <c r="E1097" s="402">
        <f t="shared" si="1115"/>
        <v>1</v>
      </c>
      <c r="F1097" s="402">
        <f t="shared" si="1115"/>
        <v>1</v>
      </c>
      <c r="G1097" s="401">
        <f t="shared" si="3"/>
        <v>-1.8190505103792831E-2</v>
      </c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</row>
    <row r="1098" spans="1:20" ht="15.75" customHeight="1">
      <c r="A1098" s="399">
        <v>43887</v>
      </c>
      <c r="B1098" s="400">
        <v>3.4723278282997594E-3</v>
      </c>
      <c r="C1098" s="401">
        <f t="shared" si="0"/>
        <v>0.56359300476947538</v>
      </c>
      <c r="D1098" s="402">
        <f t="shared" ref="D1098:F1098" si="1116">ROUNDDOWN($C1098*D$2,0) - IF(MOD($C1098*D$2,1)=0,1,0) + 1</f>
        <v>2</v>
      </c>
      <c r="E1098" s="402">
        <f t="shared" si="1116"/>
        <v>2</v>
      </c>
      <c r="F1098" s="402">
        <f t="shared" si="1116"/>
        <v>3</v>
      </c>
      <c r="G1098" s="401">
        <f t="shared" si="3"/>
        <v>3.4723278282997594E-3</v>
      </c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</row>
    <row r="1099" spans="1:20" ht="15.75" customHeight="1">
      <c r="A1099" s="399">
        <v>43888</v>
      </c>
      <c r="B1099" s="400">
        <v>-4.8136230229491983E-2</v>
      </c>
      <c r="C1099" s="401">
        <f t="shared" si="0"/>
        <v>1.5103338632750398E-2</v>
      </c>
      <c r="D1099" s="402">
        <f t="shared" ref="D1099:F1099" si="1117">ROUNDDOWN($C1099*D$2,0) - IF(MOD($C1099*D$2,1)=0,1,0) + 1</f>
        <v>1</v>
      </c>
      <c r="E1099" s="402">
        <f t="shared" si="1117"/>
        <v>1</v>
      </c>
      <c r="F1099" s="402">
        <f t="shared" si="1117"/>
        <v>1</v>
      </c>
      <c r="G1099" s="401">
        <f t="shared" si="3"/>
        <v>0</v>
      </c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</row>
    <row r="1100" spans="1:20" ht="15.75" customHeight="1">
      <c r="A1100" s="399">
        <v>43889</v>
      </c>
      <c r="B1100" s="400">
        <v>-2.9188558085224692E-4</v>
      </c>
      <c r="C1100" s="401">
        <f t="shared" si="0"/>
        <v>0.4332273449920509</v>
      </c>
      <c r="D1100" s="402">
        <f t="shared" ref="D1100:F1100" si="1118">ROUNDDOWN($C1100*D$2,0) - IF(MOD($C1100*D$2,1)=0,1,0) + 1</f>
        <v>1</v>
      </c>
      <c r="E1100" s="402">
        <f t="shared" si="1118"/>
        <v>2</v>
      </c>
      <c r="F1100" s="402">
        <f t="shared" si="1118"/>
        <v>2</v>
      </c>
      <c r="G1100" s="401">
        <f t="shared" si="3"/>
        <v>-2.9188558085224692E-4</v>
      </c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</row>
    <row r="1101" spans="1:20" ht="15.75" customHeight="1">
      <c r="A1101" s="399">
        <v>43892</v>
      </c>
      <c r="B1101" s="400">
        <v>3.7266091572661031E-2</v>
      </c>
      <c r="C1101" s="401">
        <f t="shared" si="0"/>
        <v>0.96979332273449925</v>
      </c>
      <c r="D1101" s="402">
        <f t="shared" ref="D1101:F1101" si="1119">ROUNDDOWN($C1101*D$2,0) - IF(MOD($C1101*D$2,1)=0,1,0) + 1</f>
        <v>2</v>
      </c>
      <c r="E1101" s="402">
        <f t="shared" si="1119"/>
        <v>3</v>
      </c>
      <c r="F1101" s="402">
        <f t="shared" si="1119"/>
        <v>4</v>
      </c>
      <c r="G1101" s="401">
        <f t="shared" si="3"/>
        <v>0</v>
      </c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</row>
    <row r="1102" spans="1:20" ht="15.75" customHeight="1">
      <c r="A1102" s="399">
        <v>43893</v>
      </c>
      <c r="B1102" s="400">
        <v>-2.3009800660201196E-2</v>
      </c>
      <c r="C1102" s="401">
        <f t="shared" si="0"/>
        <v>7.3926868044515107E-2</v>
      </c>
      <c r="D1102" s="402">
        <f t="shared" ref="D1102:F1102" si="1120">ROUNDDOWN($C1102*D$2,0) - IF(MOD($C1102*D$2,1)=0,1,0) + 1</f>
        <v>1</v>
      </c>
      <c r="E1102" s="402">
        <f t="shared" si="1120"/>
        <v>1</v>
      </c>
      <c r="F1102" s="402">
        <f t="shared" si="1120"/>
        <v>1</v>
      </c>
      <c r="G1102" s="401">
        <f t="shared" si="3"/>
        <v>0</v>
      </c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</row>
    <row r="1103" spans="1:20" ht="15.75" customHeight="1">
      <c r="A1103" s="399">
        <v>43894</v>
      </c>
      <c r="B1103" s="400">
        <v>3.5013279273333087E-2</v>
      </c>
      <c r="C1103" s="401">
        <f t="shared" si="0"/>
        <v>0.96422893481717009</v>
      </c>
      <c r="D1103" s="402">
        <f t="shared" ref="D1103:F1103" si="1121">ROUNDDOWN($C1103*D$2,0) - IF(MOD($C1103*D$2,1)=0,1,0) + 1</f>
        <v>2</v>
      </c>
      <c r="E1103" s="402">
        <f t="shared" si="1121"/>
        <v>3</v>
      </c>
      <c r="F1103" s="402">
        <f t="shared" si="1121"/>
        <v>4</v>
      </c>
      <c r="G1103" s="401">
        <f t="shared" si="3"/>
        <v>3.5013279273333087E-2</v>
      </c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</row>
    <row r="1104" spans="1:20" ht="15.75" customHeight="1">
      <c r="A1104" s="399">
        <v>43895</v>
      </c>
      <c r="B1104" s="400">
        <v>-2.6216830395327517E-2</v>
      </c>
      <c r="C1104" s="401">
        <f t="shared" si="0"/>
        <v>6.0413354531001592E-2</v>
      </c>
      <c r="D1104" s="402">
        <f t="shared" ref="D1104:F1104" si="1122">ROUNDDOWN($C1104*D$2,0) - IF(MOD($C1104*D$2,1)=0,1,0) + 1</f>
        <v>1</v>
      </c>
      <c r="E1104" s="402">
        <f t="shared" si="1122"/>
        <v>1</v>
      </c>
      <c r="F1104" s="402">
        <f t="shared" si="1122"/>
        <v>1</v>
      </c>
      <c r="G1104" s="401">
        <f t="shared" si="3"/>
        <v>0</v>
      </c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</row>
    <row r="1105" spans="1:20" ht="15.75" customHeight="1">
      <c r="A1105" s="399">
        <v>43896</v>
      </c>
      <c r="B1105" s="400">
        <v>-1.1922891015212933E-2</v>
      </c>
      <c r="C1105" s="401">
        <f t="shared" si="0"/>
        <v>0.16693163751987281</v>
      </c>
      <c r="D1105" s="402">
        <f t="shared" ref="D1105:F1105" si="1123">ROUNDDOWN($C1105*D$2,0) - IF(MOD($C1105*D$2,1)=0,1,0) + 1</f>
        <v>1</v>
      </c>
      <c r="E1105" s="402">
        <f t="shared" si="1123"/>
        <v>1</v>
      </c>
      <c r="F1105" s="402">
        <f t="shared" si="1123"/>
        <v>1</v>
      </c>
      <c r="G1105" s="401">
        <f t="shared" si="3"/>
        <v>-1.1922891015212933E-2</v>
      </c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</row>
    <row r="1106" spans="1:20" ht="15.75" customHeight="1">
      <c r="A1106" s="399">
        <v>43899</v>
      </c>
      <c r="B1106" s="400">
        <v>-5.2853889084683026E-2</v>
      </c>
      <c r="C1106" s="401">
        <f t="shared" si="0"/>
        <v>1.192368839427663E-2</v>
      </c>
      <c r="D1106" s="402">
        <f t="shared" ref="D1106:F1106" si="1124">ROUNDDOWN($C1106*D$2,0) - IF(MOD($C1106*D$2,1)=0,1,0) + 1</f>
        <v>1</v>
      </c>
      <c r="E1106" s="402">
        <f t="shared" si="1124"/>
        <v>1</v>
      </c>
      <c r="F1106" s="402">
        <f t="shared" si="1124"/>
        <v>1</v>
      </c>
      <c r="G1106" s="401">
        <f t="shared" si="3"/>
        <v>-5.2853889084683026E-2</v>
      </c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</row>
    <row r="1107" spans="1:20" ht="15.75" customHeight="1">
      <c r="A1107" s="399">
        <v>43900</v>
      </c>
      <c r="B1107" s="400">
        <v>5.0655055786650083E-2</v>
      </c>
      <c r="C1107" s="401">
        <f t="shared" si="0"/>
        <v>0.9872813990461049</v>
      </c>
      <c r="D1107" s="402">
        <f t="shared" ref="D1107:F1107" si="1125">ROUNDDOWN($C1107*D$2,0) - IF(MOD($C1107*D$2,1)=0,1,0) + 1</f>
        <v>2</v>
      </c>
      <c r="E1107" s="402">
        <f t="shared" si="1125"/>
        <v>3</v>
      </c>
      <c r="F1107" s="402">
        <f t="shared" si="1125"/>
        <v>4</v>
      </c>
      <c r="G1107" s="401">
        <f t="shared" si="3"/>
        <v>5.0655055786650083E-2</v>
      </c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</row>
    <row r="1108" spans="1:20" ht="15.75" customHeight="1">
      <c r="A1108" s="399">
        <v>43901</v>
      </c>
      <c r="B1108" s="400">
        <v>-3.750885390787706E-2</v>
      </c>
      <c r="C1108" s="401">
        <f t="shared" si="0"/>
        <v>3.1796502384737677E-2</v>
      </c>
      <c r="D1108" s="402">
        <f t="shared" ref="D1108:F1108" si="1126">ROUNDDOWN($C1108*D$2,0) - IF(MOD($C1108*D$2,1)=0,1,0) + 1</f>
        <v>1</v>
      </c>
      <c r="E1108" s="402">
        <f t="shared" si="1126"/>
        <v>1</v>
      </c>
      <c r="F1108" s="402">
        <f t="shared" si="1126"/>
        <v>1</v>
      </c>
      <c r="G1108" s="401">
        <f t="shared" si="3"/>
        <v>0</v>
      </c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</row>
    <row r="1109" spans="1:20" ht="15.75" customHeight="1">
      <c r="A1109" s="399">
        <v>43902</v>
      </c>
      <c r="B1109" s="400">
        <v>-7.922080775018403E-2</v>
      </c>
      <c r="C1109" s="401">
        <f t="shared" si="0"/>
        <v>7.9491255961844202E-4</v>
      </c>
      <c r="D1109" s="402">
        <f t="shared" ref="D1109:F1109" si="1127">ROUNDDOWN($C1109*D$2,0) - IF(MOD($C1109*D$2,1)=0,1,0) + 1</f>
        <v>1</v>
      </c>
      <c r="E1109" s="402">
        <f t="shared" si="1127"/>
        <v>1</v>
      </c>
      <c r="F1109" s="402">
        <f t="shared" si="1127"/>
        <v>1</v>
      </c>
      <c r="G1109" s="401">
        <f t="shared" si="3"/>
        <v>-7.922080775018403E-2</v>
      </c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</row>
    <row r="1110" spans="1:20" ht="15.75" customHeight="1">
      <c r="A1110" s="399">
        <v>43903</v>
      </c>
      <c r="B1110" s="400">
        <v>6.4648308193318682E-2</v>
      </c>
      <c r="C1110" s="401">
        <f t="shared" si="0"/>
        <v>0.99284578696343406</v>
      </c>
      <c r="D1110" s="402">
        <f t="shared" ref="D1110:F1110" si="1128">ROUNDDOWN($C1110*D$2,0) - IF(MOD($C1110*D$2,1)=0,1,0) + 1</f>
        <v>2</v>
      </c>
      <c r="E1110" s="402">
        <f t="shared" si="1128"/>
        <v>3</v>
      </c>
      <c r="F1110" s="402">
        <f t="shared" si="1128"/>
        <v>4</v>
      </c>
      <c r="G1110" s="401">
        <f t="shared" si="3"/>
        <v>6.4648308193318682E-2</v>
      </c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</row>
    <row r="1111" spans="1:20" ht="15.75" customHeight="1">
      <c r="A1111" s="399">
        <v>43906</v>
      </c>
      <c r="B1111" s="400">
        <v>-5.3697478991596603E-2</v>
      </c>
      <c r="C1111" s="401">
        <f t="shared" si="0"/>
        <v>1.1128775834658187E-2</v>
      </c>
      <c r="D1111" s="402">
        <f t="shared" ref="D1111:F1111" si="1129">ROUNDDOWN($C1111*D$2,0) - IF(MOD($C1111*D$2,1)=0,1,0) + 1</f>
        <v>1</v>
      </c>
      <c r="E1111" s="402">
        <f t="shared" si="1129"/>
        <v>1</v>
      </c>
      <c r="F1111" s="402">
        <f t="shared" si="1129"/>
        <v>1</v>
      </c>
      <c r="G1111" s="401">
        <f t="shared" si="3"/>
        <v>0</v>
      </c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</row>
    <row r="1112" spans="1:20" ht="15.75" customHeight="1">
      <c r="A1112" s="399">
        <v>43907</v>
      </c>
      <c r="B1112" s="400">
        <v>7.0266110173755836E-2</v>
      </c>
      <c r="C1112" s="401">
        <f t="shared" si="0"/>
        <v>0.99443561208267095</v>
      </c>
      <c r="D1112" s="402">
        <f t="shared" ref="D1112:F1112" si="1130">ROUNDDOWN($C1112*D$2,0) - IF(MOD($C1112*D$2,1)=0,1,0) + 1</f>
        <v>2</v>
      </c>
      <c r="E1112" s="402">
        <f t="shared" si="1130"/>
        <v>3</v>
      </c>
      <c r="F1112" s="402">
        <f t="shared" si="1130"/>
        <v>4</v>
      </c>
      <c r="G1112" s="401">
        <f t="shared" si="3"/>
        <v>7.0266110173755836E-2</v>
      </c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</row>
    <row r="1113" spans="1:20" ht="15.75" customHeight="1">
      <c r="A1113" s="399">
        <v>43908</v>
      </c>
      <c r="B1113" s="400">
        <v>1.2257721922294129E-2</v>
      </c>
      <c r="C1113" s="401">
        <f t="shared" si="0"/>
        <v>0.78934817170111293</v>
      </c>
      <c r="D1113" s="402">
        <f t="shared" ref="D1113:F1113" si="1131">ROUNDDOWN($C1113*D$2,0) - IF(MOD($C1113*D$2,1)=0,1,0) + 1</f>
        <v>2</v>
      </c>
      <c r="E1113" s="402">
        <f t="shared" si="1131"/>
        <v>3</v>
      </c>
      <c r="F1113" s="402">
        <f t="shared" si="1131"/>
        <v>4</v>
      </c>
      <c r="G1113" s="401">
        <f t="shared" si="3"/>
        <v>0</v>
      </c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</row>
    <row r="1114" spans="1:20" ht="15.75" customHeight="1">
      <c r="A1114" s="399">
        <v>43909</v>
      </c>
      <c r="B1114" s="400">
        <v>2.7830601092896146E-2</v>
      </c>
      <c r="C1114" s="401">
        <f t="shared" si="0"/>
        <v>0.94435612082670906</v>
      </c>
      <c r="D1114" s="402">
        <f t="shared" ref="D1114:F1114" si="1132">ROUNDDOWN($C1114*D$2,0) - IF(MOD($C1114*D$2,1)=0,1,0) + 1</f>
        <v>2</v>
      </c>
      <c r="E1114" s="402">
        <f t="shared" si="1132"/>
        <v>3</v>
      </c>
      <c r="F1114" s="402">
        <f t="shared" si="1132"/>
        <v>4</v>
      </c>
      <c r="G1114" s="401">
        <f t="shared" si="3"/>
        <v>0</v>
      </c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</row>
    <row r="1115" spans="1:20" ht="15.75" customHeight="1">
      <c r="A1115" s="399">
        <v>43910</v>
      </c>
      <c r="B1115" s="400">
        <v>-1.8522752042872459E-2</v>
      </c>
      <c r="C1115" s="401">
        <f t="shared" si="0"/>
        <v>9.7774244833068361E-2</v>
      </c>
      <c r="D1115" s="402">
        <f t="shared" ref="D1115:F1115" si="1133">ROUNDDOWN($C1115*D$2,0) - IF(MOD($C1115*D$2,1)=0,1,0) + 1</f>
        <v>1</v>
      </c>
      <c r="E1115" s="402">
        <f t="shared" si="1133"/>
        <v>1</v>
      </c>
      <c r="F1115" s="402">
        <f t="shared" si="1133"/>
        <v>1</v>
      </c>
      <c r="G1115" s="401">
        <f t="shared" si="3"/>
        <v>0</v>
      </c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</row>
    <row r="1116" spans="1:20" ht="15.75" customHeight="1">
      <c r="A1116" s="399">
        <v>43913</v>
      </c>
      <c r="B1116" s="400">
        <v>3.0735229593356728E-2</v>
      </c>
      <c r="C1116" s="401">
        <f t="shared" si="0"/>
        <v>0.95310015898251188</v>
      </c>
      <c r="D1116" s="402">
        <f t="shared" ref="D1116:F1116" si="1134">ROUNDDOWN($C1116*D$2,0) - IF(MOD($C1116*D$2,1)=0,1,0) + 1</f>
        <v>2</v>
      </c>
      <c r="E1116" s="402">
        <f t="shared" si="1134"/>
        <v>3</v>
      </c>
      <c r="F1116" s="402">
        <f t="shared" si="1134"/>
        <v>4</v>
      </c>
      <c r="G1116" s="401">
        <f t="shared" si="3"/>
        <v>3.0735229593356728E-2</v>
      </c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</row>
    <row r="1117" spans="1:20" ht="15.75" customHeight="1">
      <c r="A1117" s="399">
        <v>43914</v>
      </c>
      <c r="B1117" s="400">
        <v>1.958661572499909E-2</v>
      </c>
      <c r="C1117" s="401">
        <f t="shared" si="0"/>
        <v>0.89745627980922094</v>
      </c>
      <c r="D1117" s="402">
        <f t="shared" ref="D1117:F1117" si="1135">ROUNDDOWN($C1117*D$2,0) - IF(MOD($C1117*D$2,1)=0,1,0) + 1</f>
        <v>2</v>
      </c>
      <c r="E1117" s="402">
        <f t="shared" si="1135"/>
        <v>3</v>
      </c>
      <c r="F1117" s="402">
        <f t="shared" si="1135"/>
        <v>4</v>
      </c>
      <c r="G1117" s="401">
        <f t="shared" si="3"/>
        <v>0</v>
      </c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</row>
    <row r="1118" spans="1:20" ht="15.75" customHeight="1">
      <c r="A1118" s="399">
        <v>43915</v>
      </c>
      <c r="B1118" s="400">
        <v>-2.796763053450857E-2</v>
      </c>
      <c r="C1118" s="401">
        <f t="shared" si="0"/>
        <v>5.4054054054054057E-2</v>
      </c>
      <c r="D1118" s="402">
        <f t="shared" ref="D1118:F1118" si="1136">ROUNDDOWN($C1118*D$2,0) - IF(MOD($C1118*D$2,1)=0,1,0) + 1</f>
        <v>1</v>
      </c>
      <c r="E1118" s="402">
        <f t="shared" si="1136"/>
        <v>1</v>
      </c>
      <c r="F1118" s="402">
        <f t="shared" si="1136"/>
        <v>1</v>
      </c>
      <c r="G1118" s="401">
        <f t="shared" si="3"/>
        <v>0</v>
      </c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</row>
    <row r="1119" spans="1:20" ht="15.75" customHeight="1">
      <c r="A1119" s="399">
        <v>43916</v>
      </c>
      <c r="B1119" s="400">
        <v>3.6933143851016093E-2</v>
      </c>
      <c r="C1119" s="401">
        <f t="shared" si="0"/>
        <v>0.96740858505564387</v>
      </c>
      <c r="D1119" s="402">
        <f t="shared" ref="D1119:F1119" si="1137">ROUNDDOWN($C1119*D$2,0) - IF(MOD($C1119*D$2,1)=0,1,0) + 1</f>
        <v>2</v>
      </c>
      <c r="E1119" s="402">
        <f t="shared" si="1137"/>
        <v>3</v>
      </c>
      <c r="F1119" s="402">
        <f t="shared" si="1137"/>
        <v>4</v>
      </c>
      <c r="G1119" s="401">
        <f t="shared" si="3"/>
        <v>3.6933143851016093E-2</v>
      </c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</row>
    <row r="1120" spans="1:20" ht="15.75" customHeight="1">
      <c r="A1120" s="399">
        <v>43917</v>
      </c>
      <c r="B1120" s="400">
        <v>-2.8325381362216184E-2</v>
      </c>
      <c r="C1120" s="401">
        <f t="shared" si="0"/>
        <v>5.3259141494435613E-2</v>
      </c>
      <c r="D1120" s="402">
        <f t="shared" ref="D1120:F1120" si="1138">ROUNDDOWN($C1120*D$2,0) - IF(MOD($C1120*D$2,1)=0,1,0) + 1</f>
        <v>1</v>
      </c>
      <c r="E1120" s="402">
        <f t="shared" si="1138"/>
        <v>1</v>
      </c>
      <c r="F1120" s="402">
        <f t="shared" si="1138"/>
        <v>1</v>
      </c>
      <c r="G1120" s="401">
        <f t="shared" si="3"/>
        <v>0</v>
      </c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</row>
    <row r="1121" spans="1:20" ht="15.75" customHeight="1">
      <c r="A1121" s="399">
        <v>43920</v>
      </c>
      <c r="B1121" s="400">
        <v>3.3603494552918445E-2</v>
      </c>
      <c r="C1121" s="401">
        <f t="shared" si="0"/>
        <v>0.95945945945945943</v>
      </c>
      <c r="D1121" s="402">
        <f t="shared" ref="D1121:F1121" si="1139">ROUNDDOWN($C1121*D$2,0) - IF(MOD($C1121*D$2,1)=0,1,0) + 1</f>
        <v>2</v>
      </c>
      <c r="E1121" s="402">
        <f t="shared" si="1139"/>
        <v>3</v>
      </c>
      <c r="F1121" s="402">
        <f t="shared" si="1139"/>
        <v>4</v>
      </c>
      <c r="G1121" s="401">
        <f t="shared" si="3"/>
        <v>3.3603494552918445E-2</v>
      </c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</row>
    <row r="1122" spans="1:20" ht="15.75" customHeight="1">
      <c r="A1122" s="399">
        <v>43921</v>
      </c>
      <c r="B1122" s="400">
        <v>-7.2456019756104162E-3</v>
      </c>
      <c r="C1122" s="401">
        <f t="shared" si="0"/>
        <v>0.23926868044515104</v>
      </c>
      <c r="D1122" s="402">
        <f t="shared" ref="D1122:F1122" si="1140">ROUNDDOWN($C1122*D$2,0) - IF(MOD($C1122*D$2,1)=0,1,0) + 1</f>
        <v>1</v>
      </c>
      <c r="E1122" s="402">
        <f t="shared" si="1140"/>
        <v>1</v>
      </c>
      <c r="F1122" s="402">
        <f t="shared" si="1140"/>
        <v>1</v>
      </c>
      <c r="G1122" s="401">
        <f t="shared" si="3"/>
        <v>0</v>
      </c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</row>
    <row r="1123" spans="1:20" ht="15.75" customHeight="1">
      <c r="A1123" s="399">
        <v>43922</v>
      </c>
      <c r="B1123" s="400">
        <v>-2.1551812567958462E-2</v>
      </c>
      <c r="C1123" s="401">
        <f t="shared" si="0"/>
        <v>8.3465818759936403E-2</v>
      </c>
      <c r="D1123" s="402">
        <f t="shared" ref="D1123:F1123" si="1141">ROUNDDOWN($C1123*D$2,0) - IF(MOD($C1123*D$2,1)=0,1,0) + 1</f>
        <v>1</v>
      </c>
      <c r="E1123" s="402">
        <f t="shared" si="1141"/>
        <v>1</v>
      </c>
      <c r="F1123" s="402">
        <f t="shared" si="1141"/>
        <v>1</v>
      </c>
      <c r="G1123" s="401">
        <f t="shared" si="3"/>
        <v>-2.1551812567958462E-2</v>
      </c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</row>
    <row r="1124" spans="1:20" ht="15.75" customHeight="1">
      <c r="A1124" s="399">
        <v>43923</v>
      </c>
      <c r="B1124" s="400">
        <v>5.8342506683439765E-3</v>
      </c>
      <c r="C1124" s="401">
        <f t="shared" si="0"/>
        <v>0.63036565977742454</v>
      </c>
      <c r="D1124" s="402">
        <f t="shared" ref="D1124:F1124" si="1142">ROUNDDOWN($C1124*D$2,0) - IF(MOD($C1124*D$2,1)=0,1,0) + 1</f>
        <v>2</v>
      </c>
      <c r="E1124" s="402">
        <f t="shared" si="1142"/>
        <v>2</v>
      </c>
      <c r="F1124" s="402">
        <f t="shared" si="1142"/>
        <v>3</v>
      </c>
      <c r="G1124" s="401">
        <f t="shared" si="3"/>
        <v>5.8342506683439765E-3</v>
      </c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</row>
    <row r="1125" spans="1:20" ht="15.75" customHeight="1">
      <c r="A1125" s="399">
        <v>43924</v>
      </c>
      <c r="B1125" s="400">
        <v>-6.3788871343475329E-3</v>
      </c>
      <c r="C1125" s="401">
        <f t="shared" si="0"/>
        <v>0.26073131955484896</v>
      </c>
      <c r="D1125" s="402">
        <f t="shared" ref="D1125:F1125" si="1143">ROUNDDOWN($C1125*D$2,0) - IF(MOD($C1125*D$2,1)=0,1,0) + 1</f>
        <v>1</v>
      </c>
      <c r="E1125" s="402">
        <f t="shared" si="1143"/>
        <v>1</v>
      </c>
      <c r="F1125" s="402">
        <f t="shared" si="1143"/>
        <v>2</v>
      </c>
      <c r="G1125" s="401">
        <f t="shared" si="3"/>
        <v>0</v>
      </c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</row>
    <row r="1126" spans="1:20" ht="15.75" customHeight="1">
      <c r="A1126" s="399">
        <v>43927</v>
      </c>
      <c r="B1126" s="400">
        <v>4.7729191908066237E-2</v>
      </c>
      <c r="C1126" s="401">
        <f t="shared" si="0"/>
        <v>0.98330683624801274</v>
      </c>
      <c r="D1126" s="402">
        <f t="shared" ref="D1126:F1126" si="1144">ROUNDDOWN($C1126*D$2,0) - IF(MOD($C1126*D$2,1)=0,1,0) + 1</f>
        <v>2</v>
      </c>
      <c r="E1126" s="402">
        <f t="shared" si="1144"/>
        <v>3</v>
      </c>
      <c r="F1126" s="402">
        <f t="shared" si="1144"/>
        <v>4</v>
      </c>
      <c r="G1126" s="401">
        <f t="shared" si="3"/>
        <v>0</v>
      </c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</row>
    <row r="1127" spans="1:20" ht="15.75" customHeight="1">
      <c r="A1127" s="399">
        <v>43928</v>
      </c>
      <c r="B1127" s="400">
        <v>7.0134512087065559E-3</v>
      </c>
      <c r="C1127" s="401">
        <f t="shared" si="0"/>
        <v>0.66375198728139906</v>
      </c>
      <c r="D1127" s="402">
        <f t="shared" ref="D1127:F1127" si="1145">ROUNDDOWN($C1127*D$2,0) - IF(MOD($C1127*D$2,1)=0,1,0) + 1</f>
        <v>2</v>
      </c>
      <c r="E1127" s="402">
        <f t="shared" si="1145"/>
        <v>2</v>
      </c>
      <c r="F1127" s="402">
        <f t="shared" si="1145"/>
        <v>3</v>
      </c>
      <c r="G1127" s="401">
        <f t="shared" si="3"/>
        <v>0</v>
      </c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</row>
    <row r="1128" spans="1:20" ht="15.75" customHeight="1">
      <c r="A1128" s="399">
        <v>43929</v>
      </c>
      <c r="B1128" s="400">
        <v>1.5609465102406128E-2</v>
      </c>
      <c r="C1128" s="401">
        <f t="shared" si="0"/>
        <v>0.85055643879173293</v>
      </c>
      <c r="D1128" s="402">
        <f t="shared" ref="D1128:F1128" si="1146">ROUNDDOWN($C1128*D$2,0) - IF(MOD($C1128*D$2,1)=0,1,0) + 1</f>
        <v>2</v>
      </c>
      <c r="E1128" s="402">
        <f t="shared" si="1146"/>
        <v>3</v>
      </c>
      <c r="F1128" s="402">
        <f t="shared" si="1146"/>
        <v>4</v>
      </c>
      <c r="G1128" s="401">
        <f t="shared" si="3"/>
        <v>0</v>
      </c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</row>
    <row r="1129" spans="1:20" ht="15.75" customHeight="1">
      <c r="A1129" s="399">
        <v>43930</v>
      </c>
      <c r="B1129" s="400">
        <v>-1.1747430249631208E-4</v>
      </c>
      <c r="C1129" s="401">
        <f t="shared" si="0"/>
        <v>0.43720190779014306</v>
      </c>
      <c r="D1129" s="402">
        <f t="shared" ref="D1129:F1129" si="1147">ROUNDDOWN($C1129*D$2,0) - IF(MOD($C1129*D$2,1)=0,1,0) + 1</f>
        <v>1</v>
      </c>
      <c r="E1129" s="402">
        <f t="shared" si="1147"/>
        <v>2</v>
      </c>
      <c r="F1129" s="402">
        <f t="shared" si="1147"/>
        <v>2</v>
      </c>
      <c r="G1129" s="401">
        <f t="shared" si="3"/>
        <v>0</v>
      </c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</row>
    <row r="1130" spans="1:20" ht="15.75" customHeight="1">
      <c r="A1130" s="399">
        <v>43934</v>
      </c>
      <c r="B1130" s="400">
        <v>6.1735103487438492E-2</v>
      </c>
      <c r="C1130" s="401">
        <f t="shared" si="0"/>
        <v>0.99205087440381556</v>
      </c>
      <c r="D1130" s="402">
        <f t="shared" ref="D1130:F1130" si="1148">ROUNDDOWN($C1130*D$2,0) - IF(MOD($C1130*D$2,1)=0,1,0) + 1</f>
        <v>2</v>
      </c>
      <c r="E1130" s="402">
        <f t="shared" si="1148"/>
        <v>3</v>
      </c>
      <c r="F1130" s="402">
        <f t="shared" si="1148"/>
        <v>4</v>
      </c>
      <c r="G1130" s="401">
        <f t="shared" si="3"/>
        <v>0</v>
      </c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</row>
    <row r="1131" spans="1:20" ht="15.75" customHeight="1">
      <c r="A1131" s="399">
        <v>43935</v>
      </c>
      <c r="B1131" s="400">
        <v>5.2769414487728872E-2</v>
      </c>
      <c r="C1131" s="401">
        <f t="shared" si="0"/>
        <v>0.9880763116057234</v>
      </c>
      <c r="D1131" s="402">
        <f t="shared" ref="D1131:F1131" si="1149">ROUNDDOWN($C1131*D$2,0) - IF(MOD($C1131*D$2,1)=0,1,0) + 1</f>
        <v>2</v>
      </c>
      <c r="E1131" s="402">
        <f t="shared" si="1149"/>
        <v>3</v>
      </c>
      <c r="F1131" s="402">
        <f t="shared" si="1149"/>
        <v>4</v>
      </c>
      <c r="G1131" s="401">
        <f t="shared" si="3"/>
        <v>0</v>
      </c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</row>
    <row r="1132" spans="1:20" ht="15.75" customHeight="1">
      <c r="A1132" s="399">
        <v>43936</v>
      </c>
      <c r="B1132" s="400">
        <v>1.0668675437520703E-2</v>
      </c>
      <c r="C1132" s="401">
        <f t="shared" si="0"/>
        <v>0.75039745627980925</v>
      </c>
      <c r="D1132" s="402">
        <f t="shared" ref="D1132:F1132" si="1150">ROUNDDOWN($C1132*D$2,0) - IF(MOD($C1132*D$2,1)=0,1,0) + 1</f>
        <v>2</v>
      </c>
      <c r="E1132" s="402">
        <f t="shared" si="1150"/>
        <v>3</v>
      </c>
      <c r="F1132" s="402">
        <f t="shared" si="1150"/>
        <v>4</v>
      </c>
      <c r="G1132" s="401">
        <f t="shared" si="3"/>
        <v>0</v>
      </c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</row>
    <row r="1133" spans="1:20" ht="15.75" customHeight="1">
      <c r="A1133" s="399">
        <v>43937</v>
      </c>
      <c r="B1133" s="400">
        <v>4.3554565624350117E-2</v>
      </c>
      <c r="C1133" s="401">
        <f t="shared" si="0"/>
        <v>0.97933227344992047</v>
      </c>
      <c r="D1133" s="402">
        <f t="shared" ref="D1133:F1133" si="1151">ROUNDDOWN($C1133*D$2,0) - IF(MOD($C1133*D$2,1)=0,1,0) + 1</f>
        <v>2</v>
      </c>
      <c r="E1133" s="402">
        <f t="shared" si="1151"/>
        <v>3</v>
      </c>
      <c r="F1133" s="402">
        <f t="shared" si="1151"/>
        <v>4</v>
      </c>
      <c r="G1133" s="401">
        <f t="shared" si="3"/>
        <v>0</v>
      </c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</row>
    <row r="1134" spans="1:20" ht="15.75" customHeight="1">
      <c r="A1134" s="399">
        <v>43938</v>
      </c>
      <c r="B1134" s="400">
        <v>-1.3782135130533724E-2</v>
      </c>
      <c r="C1134" s="401">
        <f t="shared" si="0"/>
        <v>0.14467408585055644</v>
      </c>
      <c r="D1134" s="402">
        <f t="shared" ref="D1134:F1134" si="1152">ROUNDDOWN($C1134*D$2,0) - IF(MOD($C1134*D$2,1)=0,1,0) + 1</f>
        <v>1</v>
      </c>
      <c r="E1134" s="402">
        <f t="shared" si="1152"/>
        <v>1</v>
      </c>
      <c r="F1134" s="402">
        <f t="shared" si="1152"/>
        <v>1</v>
      </c>
      <c r="G1134" s="401">
        <f t="shared" si="3"/>
        <v>0</v>
      </c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</row>
    <row r="1135" spans="1:20" ht="15.75" customHeight="1">
      <c r="A1135" s="399">
        <v>43941</v>
      </c>
      <c r="B1135" s="400">
        <v>7.8357894736842404E-3</v>
      </c>
      <c r="C1135" s="401">
        <f t="shared" si="0"/>
        <v>0.68441971383147848</v>
      </c>
      <c r="D1135" s="402">
        <f t="shared" ref="D1135:F1135" si="1153">ROUNDDOWN($C1135*D$2,0) - IF(MOD($C1135*D$2,1)=0,1,0) + 1</f>
        <v>2</v>
      </c>
      <c r="E1135" s="402">
        <f t="shared" si="1153"/>
        <v>3</v>
      </c>
      <c r="F1135" s="402">
        <f t="shared" si="1153"/>
        <v>3</v>
      </c>
      <c r="G1135" s="401">
        <f t="shared" si="3"/>
        <v>7.8357894736842404E-3</v>
      </c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</row>
    <row r="1136" spans="1:20" ht="15.75" customHeight="1">
      <c r="A1136" s="399">
        <v>43942</v>
      </c>
      <c r="B1136" s="400">
        <v>-2.7360346923684387E-2</v>
      </c>
      <c r="C1136" s="401">
        <f t="shared" si="0"/>
        <v>5.6438791732909381E-2</v>
      </c>
      <c r="D1136" s="402">
        <f t="shared" ref="D1136:F1136" si="1154">ROUNDDOWN($C1136*D$2,0) - IF(MOD($C1136*D$2,1)=0,1,0) + 1</f>
        <v>1</v>
      </c>
      <c r="E1136" s="402">
        <f t="shared" si="1154"/>
        <v>1</v>
      </c>
      <c r="F1136" s="402">
        <f t="shared" si="1154"/>
        <v>1</v>
      </c>
      <c r="G1136" s="401">
        <f t="shared" si="3"/>
        <v>0</v>
      </c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</row>
    <row r="1137" spans="1:20" ht="15.75" customHeight="1">
      <c r="A1137" s="399">
        <v>43943</v>
      </c>
      <c r="B1137" s="400">
        <v>1.5192515849698385E-2</v>
      </c>
      <c r="C1137" s="401">
        <f t="shared" si="0"/>
        <v>0.84499205087440377</v>
      </c>
      <c r="D1137" s="402">
        <f t="shared" ref="D1137:F1137" si="1155">ROUNDDOWN($C1137*D$2,0) - IF(MOD($C1137*D$2,1)=0,1,0) + 1</f>
        <v>2</v>
      </c>
      <c r="E1137" s="402">
        <f t="shared" si="1155"/>
        <v>3</v>
      </c>
      <c r="F1137" s="402">
        <f t="shared" si="1155"/>
        <v>4</v>
      </c>
      <c r="G1137" s="401">
        <f t="shared" si="3"/>
        <v>1.5192515849698385E-2</v>
      </c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</row>
    <row r="1138" spans="1:20" ht="15.75" customHeight="1">
      <c r="A1138" s="399">
        <v>43944</v>
      </c>
      <c r="B1138" s="400">
        <v>1.5214788300352389E-2</v>
      </c>
      <c r="C1138" s="401">
        <f t="shared" si="0"/>
        <v>0.84578696343402227</v>
      </c>
      <c r="D1138" s="402">
        <f t="shared" ref="D1138:F1138" si="1156">ROUNDDOWN($C1138*D$2,0) - IF(MOD($C1138*D$2,1)=0,1,0) + 1</f>
        <v>2</v>
      </c>
      <c r="E1138" s="402">
        <f t="shared" si="1156"/>
        <v>3</v>
      </c>
      <c r="F1138" s="402">
        <f t="shared" si="1156"/>
        <v>4</v>
      </c>
      <c r="G1138" s="401">
        <f t="shared" si="3"/>
        <v>0</v>
      </c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</row>
    <row r="1139" spans="1:20" ht="15.75" customHeight="1">
      <c r="A1139" s="399">
        <v>43945</v>
      </c>
      <c r="B1139" s="400">
        <v>4.4885286211422404E-3</v>
      </c>
      <c r="C1139" s="401">
        <f t="shared" si="0"/>
        <v>0.58744038155802858</v>
      </c>
      <c r="D1139" s="402">
        <f t="shared" ref="D1139:F1139" si="1157">ROUNDDOWN($C1139*D$2,0) - IF(MOD($C1139*D$2,1)=0,1,0) + 1</f>
        <v>2</v>
      </c>
      <c r="E1139" s="402">
        <f t="shared" si="1157"/>
        <v>2</v>
      </c>
      <c r="F1139" s="402">
        <f t="shared" si="1157"/>
        <v>3</v>
      </c>
      <c r="G1139" s="401">
        <f t="shared" si="3"/>
        <v>0</v>
      </c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</row>
    <row r="1140" spans="1:20" ht="15.75" customHeight="1">
      <c r="A1140" s="399">
        <v>43948</v>
      </c>
      <c r="B1140" s="400">
        <v>-1.4197874052990889E-2</v>
      </c>
      <c r="C1140" s="401">
        <f t="shared" si="0"/>
        <v>0.13990461049284578</v>
      </c>
      <c r="D1140" s="402">
        <f t="shared" ref="D1140:F1140" si="1158">ROUNDDOWN($C1140*D$2,0) - IF(MOD($C1140*D$2,1)=0,1,0) + 1</f>
        <v>1</v>
      </c>
      <c r="E1140" s="402">
        <f t="shared" si="1158"/>
        <v>1</v>
      </c>
      <c r="F1140" s="402">
        <f t="shared" si="1158"/>
        <v>1</v>
      </c>
      <c r="G1140" s="401">
        <f t="shared" si="3"/>
        <v>0</v>
      </c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</row>
    <row r="1141" spans="1:20" ht="15.75" customHeight="1">
      <c r="A1141" s="399">
        <v>43949</v>
      </c>
      <c r="B1141" s="400">
        <v>-2.6060606060606117E-2</v>
      </c>
      <c r="C1141" s="401">
        <f t="shared" si="0"/>
        <v>6.1208267090620029E-2</v>
      </c>
      <c r="D1141" s="402">
        <f t="shared" ref="D1141:F1141" si="1159">ROUNDDOWN($C1141*D$2,0) - IF(MOD($C1141*D$2,1)=0,1,0) + 1</f>
        <v>1</v>
      </c>
      <c r="E1141" s="402">
        <f t="shared" si="1159"/>
        <v>1</v>
      </c>
      <c r="F1141" s="402">
        <f t="shared" si="1159"/>
        <v>1</v>
      </c>
      <c r="G1141" s="401">
        <f t="shared" si="3"/>
        <v>-2.6060606060606117E-2</v>
      </c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</row>
    <row r="1142" spans="1:20" ht="15.75" customHeight="1">
      <c r="A1142" s="399">
        <v>43950</v>
      </c>
      <c r="B1142" s="400">
        <v>2.5336202724192791E-2</v>
      </c>
      <c r="C1142" s="401">
        <f t="shared" si="0"/>
        <v>0.92925278219395868</v>
      </c>
      <c r="D1142" s="402">
        <f t="shared" ref="D1142:F1142" si="1160">ROUNDDOWN($C1142*D$2,0) - IF(MOD($C1142*D$2,1)=0,1,0) + 1</f>
        <v>2</v>
      </c>
      <c r="E1142" s="402">
        <f t="shared" si="1160"/>
        <v>3</v>
      </c>
      <c r="F1142" s="402">
        <f t="shared" si="1160"/>
        <v>4</v>
      </c>
      <c r="G1142" s="401">
        <f t="shared" si="3"/>
        <v>2.5336202724192791E-2</v>
      </c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</row>
    <row r="1143" spans="1:20" ht="15.75" customHeight="1">
      <c r="A1143" s="399">
        <v>43951</v>
      </c>
      <c r="B1143" s="400">
        <v>4.2689582797729164E-2</v>
      </c>
      <c r="C1143" s="401">
        <f t="shared" si="0"/>
        <v>0.97694753577106519</v>
      </c>
      <c r="D1143" s="402">
        <f t="shared" ref="D1143:F1143" si="1161">ROUNDDOWN($C1143*D$2,0) - IF(MOD($C1143*D$2,1)=0,1,0) + 1</f>
        <v>2</v>
      </c>
      <c r="E1143" s="402">
        <f t="shared" si="1161"/>
        <v>3</v>
      </c>
      <c r="F1143" s="402">
        <f t="shared" si="1161"/>
        <v>4</v>
      </c>
      <c r="G1143" s="401">
        <f t="shared" si="3"/>
        <v>0</v>
      </c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</row>
    <row r="1144" spans="1:20" ht="15.75" customHeight="1">
      <c r="A1144" s="399">
        <v>43952</v>
      </c>
      <c r="B1144" s="400">
        <v>-7.5974130962004893E-2</v>
      </c>
      <c r="C1144" s="401">
        <f t="shared" si="0"/>
        <v>3.1796502384737681E-3</v>
      </c>
      <c r="D1144" s="402">
        <f t="shared" ref="D1144:F1144" si="1162">ROUNDDOWN($C1144*D$2,0) - IF(MOD($C1144*D$2,1)=0,1,0) + 1</f>
        <v>1</v>
      </c>
      <c r="E1144" s="402">
        <f t="shared" si="1162"/>
        <v>1</v>
      </c>
      <c r="F1144" s="402">
        <f t="shared" si="1162"/>
        <v>1</v>
      </c>
      <c r="G1144" s="401">
        <f t="shared" si="3"/>
        <v>0</v>
      </c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</row>
    <row r="1145" spans="1:20" ht="15.75" customHeight="1">
      <c r="A1145" s="399">
        <v>43955</v>
      </c>
      <c r="B1145" s="400">
        <v>1.3101258070724819E-2</v>
      </c>
      <c r="C1145" s="401">
        <f t="shared" si="0"/>
        <v>0.80683624801271858</v>
      </c>
      <c r="D1145" s="402">
        <f t="shared" ref="D1145:F1145" si="1163">ROUNDDOWN($C1145*D$2,0) - IF(MOD($C1145*D$2,1)=0,1,0) + 1</f>
        <v>2</v>
      </c>
      <c r="E1145" s="402">
        <f t="shared" si="1163"/>
        <v>3</v>
      </c>
      <c r="F1145" s="402">
        <f t="shared" si="1163"/>
        <v>4</v>
      </c>
      <c r="G1145" s="401">
        <f t="shared" si="3"/>
        <v>1.3101258070724819E-2</v>
      </c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</row>
    <row r="1146" spans="1:20" ht="15.75" customHeight="1">
      <c r="A1146" s="399">
        <v>43956</v>
      </c>
      <c r="B1146" s="400">
        <v>7.8152323628355447E-4</v>
      </c>
      <c r="C1146" s="401">
        <f t="shared" si="0"/>
        <v>0.4753577106518283</v>
      </c>
      <c r="D1146" s="402">
        <f t="shared" ref="D1146:F1146" si="1164">ROUNDDOWN($C1146*D$2,0) - IF(MOD($C1146*D$2,1)=0,1,0) + 1</f>
        <v>1</v>
      </c>
      <c r="E1146" s="402">
        <f t="shared" si="1164"/>
        <v>2</v>
      </c>
      <c r="F1146" s="402">
        <f t="shared" si="1164"/>
        <v>2</v>
      </c>
      <c r="G1146" s="401">
        <f t="shared" si="3"/>
        <v>0</v>
      </c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</row>
    <row r="1147" spans="1:20" ht="15.75" customHeight="1">
      <c r="A1147" s="399">
        <v>43957</v>
      </c>
      <c r="B1147" s="400">
        <v>1.4436103201311612E-2</v>
      </c>
      <c r="C1147" s="401">
        <f t="shared" si="0"/>
        <v>0.82829888712241651</v>
      </c>
      <c r="D1147" s="402">
        <f t="shared" ref="D1147:F1147" si="1165">ROUNDDOWN($C1147*D$2,0) - IF(MOD($C1147*D$2,1)=0,1,0) + 1</f>
        <v>2</v>
      </c>
      <c r="E1147" s="402">
        <f t="shared" si="1165"/>
        <v>3</v>
      </c>
      <c r="F1147" s="402">
        <f t="shared" si="1165"/>
        <v>4</v>
      </c>
      <c r="G1147" s="401">
        <f t="shared" si="3"/>
        <v>0</v>
      </c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</row>
    <row r="1148" spans="1:20" ht="15.75" customHeight="1">
      <c r="A1148" s="399">
        <v>43958</v>
      </c>
      <c r="B1148" s="400">
        <v>6.9537184318195777E-3</v>
      </c>
      <c r="C1148" s="401">
        <f t="shared" si="0"/>
        <v>0.66295707472178056</v>
      </c>
      <c r="D1148" s="402">
        <f t="shared" ref="D1148:F1148" si="1166">ROUNDDOWN($C1148*D$2,0) - IF(MOD($C1148*D$2,1)=0,1,0) + 1</f>
        <v>2</v>
      </c>
      <c r="E1148" s="402">
        <f t="shared" si="1166"/>
        <v>2</v>
      </c>
      <c r="F1148" s="402">
        <f t="shared" si="1166"/>
        <v>3</v>
      </c>
      <c r="G1148" s="401">
        <f t="shared" si="3"/>
        <v>0</v>
      </c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</row>
    <row r="1149" spans="1:20" ht="15.75" customHeight="1">
      <c r="A1149" s="399">
        <v>43959</v>
      </c>
      <c r="B1149" s="400">
        <v>5.0684023128808597E-3</v>
      </c>
      <c r="C1149" s="401">
        <f t="shared" si="0"/>
        <v>0.60651828298887123</v>
      </c>
      <c r="D1149" s="402">
        <f t="shared" ref="D1149:F1149" si="1167">ROUNDDOWN($C1149*D$2,0) - IF(MOD($C1149*D$2,1)=0,1,0) + 1</f>
        <v>2</v>
      </c>
      <c r="E1149" s="402">
        <f t="shared" si="1167"/>
        <v>2</v>
      </c>
      <c r="F1149" s="402">
        <f t="shared" si="1167"/>
        <v>3</v>
      </c>
      <c r="G1149" s="401">
        <f t="shared" si="3"/>
        <v>0</v>
      </c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</row>
    <row r="1150" spans="1:20" ht="15.75" customHeight="1">
      <c r="A1150" s="399">
        <v>43962</v>
      </c>
      <c r="B1150" s="400">
        <v>1.2350763360382544E-2</v>
      </c>
      <c r="C1150" s="401">
        <f t="shared" si="0"/>
        <v>0.79173290937996821</v>
      </c>
      <c r="D1150" s="402">
        <f t="shared" ref="D1150:F1150" si="1168">ROUNDDOWN($C1150*D$2,0) - IF(MOD($C1150*D$2,1)=0,1,0) + 1</f>
        <v>2</v>
      </c>
      <c r="E1150" s="402">
        <f t="shared" si="1168"/>
        <v>3</v>
      </c>
      <c r="F1150" s="402">
        <f t="shared" si="1168"/>
        <v>4</v>
      </c>
      <c r="G1150" s="401">
        <f t="shared" si="3"/>
        <v>0</v>
      </c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</row>
    <row r="1151" spans="1:20" ht="15.75" customHeight="1">
      <c r="A1151" s="399">
        <v>43963</v>
      </c>
      <c r="B1151" s="400">
        <v>-2.1606475716064888E-2</v>
      </c>
      <c r="C1151" s="401">
        <f t="shared" si="0"/>
        <v>8.2670906200317959E-2</v>
      </c>
      <c r="D1151" s="402">
        <f t="shared" ref="D1151:F1151" si="1169">ROUNDDOWN($C1151*D$2,0) - IF(MOD($C1151*D$2,1)=0,1,0) + 1</f>
        <v>1</v>
      </c>
      <c r="E1151" s="402">
        <f t="shared" si="1169"/>
        <v>1</v>
      </c>
      <c r="F1151" s="402">
        <f t="shared" si="1169"/>
        <v>1</v>
      </c>
      <c r="G1151" s="401">
        <f t="shared" si="3"/>
        <v>0</v>
      </c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</row>
    <row r="1152" spans="1:20" ht="15.75" customHeight="1">
      <c r="A1152" s="399">
        <v>43964</v>
      </c>
      <c r="B1152" s="400">
        <v>4.654320201955997E-3</v>
      </c>
      <c r="C1152" s="401">
        <f t="shared" si="0"/>
        <v>0.59220985691573924</v>
      </c>
      <c r="D1152" s="402">
        <f t="shared" ref="D1152:F1152" si="1170">ROUNDDOWN($C1152*D$2,0) - IF(MOD($C1152*D$2,1)=0,1,0) + 1</f>
        <v>2</v>
      </c>
      <c r="E1152" s="402">
        <f t="shared" si="1170"/>
        <v>2</v>
      </c>
      <c r="F1152" s="402">
        <f t="shared" si="1170"/>
        <v>3</v>
      </c>
      <c r="G1152" s="401">
        <f t="shared" si="3"/>
        <v>4.654320201955997E-3</v>
      </c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</row>
    <row r="1153" spans="1:20" ht="15.75" customHeight="1">
      <c r="A1153" s="399">
        <v>43965</v>
      </c>
      <c r="B1153" s="400">
        <v>8.8389810466569241E-3</v>
      </c>
      <c r="C1153" s="401">
        <f t="shared" si="0"/>
        <v>0.71144674085850557</v>
      </c>
      <c r="D1153" s="402">
        <f t="shared" ref="D1153:F1153" si="1171">ROUNDDOWN($C1153*D$2,0) - IF(MOD($C1153*D$2,1)=0,1,0) + 1</f>
        <v>2</v>
      </c>
      <c r="E1153" s="402">
        <f t="shared" si="1171"/>
        <v>3</v>
      </c>
      <c r="F1153" s="402">
        <f t="shared" si="1171"/>
        <v>3</v>
      </c>
      <c r="G1153" s="401">
        <f t="shared" si="3"/>
        <v>0</v>
      </c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</row>
    <row r="1154" spans="1:20" ht="15.75" customHeight="1">
      <c r="A1154" s="399">
        <v>43966</v>
      </c>
      <c r="B1154" s="400">
        <v>8.7615379785253023E-3</v>
      </c>
      <c r="C1154" s="401">
        <f t="shared" si="0"/>
        <v>0.70906200317965029</v>
      </c>
      <c r="D1154" s="402">
        <f t="shared" ref="D1154:F1154" si="1172">ROUNDDOWN($C1154*D$2,0) - IF(MOD($C1154*D$2,1)=0,1,0) + 1</f>
        <v>2</v>
      </c>
      <c r="E1154" s="402">
        <f t="shared" si="1172"/>
        <v>3</v>
      </c>
      <c r="F1154" s="402">
        <f t="shared" si="1172"/>
        <v>3</v>
      </c>
      <c r="G1154" s="401">
        <f t="shared" si="3"/>
        <v>0</v>
      </c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</row>
    <row r="1155" spans="1:20" ht="15.75" customHeight="1">
      <c r="A1155" s="399">
        <v>43969</v>
      </c>
      <c r="B1155" s="400">
        <v>6.8387985625244507E-3</v>
      </c>
      <c r="C1155" s="401">
        <f t="shared" si="0"/>
        <v>0.6589825119236884</v>
      </c>
      <c r="D1155" s="402">
        <f t="shared" ref="D1155:F1155" si="1173">ROUNDDOWN($C1155*D$2,0) - IF(MOD($C1155*D$2,1)=0,1,0) + 1</f>
        <v>2</v>
      </c>
      <c r="E1155" s="402">
        <f t="shared" si="1173"/>
        <v>2</v>
      </c>
      <c r="F1155" s="402">
        <f t="shared" si="1173"/>
        <v>3</v>
      </c>
      <c r="G1155" s="401">
        <f t="shared" si="3"/>
        <v>0</v>
      </c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</row>
    <row r="1156" spans="1:20" ht="15.75" customHeight="1">
      <c r="A1156" s="399">
        <v>43970</v>
      </c>
      <c r="B1156" s="400">
        <v>9.5084615828475716E-3</v>
      </c>
      <c r="C1156" s="401">
        <f t="shared" si="0"/>
        <v>0.72893481717011133</v>
      </c>
      <c r="D1156" s="402">
        <f t="shared" ref="D1156:F1156" si="1174">ROUNDDOWN($C1156*D$2,0) - IF(MOD($C1156*D$2,1)=0,1,0) + 1</f>
        <v>2</v>
      </c>
      <c r="E1156" s="402">
        <f t="shared" si="1174"/>
        <v>3</v>
      </c>
      <c r="F1156" s="402">
        <f t="shared" si="1174"/>
        <v>3</v>
      </c>
      <c r="G1156" s="401">
        <f t="shared" si="3"/>
        <v>0</v>
      </c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</row>
    <row r="1157" spans="1:20" ht="15.75" customHeight="1">
      <c r="A1157" s="399">
        <v>43971</v>
      </c>
      <c r="B1157" s="400">
        <v>1.9846243666635344E-2</v>
      </c>
      <c r="C1157" s="401">
        <f t="shared" si="0"/>
        <v>0.89825119236883944</v>
      </c>
      <c r="D1157" s="402">
        <f t="shared" ref="D1157:F1157" si="1175">ROUNDDOWN($C1157*D$2,0) - IF(MOD($C1157*D$2,1)=0,1,0) + 1</f>
        <v>2</v>
      </c>
      <c r="E1157" s="402">
        <f t="shared" si="1175"/>
        <v>3</v>
      </c>
      <c r="F1157" s="402">
        <f t="shared" si="1175"/>
        <v>4</v>
      </c>
      <c r="G1157" s="401">
        <f t="shared" si="3"/>
        <v>0</v>
      </c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</row>
    <row r="1158" spans="1:20" ht="15.75" customHeight="1">
      <c r="A1158" s="399">
        <v>43972</v>
      </c>
      <c r="B1158" s="400">
        <v>-2.0496889436896093E-2</v>
      </c>
      <c r="C1158" s="401">
        <f t="shared" si="0"/>
        <v>8.7440381558028621E-2</v>
      </c>
      <c r="D1158" s="402">
        <f t="shared" ref="D1158:F1158" si="1176">ROUNDDOWN($C1158*D$2,0) - IF(MOD($C1158*D$2,1)=0,1,0) + 1</f>
        <v>1</v>
      </c>
      <c r="E1158" s="402">
        <f t="shared" si="1176"/>
        <v>1</v>
      </c>
      <c r="F1158" s="402">
        <f t="shared" si="1176"/>
        <v>1</v>
      </c>
      <c r="G1158" s="401">
        <f t="shared" si="3"/>
        <v>0</v>
      </c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</row>
    <row r="1159" spans="1:20" ht="15.75" customHeight="1">
      <c r="A1159" s="399">
        <v>43973</v>
      </c>
      <c r="B1159" s="400">
        <v>-4.0298519662896881E-3</v>
      </c>
      <c r="C1159" s="401">
        <f t="shared" si="0"/>
        <v>0.32511923688394279</v>
      </c>
      <c r="D1159" s="402">
        <f t="shared" ref="D1159:F1159" si="1177">ROUNDDOWN($C1159*D$2,0) - IF(MOD($C1159*D$2,1)=0,1,0) + 1</f>
        <v>1</v>
      </c>
      <c r="E1159" s="402">
        <f t="shared" si="1177"/>
        <v>1</v>
      </c>
      <c r="F1159" s="402">
        <f t="shared" si="1177"/>
        <v>2</v>
      </c>
      <c r="G1159" s="401">
        <f t="shared" si="3"/>
        <v>-4.0298519662896881E-3</v>
      </c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</row>
    <row r="1160" spans="1:20" ht="15.75" customHeight="1">
      <c r="A1160" s="399">
        <v>43977</v>
      </c>
      <c r="B1160" s="400">
        <v>-6.1636190538721936E-3</v>
      </c>
      <c r="C1160" s="401">
        <f t="shared" si="0"/>
        <v>0.26550079491255962</v>
      </c>
      <c r="D1160" s="402">
        <f t="shared" ref="D1160:F1160" si="1178">ROUNDDOWN($C1160*D$2,0) - IF(MOD($C1160*D$2,1)=0,1,0) + 1</f>
        <v>1</v>
      </c>
      <c r="E1160" s="402">
        <f t="shared" si="1178"/>
        <v>1</v>
      </c>
      <c r="F1160" s="402">
        <f t="shared" si="1178"/>
        <v>2</v>
      </c>
      <c r="G1160" s="401">
        <f t="shared" si="3"/>
        <v>0</v>
      </c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</row>
    <row r="1161" spans="1:20" ht="15.75" customHeight="1">
      <c r="A1161" s="399">
        <v>43978</v>
      </c>
      <c r="B1161" s="400">
        <v>-4.7360293328269076E-3</v>
      </c>
      <c r="C1161" s="401">
        <f t="shared" si="0"/>
        <v>0.30286168521462636</v>
      </c>
      <c r="D1161" s="402">
        <f t="shared" ref="D1161:F1161" si="1179">ROUNDDOWN($C1161*D$2,0) - IF(MOD($C1161*D$2,1)=0,1,0) + 1</f>
        <v>1</v>
      </c>
      <c r="E1161" s="402">
        <f t="shared" si="1179"/>
        <v>1</v>
      </c>
      <c r="F1161" s="402">
        <f t="shared" si="1179"/>
        <v>2</v>
      </c>
      <c r="G1161" s="401">
        <f t="shared" si="3"/>
        <v>0</v>
      </c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</row>
    <row r="1162" spans="1:20" ht="15.75" customHeight="1">
      <c r="A1162" s="399">
        <v>43979</v>
      </c>
      <c r="B1162" s="400">
        <v>-3.8541480839200393E-3</v>
      </c>
      <c r="C1162" s="401">
        <f t="shared" si="0"/>
        <v>0.33227344992050872</v>
      </c>
      <c r="D1162" s="402">
        <f t="shared" ref="D1162:F1162" si="1180">ROUNDDOWN($C1162*D$2,0) - IF(MOD($C1162*D$2,1)=0,1,0) + 1</f>
        <v>1</v>
      </c>
      <c r="E1162" s="402">
        <f t="shared" si="1180"/>
        <v>1</v>
      </c>
      <c r="F1162" s="402">
        <f t="shared" si="1180"/>
        <v>2</v>
      </c>
      <c r="G1162" s="401">
        <f t="shared" si="3"/>
        <v>0</v>
      </c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</row>
    <row r="1163" spans="1:20" ht="15.75" customHeight="1">
      <c r="A1163" s="399">
        <v>43980</v>
      </c>
      <c r="B1163" s="400">
        <v>1.7187955520386433E-2</v>
      </c>
      <c r="C1163" s="401">
        <f t="shared" si="0"/>
        <v>0.87042925278219396</v>
      </c>
      <c r="D1163" s="402">
        <f t="shared" ref="D1163:F1163" si="1181">ROUNDDOWN($C1163*D$2,0) - IF(MOD($C1163*D$2,1)=0,1,0) + 1</f>
        <v>2</v>
      </c>
      <c r="E1163" s="402">
        <f t="shared" si="1181"/>
        <v>3</v>
      </c>
      <c r="F1163" s="402">
        <f t="shared" si="1181"/>
        <v>4</v>
      </c>
      <c r="G1163" s="401">
        <f t="shared" si="3"/>
        <v>0</v>
      </c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</row>
    <row r="1164" spans="1:20" ht="15.75" customHeight="1">
      <c r="A1164" s="399">
        <v>43983</v>
      </c>
      <c r="B1164" s="400">
        <v>1.1738598164897196E-2</v>
      </c>
      <c r="C1164" s="401">
        <f t="shared" si="0"/>
        <v>0.77821939586645472</v>
      </c>
      <c r="D1164" s="402">
        <f t="shared" ref="D1164:F1164" si="1182">ROUNDDOWN($C1164*D$2,0) - IF(MOD($C1164*D$2,1)=0,1,0) + 1</f>
        <v>2</v>
      </c>
      <c r="E1164" s="402">
        <f t="shared" si="1182"/>
        <v>3</v>
      </c>
      <c r="F1164" s="402">
        <f t="shared" si="1182"/>
        <v>4</v>
      </c>
      <c r="G1164" s="401">
        <f t="shared" si="3"/>
        <v>0</v>
      </c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</row>
    <row r="1165" spans="1:20" ht="15.75" customHeight="1">
      <c r="A1165" s="399">
        <v>43984</v>
      </c>
      <c r="B1165" s="400">
        <v>5.5442242942227438E-4</v>
      </c>
      <c r="C1165" s="401">
        <f t="shared" si="0"/>
        <v>0.46740858505564387</v>
      </c>
      <c r="D1165" s="402">
        <f t="shared" ref="D1165:F1165" si="1183">ROUNDDOWN($C1165*D$2,0) - IF(MOD($C1165*D$2,1)=0,1,0) + 1</f>
        <v>1</v>
      </c>
      <c r="E1165" s="402">
        <f t="shared" si="1183"/>
        <v>2</v>
      </c>
      <c r="F1165" s="402">
        <f t="shared" si="1183"/>
        <v>2</v>
      </c>
      <c r="G1165" s="401">
        <f t="shared" si="3"/>
        <v>0</v>
      </c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</row>
    <row r="1166" spans="1:20" ht="15.75" customHeight="1">
      <c r="A1166" s="399">
        <v>43985</v>
      </c>
      <c r="B1166" s="400">
        <v>2.4227373291647591E-3</v>
      </c>
      <c r="C1166" s="401">
        <f t="shared" si="0"/>
        <v>0.5373608903020668</v>
      </c>
      <c r="D1166" s="402">
        <f t="shared" ref="D1166:F1166" si="1184">ROUNDDOWN($C1166*D$2,0) - IF(MOD($C1166*D$2,1)=0,1,0) + 1</f>
        <v>2</v>
      </c>
      <c r="E1166" s="402">
        <f t="shared" si="1184"/>
        <v>2</v>
      </c>
      <c r="F1166" s="402">
        <f t="shared" si="1184"/>
        <v>3</v>
      </c>
      <c r="G1166" s="401">
        <f t="shared" si="3"/>
        <v>0</v>
      </c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</row>
    <row r="1167" spans="1:20" ht="15.75" customHeight="1">
      <c r="A1167" s="399">
        <v>43986</v>
      </c>
      <c r="B1167" s="400">
        <v>-7.1820529373790576E-3</v>
      </c>
      <c r="C1167" s="401">
        <f t="shared" si="0"/>
        <v>0.24006359300476948</v>
      </c>
      <c r="D1167" s="402">
        <f t="shared" ref="D1167:F1167" si="1185">ROUNDDOWN($C1167*D$2,0) - IF(MOD($C1167*D$2,1)=0,1,0) + 1</f>
        <v>1</v>
      </c>
      <c r="E1167" s="402">
        <f t="shared" si="1185"/>
        <v>1</v>
      </c>
      <c r="F1167" s="402">
        <f t="shared" si="1185"/>
        <v>1</v>
      </c>
      <c r="G1167" s="401">
        <f t="shared" si="3"/>
        <v>0</v>
      </c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</row>
    <row r="1168" spans="1:20" ht="15.75" customHeight="1">
      <c r="A1168" s="399">
        <v>43987</v>
      </c>
      <c r="B1168" s="400">
        <v>9.1034706982038305E-3</v>
      </c>
      <c r="C1168" s="401">
        <f t="shared" si="0"/>
        <v>0.71780604133545312</v>
      </c>
      <c r="D1168" s="402">
        <f t="shared" ref="D1168:F1168" si="1186">ROUNDDOWN($C1168*D$2,0) - IF(MOD($C1168*D$2,1)=0,1,0) + 1</f>
        <v>2</v>
      </c>
      <c r="E1168" s="402">
        <f t="shared" si="1186"/>
        <v>3</v>
      </c>
      <c r="F1168" s="402">
        <f t="shared" si="1186"/>
        <v>3</v>
      </c>
      <c r="G1168" s="401">
        <f t="shared" si="3"/>
        <v>9.1034706982038305E-3</v>
      </c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</row>
    <row r="1169" spans="1:20" ht="15.75" customHeight="1">
      <c r="A1169" s="399">
        <v>43990</v>
      </c>
      <c r="B1169" s="400">
        <v>1.6536447845348246E-2</v>
      </c>
      <c r="C1169" s="401">
        <f t="shared" si="0"/>
        <v>0.86248012718600953</v>
      </c>
      <c r="D1169" s="402">
        <f t="shared" ref="D1169:F1169" si="1187">ROUNDDOWN($C1169*D$2,0) - IF(MOD($C1169*D$2,1)=0,1,0) + 1</f>
        <v>2</v>
      </c>
      <c r="E1169" s="402">
        <f t="shared" si="1187"/>
        <v>3</v>
      </c>
      <c r="F1169" s="402">
        <f t="shared" si="1187"/>
        <v>4</v>
      </c>
      <c r="G1169" s="401">
        <f t="shared" si="3"/>
        <v>0</v>
      </c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</row>
    <row r="1170" spans="1:20" ht="15.75" customHeight="1">
      <c r="A1170" s="399">
        <v>43991</v>
      </c>
      <c r="B1170" s="400">
        <v>3.0427168926253856E-2</v>
      </c>
      <c r="C1170" s="401">
        <f t="shared" si="0"/>
        <v>0.95151033386327499</v>
      </c>
      <c r="D1170" s="402">
        <f t="shared" ref="D1170:F1170" si="1188">ROUNDDOWN($C1170*D$2,0) - IF(MOD($C1170*D$2,1)=0,1,0) + 1</f>
        <v>2</v>
      </c>
      <c r="E1170" s="402">
        <f t="shared" si="1188"/>
        <v>3</v>
      </c>
      <c r="F1170" s="402">
        <f t="shared" si="1188"/>
        <v>4</v>
      </c>
      <c r="G1170" s="401">
        <f t="shared" si="3"/>
        <v>0</v>
      </c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</row>
    <row r="1171" spans="1:20" ht="15.75" customHeight="1">
      <c r="A1171" s="399">
        <v>43992</v>
      </c>
      <c r="B1171" s="400">
        <v>1.7913305598917129E-2</v>
      </c>
      <c r="C1171" s="401">
        <f t="shared" si="0"/>
        <v>0.87917329093799679</v>
      </c>
      <c r="D1171" s="402">
        <f t="shared" ref="D1171:F1171" si="1189">ROUNDDOWN($C1171*D$2,0) - IF(MOD($C1171*D$2,1)=0,1,0) + 1</f>
        <v>2</v>
      </c>
      <c r="E1171" s="402">
        <f t="shared" si="1189"/>
        <v>3</v>
      </c>
      <c r="F1171" s="402">
        <f t="shared" si="1189"/>
        <v>4</v>
      </c>
      <c r="G1171" s="401">
        <f t="shared" si="3"/>
        <v>0</v>
      </c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</row>
    <row r="1172" spans="1:20" ht="15.75" customHeight="1">
      <c r="A1172" s="399">
        <v>43993</v>
      </c>
      <c r="B1172" s="400">
        <v>-3.38023380989253E-2</v>
      </c>
      <c r="C1172" s="401">
        <f t="shared" si="0"/>
        <v>3.6565977742448331E-2</v>
      </c>
      <c r="D1172" s="402">
        <f t="shared" ref="D1172:F1172" si="1190">ROUNDDOWN($C1172*D$2,0) - IF(MOD($C1172*D$2,1)=0,1,0) + 1</f>
        <v>1</v>
      </c>
      <c r="E1172" s="402">
        <f t="shared" si="1190"/>
        <v>1</v>
      </c>
      <c r="F1172" s="402">
        <f t="shared" si="1190"/>
        <v>1</v>
      </c>
      <c r="G1172" s="401">
        <f t="shared" si="3"/>
        <v>0</v>
      </c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</row>
    <row r="1173" spans="1:20" ht="15.75" customHeight="1">
      <c r="A1173" s="399">
        <v>43994</v>
      </c>
      <c r="B1173" s="400">
        <v>-5.0587186664373673E-3</v>
      </c>
      <c r="C1173" s="401">
        <f t="shared" si="0"/>
        <v>0.2933227344992051</v>
      </c>
      <c r="D1173" s="402">
        <f t="shared" ref="D1173:F1173" si="1191">ROUNDDOWN($C1173*D$2,0) - IF(MOD($C1173*D$2,1)=0,1,0) + 1</f>
        <v>1</v>
      </c>
      <c r="E1173" s="402">
        <f t="shared" si="1191"/>
        <v>1</v>
      </c>
      <c r="F1173" s="402">
        <f t="shared" si="1191"/>
        <v>2</v>
      </c>
      <c r="G1173" s="401">
        <f t="shared" si="3"/>
        <v>-5.0587186664373673E-3</v>
      </c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</row>
    <row r="1174" spans="1:20" ht="15.75" customHeight="1">
      <c r="A1174" s="399">
        <v>43997</v>
      </c>
      <c r="B1174" s="400">
        <v>1.0868283942758739E-2</v>
      </c>
      <c r="C1174" s="401">
        <f t="shared" si="0"/>
        <v>0.75993640699523057</v>
      </c>
      <c r="D1174" s="402">
        <f t="shared" ref="D1174:F1174" si="1192">ROUNDDOWN($C1174*D$2,0) - IF(MOD($C1174*D$2,1)=0,1,0) + 1</f>
        <v>2</v>
      </c>
      <c r="E1174" s="402">
        <f t="shared" si="1192"/>
        <v>3</v>
      </c>
      <c r="F1174" s="402">
        <f t="shared" si="1192"/>
        <v>4</v>
      </c>
      <c r="G1174" s="401">
        <f t="shared" si="3"/>
        <v>0</v>
      </c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</row>
    <row r="1175" spans="1:20" ht="15.75" customHeight="1">
      <c r="A1175" s="399">
        <v>43998</v>
      </c>
      <c r="B1175" s="400">
        <v>1.6554721146819773E-2</v>
      </c>
      <c r="C1175" s="401">
        <f t="shared" si="0"/>
        <v>0.86327503974562803</v>
      </c>
      <c r="D1175" s="402">
        <f t="shared" ref="D1175:F1175" si="1193">ROUNDDOWN($C1175*D$2,0) - IF(MOD($C1175*D$2,1)=0,1,0) + 1</f>
        <v>2</v>
      </c>
      <c r="E1175" s="402">
        <f t="shared" si="1193"/>
        <v>3</v>
      </c>
      <c r="F1175" s="402">
        <f t="shared" si="1193"/>
        <v>4</v>
      </c>
      <c r="G1175" s="401">
        <f t="shared" si="3"/>
        <v>0</v>
      </c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</row>
    <row r="1176" spans="1:20" ht="15.75" customHeight="1">
      <c r="A1176" s="399">
        <v>43999</v>
      </c>
      <c r="B1176" s="400">
        <v>9.8307249347104886E-3</v>
      </c>
      <c r="C1176" s="401">
        <f t="shared" si="0"/>
        <v>0.73847376788553254</v>
      </c>
      <c r="D1176" s="402">
        <f t="shared" ref="D1176:F1176" si="1194">ROUNDDOWN($C1176*D$2,0) - IF(MOD($C1176*D$2,1)=0,1,0) + 1</f>
        <v>2</v>
      </c>
      <c r="E1176" s="402">
        <f t="shared" si="1194"/>
        <v>3</v>
      </c>
      <c r="F1176" s="402">
        <f t="shared" si="1194"/>
        <v>3</v>
      </c>
      <c r="G1176" s="401">
        <f t="shared" si="3"/>
        <v>0</v>
      </c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</row>
    <row r="1177" spans="1:20" ht="15.75" customHeight="1">
      <c r="A1177" s="399">
        <v>44000</v>
      </c>
      <c r="B1177" s="400">
        <v>4.9224151640678837E-3</v>
      </c>
      <c r="C1177" s="401">
        <f t="shared" si="0"/>
        <v>0.60095389507154218</v>
      </c>
      <c r="D1177" s="402">
        <f t="shared" ref="D1177:F1177" si="1195">ROUNDDOWN($C1177*D$2,0) - IF(MOD($C1177*D$2,1)=0,1,0) + 1</f>
        <v>2</v>
      </c>
      <c r="E1177" s="402">
        <f t="shared" si="1195"/>
        <v>2</v>
      </c>
      <c r="F1177" s="402">
        <f t="shared" si="1195"/>
        <v>3</v>
      </c>
      <c r="G1177" s="401">
        <f t="shared" si="3"/>
        <v>0</v>
      </c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</row>
    <row r="1178" spans="1:20" ht="15.75" customHeight="1">
      <c r="A1178" s="399">
        <v>44001</v>
      </c>
      <c r="B1178" s="400">
        <v>7.923948183482965E-3</v>
      </c>
      <c r="C1178" s="401">
        <f t="shared" si="0"/>
        <v>0.68759936406995226</v>
      </c>
      <c r="D1178" s="402">
        <f t="shared" ref="D1178:F1178" si="1196">ROUNDDOWN($C1178*D$2,0) - IF(MOD($C1178*D$2,1)=0,1,0) + 1</f>
        <v>2</v>
      </c>
      <c r="E1178" s="402">
        <f t="shared" si="1196"/>
        <v>3</v>
      </c>
      <c r="F1178" s="402">
        <f t="shared" si="1196"/>
        <v>3</v>
      </c>
      <c r="G1178" s="401">
        <f t="shared" si="3"/>
        <v>0</v>
      </c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</row>
    <row r="1179" spans="1:20" ht="15.75" customHeight="1">
      <c r="A1179" s="399">
        <v>44004</v>
      </c>
      <c r="B1179" s="400">
        <v>1.4508356978104819E-2</v>
      </c>
      <c r="C1179" s="401">
        <f t="shared" si="0"/>
        <v>0.83227344992050878</v>
      </c>
      <c r="D1179" s="402">
        <f t="shared" ref="D1179:F1179" si="1197">ROUNDDOWN($C1179*D$2,0) - IF(MOD($C1179*D$2,1)=0,1,0) + 1</f>
        <v>2</v>
      </c>
      <c r="E1179" s="402">
        <f t="shared" si="1197"/>
        <v>3</v>
      </c>
      <c r="F1179" s="402">
        <f t="shared" si="1197"/>
        <v>4</v>
      </c>
      <c r="G1179" s="401">
        <f t="shared" si="3"/>
        <v>0</v>
      </c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</row>
    <row r="1180" spans="1:20" ht="15.75" customHeight="1">
      <c r="A1180" s="399">
        <v>44005</v>
      </c>
      <c r="B1180" s="400">
        <v>1.8641619562093092E-2</v>
      </c>
      <c r="C1180" s="401">
        <f t="shared" si="0"/>
        <v>0.88394276629570745</v>
      </c>
      <c r="D1180" s="402">
        <f t="shared" ref="D1180:F1180" si="1198">ROUNDDOWN($C1180*D$2,0) - IF(MOD($C1180*D$2,1)=0,1,0) + 1</f>
        <v>2</v>
      </c>
      <c r="E1180" s="402">
        <f t="shared" si="1198"/>
        <v>3</v>
      </c>
      <c r="F1180" s="402">
        <f t="shared" si="1198"/>
        <v>4</v>
      </c>
      <c r="G1180" s="401">
        <f t="shared" si="3"/>
        <v>0</v>
      </c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</row>
    <row r="1181" spans="1:20" ht="15.75" customHeight="1">
      <c r="A1181" s="399">
        <v>44006</v>
      </c>
      <c r="B1181" s="400">
        <v>-1.0855842657203407E-2</v>
      </c>
      <c r="C1181" s="401">
        <f t="shared" si="0"/>
        <v>0.18203497615262321</v>
      </c>
      <c r="D1181" s="402">
        <f t="shared" ref="D1181:F1181" si="1199">ROUNDDOWN($C1181*D$2,0) - IF(MOD($C1181*D$2,1)=0,1,0) + 1</f>
        <v>1</v>
      </c>
      <c r="E1181" s="402">
        <f t="shared" si="1199"/>
        <v>1</v>
      </c>
      <c r="F1181" s="402">
        <f t="shared" si="1199"/>
        <v>1</v>
      </c>
      <c r="G1181" s="401">
        <f t="shared" si="3"/>
        <v>0</v>
      </c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</row>
    <row r="1182" spans="1:20" ht="15.75" customHeight="1">
      <c r="A1182" s="399">
        <v>44007</v>
      </c>
      <c r="B1182" s="400">
        <v>7.3800468110005735E-3</v>
      </c>
      <c r="C1182" s="401">
        <f t="shared" si="0"/>
        <v>0.67249602543720188</v>
      </c>
      <c r="D1182" s="402">
        <f t="shared" ref="D1182:F1182" si="1200">ROUNDDOWN($C1182*D$2,0) - IF(MOD($C1182*D$2,1)=0,1,0) + 1</f>
        <v>2</v>
      </c>
      <c r="E1182" s="402">
        <f t="shared" si="1200"/>
        <v>3</v>
      </c>
      <c r="F1182" s="402">
        <f t="shared" si="1200"/>
        <v>3</v>
      </c>
      <c r="G1182" s="401">
        <f t="shared" si="3"/>
        <v>7.3800468110005735E-3</v>
      </c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</row>
    <row r="1183" spans="1:20" ht="15.75" customHeight="1">
      <c r="A1183" s="399">
        <v>44008</v>
      </c>
      <c r="B1183" s="400">
        <v>-2.2402689339209636E-2</v>
      </c>
      <c r="C1183" s="401">
        <f t="shared" si="0"/>
        <v>7.7901430842607311E-2</v>
      </c>
      <c r="D1183" s="402">
        <f t="shared" ref="D1183:F1183" si="1201">ROUNDDOWN($C1183*D$2,0) - IF(MOD($C1183*D$2,1)=0,1,0) + 1</f>
        <v>1</v>
      </c>
      <c r="E1183" s="402">
        <f t="shared" si="1201"/>
        <v>1</v>
      </c>
      <c r="F1183" s="402">
        <f t="shared" si="1201"/>
        <v>1</v>
      </c>
      <c r="G1183" s="401">
        <f t="shared" si="3"/>
        <v>0</v>
      </c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</row>
    <row r="1184" spans="1:20" ht="15.75" customHeight="1">
      <c r="A1184" s="399">
        <v>44011</v>
      </c>
      <c r="B1184" s="400">
        <v>-4.6381741413434874E-3</v>
      </c>
      <c r="C1184" s="401">
        <f t="shared" si="0"/>
        <v>0.30763116057233703</v>
      </c>
      <c r="D1184" s="402">
        <f t="shared" ref="D1184:F1184" si="1202">ROUNDDOWN($C1184*D$2,0) - IF(MOD($C1184*D$2,1)=0,1,0) + 1</f>
        <v>1</v>
      </c>
      <c r="E1184" s="402">
        <f t="shared" si="1202"/>
        <v>1</v>
      </c>
      <c r="F1184" s="402">
        <f t="shared" si="1202"/>
        <v>2</v>
      </c>
      <c r="G1184" s="401">
        <f t="shared" si="3"/>
        <v>-4.6381741413434874E-3</v>
      </c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</row>
    <row r="1185" spans="1:20" ht="15.75" customHeight="1">
      <c r="A1185" s="399">
        <v>44012</v>
      </c>
      <c r="B1185" s="400">
        <v>2.9264507271357099E-2</v>
      </c>
      <c r="C1185" s="401">
        <f t="shared" si="0"/>
        <v>0.94912559618441972</v>
      </c>
      <c r="D1185" s="402">
        <f t="shared" ref="D1185:F1185" si="1203">ROUNDDOWN($C1185*D$2,0) - IF(MOD($C1185*D$2,1)=0,1,0) + 1</f>
        <v>2</v>
      </c>
      <c r="E1185" s="402">
        <f t="shared" si="1203"/>
        <v>3</v>
      </c>
      <c r="F1185" s="402">
        <f t="shared" si="1203"/>
        <v>4</v>
      </c>
      <c r="G1185" s="401">
        <f t="shared" si="3"/>
        <v>0</v>
      </c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</row>
    <row r="1186" spans="1:20" ht="15.75" customHeight="1">
      <c r="A1186" s="399">
        <v>44013</v>
      </c>
      <c r="B1186" s="400">
        <v>4.3453360494704052E-2</v>
      </c>
      <c r="C1186" s="401">
        <f t="shared" si="0"/>
        <v>0.97853736089030208</v>
      </c>
      <c r="D1186" s="402">
        <f t="shared" ref="D1186:F1186" si="1204">ROUNDDOWN($C1186*D$2,0) - IF(MOD($C1186*D$2,1)=0,1,0) + 1</f>
        <v>2</v>
      </c>
      <c r="E1186" s="402">
        <f t="shared" si="1204"/>
        <v>3</v>
      </c>
      <c r="F1186" s="402">
        <f t="shared" si="1204"/>
        <v>4</v>
      </c>
      <c r="G1186" s="401">
        <f t="shared" si="3"/>
        <v>0</v>
      </c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</row>
    <row r="1187" spans="1:20" ht="15.75" customHeight="1">
      <c r="A1187" s="399">
        <v>44014</v>
      </c>
      <c r="B1187" s="400">
        <v>4.0295966929517757E-3</v>
      </c>
      <c r="C1187" s="401">
        <f t="shared" si="0"/>
        <v>0.57631160572337048</v>
      </c>
      <c r="D1187" s="402">
        <f t="shared" ref="D1187:F1187" si="1205">ROUNDDOWN($C1187*D$2,0) - IF(MOD($C1187*D$2,1)=0,1,0) + 1</f>
        <v>2</v>
      </c>
      <c r="E1187" s="402">
        <f t="shared" si="1205"/>
        <v>2</v>
      </c>
      <c r="F1187" s="402">
        <f t="shared" si="1205"/>
        <v>3</v>
      </c>
      <c r="G1187" s="401">
        <f t="shared" si="3"/>
        <v>0</v>
      </c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</row>
    <row r="1188" spans="1:20" ht="15.75" customHeight="1">
      <c r="A1188" s="399">
        <v>44018</v>
      </c>
      <c r="B1188" s="400">
        <v>5.7689513199321807E-2</v>
      </c>
      <c r="C1188" s="401">
        <f t="shared" si="0"/>
        <v>0.99046104928457868</v>
      </c>
      <c r="D1188" s="402">
        <f t="shared" ref="D1188:F1188" si="1206">ROUNDDOWN($C1188*D$2,0) - IF(MOD($C1188*D$2,1)=0,1,0) + 1</f>
        <v>2</v>
      </c>
      <c r="E1188" s="402">
        <f t="shared" si="1206"/>
        <v>3</v>
      </c>
      <c r="F1188" s="402">
        <f t="shared" si="1206"/>
        <v>4</v>
      </c>
      <c r="G1188" s="401">
        <f t="shared" si="3"/>
        <v>0</v>
      </c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</row>
    <row r="1189" spans="1:20" ht="15.75" customHeight="1">
      <c r="A1189" s="399">
        <v>44019</v>
      </c>
      <c r="B1189" s="400">
        <v>-1.8619318033130106E-2</v>
      </c>
      <c r="C1189" s="401">
        <f t="shared" si="0"/>
        <v>9.5389507154213043E-2</v>
      </c>
      <c r="D1189" s="402">
        <f t="shared" ref="D1189:F1189" si="1207">ROUNDDOWN($C1189*D$2,0) - IF(MOD($C1189*D$2,1)=0,1,0) + 1</f>
        <v>1</v>
      </c>
      <c r="E1189" s="402">
        <f t="shared" si="1207"/>
        <v>1</v>
      </c>
      <c r="F1189" s="402">
        <f t="shared" si="1207"/>
        <v>1</v>
      </c>
      <c r="G1189" s="401">
        <f t="shared" si="3"/>
        <v>0</v>
      </c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</row>
    <row r="1190" spans="1:20" ht="15.75" customHeight="1">
      <c r="A1190" s="399">
        <v>44020</v>
      </c>
      <c r="B1190" s="400">
        <v>2.6995586843193031E-2</v>
      </c>
      <c r="C1190" s="401">
        <f t="shared" si="0"/>
        <v>0.93879173290938001</v>
      </c>
      <c r="D1190" s="402">
        <f t="shared" ref="D1190:F1190" si="1208">ROUNDDOWN($C1190*D$2,0) - IF(MOD($C1190*D$2,1)=0,1,0) + 1</f>
        <v>2</v>
      </c>
      <c r="E1190" s="402">
        <f t="shared" si="1208"/>
        <v>3</v>
      </c>
      <c r="F1190" s="402">
        <f t="shared" si="1208"/>
        <v>4</v>
      </c>
      <c r="G1190" s="401">
        <f t="shared" si="3"/>
        <v>2.6995586843193031E-2</v>
      </c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</row>
    <row r="1191" spans="1:20" ht="15.75" customHeight="1">
      <c r="A1191" s="399">
        <v>44021</v>
      </c>
      <c r="B1191" s="400">
        <v>3.2949164424509236E-2</v>
      </c>
      <c r="C1191" s="401">
        <f t="shared" si="0"/>
        <v>0.95786963434022254</v>
      </c>
      <c r="D1191" s="402">
        <f t="shared" ref="D1191:F1191" si="1209">ROUNDDOWN($C1191*D$2,0) - IF(MOD($C1191*D$2,1)=0,1,0) + 1</f>
        <v>2</v>
      </c>
      <c r="E1191" s="402">
        <f t="shared" si="1209"/>
        <v>3</v>
      </c>
      <c r="F1191" s="402">
        <f t="shared" si="1209"/>
        <v>4</v>
      </c>
      <c r="G1191" s="401">
        <f t="shared" si="3"/>
        <v>0</v>
      </c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</row>
    <row r="1192" spans="1:20" ht="15.75" customHeight="1">
      <c r="A1192" s="399">
        <v>44022</v>
      </c>
      <c r="B1192" s="400">
        <v>5.4577503511246128E-3</v>
      </c>
      <c r="C1192" s="401">
        <f t="shared" si="0"/>
        <v>0.61685214626391094</v>
      </c>
      <c r="D1192" s="402">
        <f t="shared" ref="D1192:F1192" si="1210">ROUNDDOWN($C1192*D$2,0) - IF(MOD($C1192*D$2,1)=0,1,0) + 1</f>
        <v>2</v>
      </c>
      <c r="E1192" s="402">
        <f t="shared" si="1210"/>
        <v>2</v>
      </c>
      <c r="F1192" s="402">
        <f t="shared" si="1210"/>
        <v>3</v>
      </c>
      <c r="G1192" s="401">
        <f t="shared" si="3"/>
        <v>0</v>
      </c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</row>
    <row r="1193" spans="1:20" ht="15.75" customHeight="1">
      <c r="A1193" s="399">
        <v>44025</v>
      </c>
      <c r="B1193" s="400">
        <v>-3.0000000000000027E-2</v>
      </c>
      <c r="C1193" s="401">
        <f t="shared" si="0"/>
        <v>4.8489666136724958E-2</v>
      </c>
      <c r="D1193" s="402">
        <f t="shared" ref="D1193:F1193" si="1211">ROUNDDOWN($C1193*D$2,0) - IF(MOD($C1193*D$2,1)=0,1,0) + 1</f>
        <v>1</v>
      </c>
      <c r="E1193" s="402">
        <f t="shared" si="1211"/>
        <v>1</v>
      </c>
      <c r="F1193" s="402">
        <f t="shared" si="1211"/>
        <v>1</v>
      </c>
      <c r="G1193" s="401">
        <f t="shared" si="3"/>
        <v>0</v>
      </c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</row>
    <row r="1194" spans="1:20" ht="15.75" customHeight="1">
      <c r="A1194" s="399">
        <v>44026</v>
      </c>
      <c r="B1194" s="400">
        <v>-6.4432989690721421E-3</v>
      </c>
      <c r="C1194" s="401">
        <f t="shared" si="0"/>
        <v>0.25755166931637519</v>
      </c>
      <c r="D1194" s="402">
        <f t="shared" ref="D1194:F1194" si="1212">ROUNDDOWN($C1194*D$2,0) - IF(MOD($C1194*D$2,1)=0,1,0) + 1</f>
        <v>1</v>
      </c>
      <c r="E1194" s="402">
        <f t="shared" si="1212"/>
        <v>1</v>
      </c>
      <c r="F1194" s="402">
        <f t="shared" si="1212"/>
        <v>2</v>
      </c>
      <c r="G1194" s="401">
        <f t="shared" si="3"/>
        <v>-6.4432989690721421E-3</v>
      </c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</row>
    <row r="1195" spans="1:20" ht="15.75" customHeight="1">
      <c r="A1195" s="399">
        <v>44027</v>
      </c>
      <c r="B1195" s="400">
        <v>-2.4361219195849548E-2</v>
      </c>
      <c r="C1195" s="401">
        <f t="shared" si="0"/>
        <v>6.9157392686804445E-2</v>
      </c>
      <c r="D1195" s="402">
        <f t="shared" ref="D1195:F1195" si="1213">ROUNDDOWN($C1195*D$2,0) - IF(MOD($C1195*D$2,1)=0,1,0) + 1</f>
        <v>1</v>
      </c>
      <c r="E1195" s="402">
        <f t="shared" si="1213"/>
        <v>1</v>
      </c>
      <c r="F1195" s="402">
        <f t="shared" si="1213"/>
        <v>1</v>
      </c>
      <c r="G1195" s="401">
        <f t="shared" si="3"/>
        <v>0</v>
      </c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</row>
    <row r="1196" spans="1:20" ht="15.75" customHeight="1">
      <c r="A1196" s="399">
        <v>44028</v>
      </c>
      <c r="B1196" s="400">
        <v>-2.9811856278270099E-3</v>
      </c>
      <c r="C1196" s="401">
        <f t="shared" si="0"/>
        <v>0.36406995230524641</v>
      </c>
      <c r="D1196" s="402">
        <f t="shared" ref="D1196:F1196" si="1214">ROUNDDOWN($C1196*D$2,0) - IF(MOD($C1196*D$2,1)=0,1,0) + 1</f>
        <v>1</v>
      </c>
      <c r="E1196" s="402">
        <f t="shared" si="1214"/>
        <v>2</v>
      </c>
      <c r="F1196" s="402">
        <f t="shared" si="1214"/>
        <v>2</v>
      </c>
      <c r="G1196" s="401">
        <f t="shared" si="3"/>
        <v>-2.9811856278270099E-3</v>
      </c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</row>
    <row r="1197" spans="1:20" ht="15.75" customHeight="1">
      <c r="A1197" s="399">
        <v>44029</v>
      </c>
      <c r="B1197" s="400">
        <v>-1.2643754791826445E-2</v>
      </c>
      <c r="C1197" s="401">
        <f t="shared" si="0"/>
        <v>0.15421303656597773</v>
      </c>
      <c r="D1197" s="402">
        <f t="shared" ref="D1197:F1197" si="1215">ROUNDDOWN($C1197*D$2,0) - IF(MOD($C1197*D$2,1)=0,1,0) + 1</f>
        <v>1</v>
      </c>
      <c r="E1197" s="402">
        <f t="shared" si="1215"/>
        <v>1</v>
      </c>
      <c r="F1197" s="402">
        <f t="shared" si="1215"/>
        <v>1</v>
      </c>
      <c r="G1197" s="401">
        <f t="shared" si="3"/>
        <v>0</v>
      </c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</row>
    <row r="1198" spans="1:20" ht="15.75" customHeight="1">
      <c r="A1198" s="399">
        <v>44032</v>
      </c>
      <c r="B1198" s="400">
        <v>7.9295198803499112E-2</v>
      </c>
      <c r="C1198" s="401">
        <f t="shared" si="0"/>
        <v>0.99682034976152623</v>
      </c>
      <c r="D1198" s="402">
        <f t="shared" ref="D1198:F1198" si="1216">ROUNDDOWN($C1198*D$2,0) - IF(MOD($C1198*D$2,1)=0,1,0) + 1</f>
        <v>2</v>
      </c>
      <c r="E1198" s="402">
        <f t="shared" si="1216"/>
        <v>3</v>
      </c>
      <c r="F1198" s="402">
        <f t="shared" si="1216"/>
        <v>4</v>
      </c>
      <c r="G1198" s="401">
        <f t="shared" si="3"/>
        <v>7.9295198803499112E-2</v>
      </c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</row>
    <row r="1199" spans="1:20" ht="15.75" customHeight="1">
      <c r="A1199" s="399">
        <v>44033</v>
      </c>
      <c r="B1199" s="400">
        <v>-1.8314961024011311E-2</v>
      </c>
      <c r="C1199" s="401">
        <f t="shared" si="0"/>
        <v>0.10015898251192369</v>
      </c>
      <c r="D1199" s="402">
        <f t="shared" ref="D1199:F1199" si="1217">ROUNDDOWN($C1199*D$2,0) - IF(MOD($C1199*D$2,1)=0,1,0) + 1</f>
        <v>1</v>
      </c>
      <c r="E1199" s="402">
        <f t="shared" si="1217"/>
        <v>1</v>
      </c>
      <c r="F1199" s="402">
        <f t="shared" si="1217"/>
        <v>1</v>
      </c>
      <c r="G1199" s="401">
        <f t="shared" si="3"/>
        <v>0</v>
      </c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</row>
    <row r="1200" spans="1:20" ht="15.75" customHeight="1">
      <c r="A1200" s="399">
        <v>44034</v>
      </c>
      <c r="B1200" s="400">
        <v>-1.2229589999649515E-2</v>
      </c>
      <c r="C1200" s="401">
        <f t="shared" si="0"/>
        <v>0.16057233704292528</v>
      </c>
      <c r="D1200" s="402">
        <f t="shared" ref="D1200:F1200" si="1218">ROUNDDOWN($C1200*D$2,0) - IF(MOD($C1200*D$2,1)=0,1,0) + 1</f>
        <v>1</v>
      </c>
      <c r="E1200" s="402">
        <f t="shared" si="1218"/>
        <v>1</v>
      </c>
      <c r="F1200" s="402">
        <f t="shared" si="1218"/>
        <v>1</v>
      </c>
      <c r="G1200" s="401">
        <f t="shared" si="3"/>
        <v>-1.2229589999649515E-2</v>
      </c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</row>
    <row r="1201" spans="1:20" ht="15.75" customHeight="1">
      <c r="A1201" s="399">
        <v>44035</v>
      </c>
      <c r="B1201" s="400">
        <v>-3.6568803610427247E-2</v>
      </c>
      <c r="C1201" s="401">
        <f t="shared" si="0"/>
        <v>3.259141494435612E-2</v>
      </c>
      <c r="D1201" s="402">
        <f t="shared" ref="D1201:F1201" si="1219">ROUNDDOWN($C1201*D$2,0) - IF(MOD($C1201*D$2,1)=0,1,0) + 1</f>
        <v>1</v>
      </c>
      <c r="E1201" s="402">
        <f t="shared" si="1219"/>
        <v>1</v>
      </c>
      <c r="F1201" s="402">
        <f t="shared" si="1219"/>
        <v>1</v>
      </c>
      <c r="G1201" s="401">
        <f t="shared" si="3"/>
        <v>-3.6568803610427247E-2</v>
      </c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</row>
    <row r="1202" spans="1:20" ht="15.75" customHeight="1">
      <c r="A1202" s="399">
        <v>44036</v>
      </c>
      <c r="B1202" s="400">
        <v>7.4868995998726984E-3</v>
      </c>
      <c r="C1202" s="401">
        <f t="shared" si="0"/>
        <v>0.67885532591414943</v>
      </c>
      <c r="D1202" s="402">
        <f t="shared" ref="D1202:F1202" si="1220">ROUNDDOWN($C1202*D$2,0) - IF(MOD($C1202*D$2,1)=0,1,0) + 1</f>
        <v>2</v>
      </c>
      <c r="E1202" s="402">
        <f t="shared" si="1220"/>
        <v>3</v>
      </c>
      <c r="F1202" s="402">
        <f t="shared" si="1220"/>
        <v>3</v>
      </c>
      <c r="G1202" s="401">
        <f t="shared" si="3"/>
        <v>7.4868995998726984E-3</v>
      </c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</row>
    <row r="1203" spans="1:20" ht="15.75" customHeight="1">
      <c r="A1203" s="399">
        <v>44039</v>
      </c>
      <c r="B1203" s="400">
        <v>1.5387632066097057E-2</v>
      </c>
      <c r="C1203" s="401">
        <f t="shared" si="0"/>
        <v>0.84737678855325915</v>
      </c>
      <c r="D1203" s="402">
        <f t="shared" ref="D1203:F1203" si="1221">ROUNDDOWN($C1203*D$2,0) - IF(MOD($C1203*D$2,1)=0,1,0) + 1</f>
        <v>2</v>
      </c>
      <c r="E1203" s="402">
        <f t="shared" si="1221"/>
        <v>3</v>
      </c>
      <c r="F1203" s="402">
        <f t="shared" si="1221"/>
        <v>4</v>
      </c>
      <c r="G1203" s="401">
        <f t="shared" si="3"/>
        <v>0</v>
      </c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</row>
    <row r="1204" spans="1:20" ht="15.75" customHeight="1">
      <c r="A1204" s="399">
        <v>44040</v>
      </c>
      <c r="B1204" s="400">
        <v>-1.796275869743813E-2</v>
      </c>
      <c r="C1204" s="401">
        <f t="shared" si="0"/>
        <v>0.10492845786963434</v>
      </c>
      <c r="D1204" s="402">
        <f t="shared" ref="D1204:F1204" si="1222">ROUNDDOWN($C1204*D$2,0) - IF(MOD($C1204*D$2,1)=0,1,0) + 1</f>
        <v>1</v>
      </c>
      <c r="E1204" s="402">
        <f t="shared" si="1222"/>
        <v>1</v>
      </c>
      <c r="F1204" s="402">
        <f t="shared" si="1222"/>
        <v>1</v>
      </c>
      <c r="G1204" s="401">
        <f t="shared" si="3"/>
        <v>0</v>
      </c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</row>
    <row r="1205" spans="1:20" ht="15.75" customHeight="1">
      <c r="A1205" s="399">
        <v>44041</v>
      </c>
      <c r="B1205" s="400">
        <v>1.1065449467225319E-2</v>
      </c>
      <c r="C1205" s="401">
        <f t="shared" si="0"/>
        <v>0.76311605723370435</v>
      </c>
      <c r="D1205" s="402">
        <f t="shared" ref="D1205:F1205" si="1223">ROUNDDOWN($C1205*D$2,0) - IF(MOD($C1205*D$2,1)=0,1,0) + 1</f>
        <v>2</v>
      </c>
      <c r="E1205" s="402">
        <f t="shared" si="1223"/>
        <v>3</v>
      </c>
      <c r="F1205" s="402">
        <f t="shared" si="1223"/>
        <v>4</v>
      </c>
      <c r="G1205" s="401">
        <f t="shared" si="3"/>
        <v>1.1065449467225319E-2</v>
      </c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</row>
    <row r="1206" spans="1:20" ht="15.75" customHeight="1">
      <c r="A1206" s="399">
        <v>44042</v>
      </c>
      <c r="B1206" s="400">
        <v>6.0490583577548218E-3</v>
      </c>
      <c r="C1206" s="401">
        <f t="shared" si="0"/>
        <v>0.63513513513513509</v>
      </c>
      <c r="D1206" s="402">
        <f t="shared" ref="D1206:F1206" si="1224">ROUNDDOWN($C1206*D$2,0) - IF(MOD($C1206*D$2,1)=0,1,0) + 1</f>
        <v>2</v>
      </c>
      <c r="E1206" s="402">
        <f t="shared" si="1224"/>
        <v>2</v>
      </c>
      <c r="F1206" s="402">
        <f t="shared" si="1224"/>
        <v>3</v>
      </c>
      <c r="G1206" s="401">
        <f t="shared" si="3"/>
        <v>0</v>
      </c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</row>
    <row r="1207" spans="1:20" ht="15.75" customHeight="1">
      <c r="A1207" s="399">
        <v>44043</v>
      </c>
      <c r="B1207" s="400">
        <v>3.696082414773838E-2</v>
      </c>
      <c r="C1207" s="401">
        <f t="shared" si="0"/>
        <v>0.96820349761526237</v>
      </c>
      <c r="D1207" s="402">
        <f t="shared" ref="D1207:F1207" si="1225">ROUNDDOWN($C1207*D$2,0) - IF(MOD($C1207*D$2,1)=0,1,0) + 1</f>
        <v>2</v>
      </c>
      <c r="E1207" s="402">
        <f t="shared" si="1225"/>
        <v>3</v>
      </c>
      <c r="F1207" s="402">
        <f t="shared" si="1225"/>
        <v>4</v>
      </c>
      <c r="G1207" s="401">
        <f t="shared" si="3"/>
        <v>0</v>
      </c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</row>
    <row r="1208" spans="1:20" ht="15.75" customHeight="1">
      <c r="A1208" s="399">
        <v>44046</v>
      </c>
      <c r="B1208" s="400">
        <v>-1.6680991443052684E-2</v>
      </c>
      <c r="C1208" s="401">
        <f t="shared" si="0"/>
        <v>0.11764705882352941</v>
      </c>
      <c r="D1208" s="402">
        <f t="shared" ref="D1208:F1208" si="1226">ROUNDDOWN($C1208*D$2,0) - IF(MOD($C1208*D$2,1)=0,1,0) + 1</f>
        <v>1</v>
      </c>
      <c r="E1208" s="402">
        <f t="shared" si="1226"/>
        <v>1</v>
      </c>
      <c r="F1208" s="402">
        <f t="shared" si="1226"/>
        <v>1</v>
      </c>
      <c r="G1208" s="401">
        <f t="shared" si="3"/>
        <v>0</v>
      </c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</row>
    <row r="1209" spans="1:20" ht="15.75" customHeight="1">
      <c r="A1209" s="399">
        <v>44047</v>
      </c>
      <c r="B1209" s="400">
        <v>8.6571183428720833E-3</v>
      </c>
      <c r="C1209" s="401">
        <f t="shared" si="0"/>
        <v>0.70588235294117652</v>
      </c>
      <c r="D1209" s="402">
        <f t="shared" ref="D1209:F1209" si="1227">ROUNDDOWN($C1209*D$2,0) - IF(MOD($C1209*D$2,1)=0,1,0) + 1</f>
        <v>2</v>
      </c>
      <c r="E1209" s="402">
        <f t="shared" si="1227"/>
        <v>3</v>
      </c>
      <c r="F1209" s="402">
        <f t="shared" si="1227"/>
        <v>3</v>
      </c>
      <c r="G1209" s="401">
        <f t="shared" si="3"/>
        <v>8.6571183428720833E-3</v>
      </c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</row>
    <row r="1210" spans="1:20" ht="15.75" customHeight="1">
      <c r="A1210" s="399">
        <v>44048</v>
      </c>
      <c r="B1210" s="400">
        <v>2.1090661169926417E-2</v>
      </c>
      <c r="C1210" s="401">
        <f t="shared" si="0"/>
        <v>0.90461049284578698</v>
      </c>
      <c r="D1210" s="402">
        <f t="shared" ref="D1210:F1210" si="1228">ROUNDDOWN($C1210*D$2,0) - IF(MOD($C1210*D$2,1)=0,1,0) + 1</f>
        <v>2</v>
      </c>
      <c r="E1210" s="402">
        <f t="shared" si="1228"/>
        <v>3</v>
      </c>
      <c r="F1210" s="402">
        <f t="shared" si="1228"/>
        <v>4</v>
      </c>
      <c r="G1210" s="401">
        <f t="shared" si="3"/>
        <v>0</v>
      </c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</row>
    <row r="1211" spans="1:20" ht="15.75" customHeight="1">
      <c r="A1211" s="399">
        <v>44049</v>
      </c>
      <c r="B1211" s="400">
        <v>6.23083091265908E-3</v>
      </c>
      <c r="C1211" s="401">
        <f t="shared" si="0"/>
        <v>0.63751987281399047</v>
      </c>
      <c r="D1211" s="402">
        <f t="shared" ref="D1211:F1211" si="1229">ROUNDDOWN($C1211*D$2,0) - IF(MOD($C1211*D$2,1)=0,1,0) + 1</f>
        <v>2</v>
      </c>
      <c r="E1211" s="402">
        <f t="shared" si="1229"/>
        <v>2</v>
      </c>
      <c r="F1211" s="402">
        <f t="shared" si="1229"/>
        <v>3</v>
      </c>
      <c r="G1211" s="401">
        <f t="shared" si="3"/>
        <v>0</v>
      </c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</row>
    <row r="1212" spans="1:20" ht="15.75" customHeight="1">
      <c r="A1212" s="399">
        <v>44050</v>
      </c>
      <c r="B1212" s="400">
        <v>-1.7841860465116266E-2</v>
      </c>
      <c r="C1212" s="401">
        <f t="shared" si="0"/>
        <v>0.10731319554848967</v>
      </c>
      <c r="D1212" s="402">
        <f t="shared" ref="D1212:F1212" si="1230">ROUNDDOWN($C1212*D$2,0) - IF(MOD($C1212*D$2,1)=0,1,0) + 1</f>
        <v>1</v>
      </c>
      <c r="E1212" s="402">
        <f t="shared" si="1230"/>
        <v>1</v>
      </c>
      <c r="F1212" s="402">
        <f t="shared" si="1230"/>
        <v>1</v>
      </c>
      <c r="G1212" s="401">
        <f t="shared" si="3"/>
        <v>0</v>
      </c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</row>
    <row r="1213" spans="1:20" ht="15.75" customHeight="1">
      <c r="A1213" s="399">
        <v>44053</v>
      </c>
      <c r="B1213" s="400">
        <v>-6.0932103325693765E-3</v>
      </c>
      <c r="C1213" s="401">
        <f t="shared" si="0"/>
        <v>0.26788553259141495</v>
      </c>
      <c r="D1213" s="402">
        <f t="shared" ref="D1213:F1213" si="1231">ROUNDDOWN($C1213*D$2,0) - IF(MOD($C1213*D$2,1)=0,1,0) + 1</f>
        <v>1</v>
      </c>
      <c r="E1213" s="402">
        <f t="shared" si="1231"/>
        <v>1</v>
      </c>
      <c r="F1213" s="402">
        <f t="shared" si="1231"/>
        <v>2</v>
      </c>
      <c r="G1213" s="401">
        <f t="shared" si="3"/>
        <v>-6.0932103325693765E-3</v>
      </c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</row>
    <row r="1214" spans="1:20" ht="15.75" customHeight="1">
      <c r="A1214" s="399">
        <v>44054</v>
      </c>
      <c r="B1214" s="400">
        <v>-2.1437919292539021E-2</v>
      </c>
      <c r="C1214" s="401">
        <f t="shared" si="0"/>
        <v>8.505564387917329E-2</v>
      </c>
      <c r="D1214" s="402">
        <f t="shared" ref="D1214:F1214" si="1232">ROUNDDOWN($C1214*D$2,0) - IF(MOD($C1214*D$2,1)=0,1,0) + 1</f>
        <v>1</v>
      </c>
      <c r="E1214" s="402">
        <f t="shared" si="1232"/>
        <v>1</v>
      </c>
      <c r="F1214" s="402">
        <f t="shared" si="1232"/>
        <v>1</v>
      </c>
      <c r="G1214" s="401">
        <f t="shared" si="3"/>
        <v>0</v>
      </c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</row>
    <row r="1215" spans="1:20" ht="15.75" customHeight="1">
      <c r="A1215" s="399">
        <v>44055</v>
      </c>
      <c r="B1215" s="400">
        <v>2.6478006407697041E-2</v>
      </c>
      <c r="C1215" s="401">
        <f t="shared" si="0"/>
        <v>0.93640699523052462</v>
      </c>
      <c r="D1215" s="402">
        <f t="shared" ref="D1215:F1215" si="1233">ROUNDDOWN($C1215*D$2,0) - IF(MOD($C1215*D$2,1)=0,1,0) + 1</f>
        <v>2</v>
      </c>
      <c r="E1215" s="402">
        <f t="shared" si="1233"/>
        <v>3</v>
      </c>
      <c r="F1215" s="402">
        <f t="shared" si="1233"/>
        <v>4</v>
      </c>
      <c r="G1215" s="401">
        <f t="shared" si="3"/>
        <v>2.6478006407697041E-2</v>
      </c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</row>
    <row r="1216" spans="1:20" ht="15.75" customHeight="1">
      <c r="A1216" s="399">
        <v>44056</v>
      </c>
      <c r="B1216" s="400">
        <v>-3.8580246913577643E-4</v>
      </c>
      <c r="C1216" s="401">
        <f t="shared" si="0"/>
        <v>0.42925278219395868</v>
      </c>
      <c r="D1216" s="402">
        <f t="shared" ref="D1216:F1216" si="1234">ROUNDDOWN($C1216*D$2,0) - IF(MOD($C1216*D$2,1)=0,1,0) + 1</f>
        <v>1</v>
      </c>
      <c r="E1216" s="402">
        <f t="shared" si="1234"/>
        <v>2</v>
      </c>
      <c r="F1216" s="402">
        <f t="shared" si="1234"/>
        <v>2</v>
      </c>
      <c r="G1216" s="401">
        <f t="shared" si="3"/>
        <v>0</v>
      </c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</row>
    <row r="1217" spans="1:20" ht="15.75" customHeight="1">
      <c r="A1217" s="399">
        <v>44057</v>
      </c>
      <c r="B1217" s="400">
        <v>-4.1125965669309705E-3</v>
      </c>
      <c r="C1217" s="401">
        <f t="shared" si="0"/>
        <v>0.32273449920508746</v>
      </c>
      <c r="D1217" s="402">
        <f t="shared" ref="D1217:F1217" si="1235">ROUNDDOWN($C1217*D$2,0) - IF(MOD($C1217*D$2,1)=0,1,0) + 1</f>
        <v>1</v>
      </c>
      <c r="E1217" s="402">
        <f t="shared" si="1235"/>
        <v>1</v>
      </c>
      <c r="F1217" s="402">
        <f t="shared" si="1235"/>
        <v>2</v>
      </c>
      <c r="G1217" s="401">
        <f t="shared" si="3"/>
        <v>0</v>
      </c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</row>
    <row r="1218" spans="1:20" ht="15.75" customHeight="1">
      <c r="A1218" s="399">
        <v>44060</v>
      </c>
      <c r="B1218" s="400">
        <v>1.0924327037312276E-2</v>
      </c>
      <c r="C1218" s="401">
        <f t="shared" si="0"/>
        <v>0.76073131955484896</v>
      </c>
      <c r="D1218" s="402">
        <f t="shared" ref="D1218:F1218" si="1236">ROUNDDOWN($C1218*D$2,0) - IF(MOD($C1218*D$2,1)=0,1,0) + 1</f>
        <v>2</v>
      </c>
      <c r="E1218" s="402">
        <f t="shared" si="1236"/>
        <v>3</v>
      </c>
      <c r="F1218" s="402">
        <f t="shared" si="1236"/>
        <v>4</v>
      </c>
      <c r="G1218" s="401">
        <f t="shared" si="3"/>
        <v>0</v>
      </c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</row>
    <row r="1219" spans="1:20" ht="15.75" customHeight="1">
      <c r="A1219" s="399">
        <v>44061</v>
      </c>
      <c r="B1219" s="400">
        <v>4.0874683023243374E-2</v>
      </c>
      <c r="C1219" s="401">
        <f t="shared" si="0"/>
        <v>0.9753577106518283</v>
      </c>
      <c r="D1219" s="402">
        <f t="shared" ref="D1219:F1219" si="1237">ROUNDDOWN($C1219*D$2,0) - IF(MOD($C1219*D$2,1)=0,1,0) + 1</f>
        <v>2</v>
      </c>
      <c r="E1219" s="402">
        <f t="shared" si="1237"/>
        <v>3</v>
      </c>
      <c r="F1219" s="402">
        <f t="shared" si="1237"/>
        <v>4</v>
      </c>
      <c r="G1219" s="401">
        <f t="shared" si="3"/>
        <v>0</v>
      </c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</row>
    <row r="1220" spans="1:20" ht="15.75" customHeight="1">
      <c r="A1220" s="399">
        <v>44062</v>
      </c>
      <c r="B1220" s="400">
        <v>-1.5701179475258731E-2</v>
      </c>
      <c r="C1220" s="401">
        <f t="shared" si="0"/>
        <v>0.12718600953895071</v>
      </c>
      <c r="D1220" s="402">
        <f t="shared" ref="D1220:F1220" si="1238">ROUNDDOWN($C1220*D$2,0) - IF(MOD($C1220*D$2,1)=0,1,0) + 1</f>
        <v>1</v>
      </c>
      <c r="E1220" s="402">
        <f t="shared" si="1238"/>
        <v>1</v>
      </c>
      <c r="F1220" s="402">
        <f t="shared" si="1238"/>
        <v>1</v>
      </c>
      <c r="G1220" s="401">
        <f t="shared" si="3"/>
        <v>0</v>
      </c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</row>
    <row r="1221" spans="1:20" ht="15.75" customHeight="1">
      <c r="A1221" s="399">
        <v>44063</v>
      </c>
      <c r="B1221" s="400">
        <v>1.1314285013249492E-2</v>
      </c>
      <c r="C1221" s="401">
        <f t="shared" si="0"/>
        <v>0.77186009538950717</v>
      </c>
      <c r="D1221" s="402">
        <f t="shared" ref="D1221:F1221" si="1239">ROUNDDOWN($C1221*D$2,0) - IF(MOD($C1221*D$2,1)=0,1,0) + 1</f>
        <v>2</v>
      </c>
      <c r="E1221" s="402">
        <f t="shared" si="1239"/>
        <v>3</v>
      </c>
      <c r="F1221" s="402">
        <f t="shared" si="1239"/>
        <v>4</v>
      </c>
      <c r="G1221" s="401">
        <f t="shared" si="3"/>
        <v>1.1314285013249492E-2</v>
      </c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</row>
    <row r="1222" spans="1:20" ht="15.75" customHeight="1">
      <c r="A1222" s="399">
        <v>44064</v>
      </c>
      <c r="B1222" s="400">
        <v>-3.8363908205630848E-3</v>
      </c>
      <c r="C1222" s="401">
        <f t="shared" si="0"/>
        <v>0.33386327503974561</v>
      </c>
      <c r="D1222" s="402">
        <f t="shared" ref="D1222:F1222" si="1240">ROUNDDOWN($C1222*D$2,0) - IF(MOD($C1222*D$2,1)=0,1,0) + 1</f>
        <v>1</v>
      </c>
      <c r="E1222" s="402">
        <f t="shared" si="1240"/>
        <v>2</v>
      </c>
      <c r="F1222" s="402">
        <f t="shared" si="1240"/>
        <v>2</v>
      </c>
      <c r="G1222" s="401">
        <f t="shared" si="3"/>
        <v>0</v>
      </c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</row>
    <row r="1223" spans="1:20" ht="15.75" customHeight="1">
      <c r="A1223" s="399">
        <v>44067</v>
      </c>
      <c r="B1223" s="400">
        <v>6.9229645144792684E-3</v>
      </c>
      <c r="C1223" s="401">
        <f t="shared" si="0"/>
        <v>0.66216216216216217</v>
      </c>
      <c r="D1223" s="402">
        <f t="shared" ref="D1223:F1223" si="1241">ROUNDDOWN($C1223*D$2,0) - IF(MOD($C1223*D$2,1)=0,1,0) + 1</f>
        <v>2</v>
      </c>
      <c r="E1223" s="402">
        <f t="shared" si="1241"/>
        <v>2</v>
      </c>
      <c r="F1223" s="402">
        <f t="shared" si="1241"/>
        <v>3</v>
      </c>
      <c r="G1223" s="401">
        <f t="shared" si="3"/>
        <v>0</v>
      </c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</row>
    <row r="1224" spans="1:20" ht="15.75" customHeight="1">
      <c r="A1224" s="399">
        <v>44068</v>
      </c>
      <c r="B1224" s="400">
        <v>1.1800596227921067E-2</v>
      </c>
      <c r="C1224" s="401">
        <f t="shared" si="0"/>
        <v>0.78060413354531</v>
      </c>
      <c r="D1224" s="402">
        <f t="shared" ref="D1224:F1224" si="1242">ROUNDDOWN($C1224*D$2,0) - IF(MOD($C1224*D$2,1)=0,1,0) + 1</f>
        <v>2</v>
      </c>
      <c r="E1224" s="402">
        <f t="shared" si="1242"/>
        <v>3</v>
      </c>
      <c r="F1224" s="402">
        <f t="shared" si="1242"/>
        <v>4</v>
      </c>
      <c r="G1224" s="401">
        <f t="shared" si="3"/>
        <v>0</v>
      </c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</row>
    <row r="1225" spans="1:20" ht="15.75" customHeight="1">
      <c r="A1225" s="399">
        <v>44069</v>
      </c>
      <c r="B1225" s="400">
        <v>2.849552815039047E-2</v>
      </c>
      <c r="C1225" s="401">
        <f t="shared" si="0"/>
        <v>0.94594594594594594</v>
      </c>
      <c r="D1225" s="402">
        <f t="shared" ref="D1225:F1225" si="1243">ROUNDDOWN($C1225*D$2,0) - IF(MOD($C1225*D$2,1)=0,1,0) + 1</f>
        <v>2</v>
      </c>
      <c r="E1225" s="402">
        <f t="shared" si="1243"/>
        <v>3</v>
      </c>
      <c r="F1225" s="402">
        <f t="shared" si="1243"/>
        <v>4</v>
      </c>
      <c r="G1225" s="401">
        <f t="shared" si="3"/>
        <v>0</v>
      </c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</row>
    <row r="1226" spans="1:20" ht="15.75" customHeight="1">
      <c r="A1226" s="399">
        <v>44070</v>
      </c>
      <c r="B1226" s="400">
        <v>-1.2159158592036201E-2</v>
      </c>
      <c r="C1226" s="401">
        <f t="shared" si="0"/>
        <v>0.16375198728139906</v>
      </c>
      <c r="D1226" s="402">
        <f t="shared" ref="D1226:F1226" si="1244">ROUNDDOWN($C1226*D$2,0) - IF(MOD($C1226*D$2,1)=0,1,0) + 1</f>
        <v>1</v>
      </c>
      <c r="E1226" s="402">
        <f t="shared" si="1244"/>
        <v>1</v>
      </c>
      <c r="F1226" s="402">
        <f t="shared" si="1244"/>
        <v>1</v>
      </c>
      <c r="G1226" s="401">
        <f t="shared" si="3"/>
        <v>0</v>
      </c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</row>
    <row r="1227" spans="1:20" ht="15.75" customHeight="1">
      <c r="A1227" s="399">
        <v>44071</v>
      </c>
      <c r="B1227" s="400">
        <v>5.2941176470588935E-4</v>
      </c>
      <c r="C1227" s="401">
        <f t="shared" si="0"/>
        <v>0.46581875993640698</v>
      </c>
      <c r="D1227" s="402">
        <f t="shared" ref="D1227:F1227" si="1245">ROUNDDOWN($C1227*D$2,0) - IF(MOD($C1227*D$2,1)=0,1,0) + 1</f>
        <v>1</v>
      </c>
      <c r="E1227" s="402">
        <f t="shared" si="1245"/>
        <v>2</v>
      </c>
      <c r="F1227" s="402">
        <f t="shared" si="1245"/>
        <v>2</v>
      </c>
      <c r="G1227" s="401">
        <f t="shared" si="3"/>
        <v>5.2941176470588935E-4</v>
      </c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</row>
    <row r="1228" spans="1:20" ht="15.75" customHeight="1">
      <c r="A1228" s="399">
        <v>44074</v>
      </c>
      <c r="B1228" s="400">
        <v>1.4451172908460208E-2</v>
      </c>
      <c r="C1228" s="401">
        <f t="shared" si="0"/>
        <v>0.82988871224165339</v>
      </c>
      <c r="D1228" s="402">
        <f t="shared" ref="D1228:F1228" si="1246">ROUNDDOWN($C1228*D$2,0) - IF(MOD($C1228*D$2,1)=0,1,0) + 1</f>
        <v>2</v>
      </c>
      <c r="E1228" s="402">
        <f t="shared" si="1246"/>
        <v>3</v>
      </c>
      <c r="F1228" s="402">
        <f t="shared" si="1246"/>
        <v>4</v>
      </c>
      <c r="G1228" s="401">
        <f t="shared" si="3"/>
        <v>0</v>
      </c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</row>
    <row r="1229" spans="1:20" ht="15.75" customHeight="1">
      <c r="A1229" s="399">
        <v>44075</v>
      </c>
      <c r="B1229" s="400">
        <v>1.3955537009991303E-2</v>
      </c>
      <c r="C1229" s="401">
        <f t="shared" si="0"/>
        <v>0.81875993640699518</v>
      </c>
      <c r="D1229" s="402">
        <f t="shared" ref="D1229:F1229" si="1247">ROUNDDOWN($C1229*D$2,0) - IF(MOD($C1229*D$2,1)=0,1,0) + 1</f>
        <v>2</v>
      </c>
      <c r="E1229" s="402">
        <f t="shared" si="1247"/>
        <v>3</v>
      </c>
      <c r="F1229" s="402">
        <f t="shared" si="1247"/>
        <v>4</v>
      </c>
      <c r="G1229" s="401">
        <f t="shared" si="3"/>
        <v>0</v>
      </c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</row>
    <row r="1230" spans="1:20" ht="15.75" customHeight="1">
      <c r="A1230" s="399">
        <v>44076</v>
      </c>
      <c r="B1230" s="400">
        <v>9.2394659228605125E-3</v>
      </c>
      <c r="C1230" s="401">
        <f t="shared" si="0"/>
        <v>0.72337042925278217</v>
      </c>
      <c r="D1230" s="402">
        <f t="shared" ref="D1230:F1230" si="1248">ROUNDDOWN($C1230*D$2,0) - IF(MOD($C1230*D$2,1)=0,1,0) + 1</f>
        <v>2</v>
      </c>
      <c r="E1230" s="402">
        <f t="shared" si="1248"/>
        <v>3</v>
      </c>
      <c r="F1230" s="402">
        <f t="shared" si="1248"/>
        <v>3</v>
      </c>
      <c r="G1230" s="401">
        <f t="shared" si="3"/>
        <v>0</v>
      </c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</row>
    <row r="1231" spans="1:20" ht="15.75" customHeight="1">
      <c r="A1231" s="399">
        <v>44077</v>
      </c>
      <c r="B1231" s="400">
        <v>-4.6284104263121351E-2</v>
      </c>
      <c r="C1231" s="401">
        <f t="shared" si="0"/>
        <v>1.7488076311605722E-2</v>
      </c>
      <c r="D1231" s="402">
        <f t="shared" ref="D1231:F1231" si="1249">ROUNDDOWN($C1231*D$2,0) - IF(MOD($C1231*D$2,1)=0,1,0) + 1</f>
        <v>1</v>
      </c>
      <c r="E1231" s="402">
        <f t="shared" si="1249"/>
        <v>1</v>
      </c>
      <c r="F1231" s="402">
        <f t="shared" si="1249"/>
        <v>1</v>
      </c>
      <c r="G1231" s="401">
        <f t="shared" si="3"/>
        <v>0</v>
      </c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</row>
    <row r="1232" spans="1:20" ht="15.75" customHeight="1">
      <c r="A1232" s="399">
        <v>44078</v>
      </c>
      <c r="B1232" s="400">
        <v>-2.1787410926365824E-2</v>
      </c>
      <c r="C1232" s="401">
        <f t="shared" si="0"/>
        <v>8.1081081081081086E-2</v>
      </c>
      <c r="D1232" s="402">
        <f t="shared" ref="D1232:F1232" si="1250">ROUNDDOWN($C1232*D$2,0) - IF(MOD($C1232*D$2,1)=0,1,0) + 1</f>
        <v>1</v>
      </c>
      <c r="E1232" s="402">
        <f t="shared" si="1250"/>
        <v>1</v>
      </c>
      <c r="F1232" s="402">
        <f t="shared" si="1250"/>
        <v>1</v>
      </c>
      <c r="G1232" s="401">
        <f t="shared" si="3"/>
        <v>-2.1787410926365824E-2</v>
      </c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</row>
    <row r="1233" spans="1:20" ht="15.75" customHeight="1">
      <c r="A1233" s="399">
        <v>44082</v>
      </c>
      <c r="B1233" s="400">
        <v>-4.3944369912159775E-2</v>
      </c>
      <c r="C1233" s="401">
        <f t="shared" si="0"/>
        <v>1.987281399046105E-2</v>
      </c>
      <c r="D1233" s="402">
        <f t="shared" ref="D1233:F1233" si="1251">ROUNDDOWN($C1233*D$2,0) - IF(MOD($C1233*D$2,1)=0,1,0) + 1</f>
        <v>1</v>
      </c>
      <c r="E1233" s="402">
        <f t="shared" si="1251"/>
        <v>1</v>
      </c>
      <c r="F1233" s="402">
        <f t="shared" si="1251"/>
        <v>1</v>
      </c>
      <c r="G1233" s="401">
        <f t="shared" si="3"/>
        <v>-4.3944369912159775E-2</v>
      </c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</row>
    <row r="1234" spans="1:20" ht="15.75" customHeight="1">
      <c r="A1234" s="399">
        <v>44083</v>
      </c>
      <c r="B1234" s="400">
        <v>3.7706677164554447E-2</v>
      </c>
      <c r="C1234" s="401">
        <f t="shared" si="0"/>
        <v>0.97058823529411764</v>
      </c>
      <c r="D1234" s="402">
        <f t="shared" ref="D1234:F1234" si="1252">ROUNDDOWN($C1234*D$2,0) - IF(MOD($C1234*D$2,1)=0,1,0) + 1</f>
        <v>2</v>
      </c>
      <c r="E1234" s="402">
        <f t="shared" si="1252"/>
        <v>3</v>
      </c>
      <c r="F1234" s="402">
        <f t="shared" si="1252"/>
        <v>4</v>
      </c>
      <c r="G1234" s="401">
        <f t="shared" si="3"/>
        <v>3.7706677164554447E-2</v>
      </c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</row>
    <row r="1235" spans="1:20" ht="15.75" customHeight="1">
      <c r="A1235" s="399">
        <v>44084</v>
      </c>
      <c r="B1235" s="400">
        <v>-2.8605431666671732E-2</v>
      </c>
      <c r="C1235" s="401">
        <f t="shared" si="0"/>
        <v>5.246422893481717E-2</v>
      </c>
      <c r="D1235" s="402">
        <f t="shared" ref="D1235:F1235" si="1253">ROUNDDOWN($C1235*D$2,0) - IF(MOD($C1235*D$2,1)=0,1,0) + 1</f>
        <v>1</v>
      </c>
      <c r="E1235" s="402">
        <f t="shared" si="1253"/>
        <v>1</v>
      </c>
      <c r="F1235" s="402">
        <f t="shared" si="1253"/>
        <v>1</v>
      </c>
      <c r="G1235" s="401">
        <f t="shared" si="3"/>
        <v>0</v>
      </c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</row>
    <row r="1236" spans="1:20" ht="15.75" customHeight="1">
      <c r="A1236" s="399">
        <v>44085</v>
      </c>
      <c r="B1236" s="400">
        <v>-1.8547388909360696E-2</v>
      </c>
      <c r="C1236" s="401">
        <f t="shared" si="0"/>
        <v>9.6979332273449917E-2</v>
      </c>
      <c r="D1236" s="402">
        <f t="shared" ref="D1236:F1236" si="1254">ROUNDDOWN($C1236*D$2,0) - IF(MOD($C1236*D$2,1)=0,1,0) + 1</f>
        <v>1</v>
      </c>
      <c r="E1236" s="402">
        <f t="shared" si="1254"/>
        <v>1</v>
      </c>
      <c r="F1236" s="402">
        <f t="shared" si="1254"/>
        <v>1</v>
      </c>
      <c r="G1236" s="401">
        <f t="shared" si="3"/>
        <v>-1.8547388909360696E-2</v>
      </c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</row>
    <row r="1237" spans="1:20" ht="15.75" customHeight="1">
      <c r="A1237" s="399">
        <v>44088</v>
      </c>
      <c r="B1237" s="400">
        <v>-4.2519462682352183E-3</v>
      </c>
      <c r="C1237" s="401">
        <f t="shared" si="0"/>
        <v>0.31637519872813991</v>
      </c>
      <c r="D1237" s="402">
        <f t="shared" ref="D1237:F1237" si="1255">ROUNDDOWN($C1237*D$2,0) - IF(MOD($C1237*D$2,1)=0,1,0) + 1</f>
        <v>1</v>
      </c>
      <c r="E1237" s="402">
        <f t="shared" si="1255"/>
        <v>1</v>
      </c>
      <c r="F1237" s="402">
        <f t="shared" si="1255"/>
        <v>2</v>
      </c>
      <c r="G1237" s="401">
        <f t="shared" si="3"/>
        <v>-4.2519462682352183E-3</v>
      </c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</row>
    <row r="1238" spans="1:20" ht="15.75" customHeight="1">
      <c r="A1238" s="399">
        <v>44089</v>
      </c>
      <c r="B1238" s="400">
        <v>1.7131973560814417E-2</v>
      </c>
      <c r="C1238" s="401">
        <f t="shared" si="0"/>
        <v>0.86883942766295708</v>
      </c>
      <c r="D1238" s="402">
        <f t="shared" ref="D1238:F1238" si="1256">ROUNDDOWN($C1238*D$2,0) - IF(MOD($C1238*D$2,1)=0,1,0) + 1</f>
        <v>2</v>
      </c>
      <c r="E1238" s="402">
        <f t="shared" si="1256"/>
        <v>3</v>
      </c>
      <c r="F1238" s="402">
        <f t="shared" si="1256"/>
        <v>4</v>
      </c>
      <c r="G1238" s="401">
        <f t="shared" si="3"/>
        <v>0</v>
      </c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</row>
    <row r="1239" spans="1:20" ht="15.75" customHeight="1">
      <c r="A1239" s="399">
        <v>44090</v>
      </c>
      <c r="B1239" s="400">
        <v>-2.4723316213210556E-2</v>
      </c>
      <c r="C1239" s="401">
        <f t="shared" si="0"/>
        <v>6.6772655007949128E-2</v>
      </c>
      <c r="D1239" s="402">
        <f t="shared" ref="D1239:F1239" si="1257">ROUNDDOWN($C1239*D$2,0) - IF(MOD($C1239*D$2,1)=0,1,0) + 1</f>
        <v>1</v>
      </c>
      <c r="E1239" s="402">
        <f t="shared" si="1257"/>
        <v>1</v>
      </c>
      <c r="F1239" s="402">
        <f t="shared" si="1257"/>
        <v>1</v>
      </c>
      <c r="G1239" s="401">
        <f t="shared" si="3"/>
        <v>0</v>
      </c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</row>
    <row r="1240" spans="1:20" ht="15.75" customHeight="1">
      <c r="A1240" s="399">
        <v>44091</v>
      </c>
      <c r="B1240" s="400">
        <v>-2.2536629739124736E-2</v>
      </c>
      <c r="C1240" s="401">
        <f t="shared" si="0"/>
        <v>7.7106518282988867E-2</v>
      </c>
      <c r="D1240" s="402">
        <f t="shared" ref="D1240:F1240" si="1258">ROUNDDOWN($C1240*D$2,0) - IF(MOD($C1240*D$2,1)=0,1,0) + 1</f>
        <v>1</v>
      </c>
      <c r="E1240" s="402">
        <f t="shared" si="1258"/>
        <v>1</v>
      </c>
      <c r="F1240" s="402">
        <f t="shared" si="1258"/>
        <v>1</v>
      </c>
      <c r="G1240" s="401">
        <f t="shared" si="3"/>
        <v>-2.2536629739124736E-2</v>
      </c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</row>
    <row r="1241" spans="1:20" ht="15.75" customHeight="1">
      <c r="A1241" s="399">
        <v>44092</v>
      </c>
      <c r="B1241" s="400">
        <v>-1.7887946076916239E-2</v>
      </c>
      <c r="C1241" s="401">
        <f t="shared" si="0"/>
        <v>0.10572337042925278</v>
      </c>
      <c r="D1241" s="402">
        <f t="shared" ref="D1241:F1241" si="1259">ROUNDDOWN($C1241*D$2,0) - IF(MOD($C1241*D$2,1)=0,1,0) + 1</f>
        <v>1</v>
      </c>
      <c r="E1241" s="402">
        <f t="shared" si="1259"/>
        <v>1</v>
      </c>
      <c r="F1241" s="402">
        <f t="shared" si="1259"/>
        <v>1</v>
      </c>
      <c r="G1241" s="401">
        <f t="shared" si="3"/>
        <v>-1.7887946076916239E-2</v>
      </c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</row>
    <row r="1242" spans="1:20" ht="15.75" customHeight="1">
      <c r="A1242" s="399">
        <v>44095</v>
      </c>
      <c r="B1242" s="400">
        <v>1.881613991627562E-3</v>
      </c>
      <c r="C1242" s="401">
        <f t="shared" si="0"/>
        <v>0.51669316375198726</v>
      </c>
      <c r="D1242" s="402">
        <f t="shared" ref="D1242:F1242" si="1260">ROUNDDOWN($C1242*D$2,0) - IF(MOD($C1242*D$2,1)=0,1,0) + 1</f>
        <v>2</v>
      </c>
      <c r="E1242" s="402">
        <f t="shared" si="1260"/>
        <v>2</v>
      </c>
      <c r="F1242" s="402">
        <f t="shared" si="1260"/>
        <v>3</v>
      </c>
      <c r="G1242" s="401">
        <f t="shared" si="3"/>
        <v>1.881613991627562E-3</v>
      </c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</row>
    <row r="1243" spans="1:20" ht="15.75" customHeight="1">
      <c r="A1243" s="399">
        <v>44096</v>
      </c>
      <c r="B1243" s="400">
        <v>5.6923393920560006E-2</v>
      </c>
      <c r="C1243" s="401">
        <f t="shared" si="0"/>
        <v>0.98966613672496029</v>
      </c>
      <c r="D1243" s="402">
        <f t="shared" ref="D1243:F1243" si="1261">ROUNDDOWN($C1243*D$2,0) - IF(MOD($C1243*D$2,1)=0,1,0) + 1</f>
        <v>2</v>
      </c>
      <c r="E1243" s="402">
        <f t="shared" si="1261"/>
        <v>3</v>
      </c>
      <c r="F1243" s="402">
        <f t="shared" si="1261"/>
        <v>4</v>
      </c>
      <c r="G1243" s="401">
        <f t="shared" si="3"/>
        <v>0</v>
      </c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</row>
    <row r="1244" spans="1:20" ht="15.75" customHeight="1">
      <c r="A1244" s="399">
        <v>44097</v>
      </c>
      <c r="B1244" s="400">
        <v>-4.126890785844628E-2</v>
      </c>
      <c r="C1244" s="401">
        <f t="shared" si="0"/>
        <v>2.3052464228934817E-2</v>
      </c>
      <c r="D1244" s="402">
        <f t="shared" ref="D1244:F1244" si="1262">ROUNDDOWN($C1244*D$2,0) - IF(MOD($C1244*D$2,1)=0,1,0) + 1</f>
        <v>1</v>
      </c>
      <c r="E1244" s="402">
        <f t="shared" si="1262"/>
        <v>1</v>
      </c>
      <c r="F1244" s="402">
        <f t="shared" si="1262"/>
        <v>1</v>
      </c>
      <c r="G1244" s="401">
        <f t="shared" si="3"/>
        <v>0</v>
      </c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</row>
    <row r="1245" spans="1:20" ht="15.75" customHeight="1">
      <c r="A1245" s="399">
        <v>44098</v>
      </c>
      <c r="B1245" s="400">
        <v>6.6436433700238773E-3</v>
      </c>
      <c r="C1245" s="401">
        <f t="shared" si="0"/>
        <v>0.65262321144674085</v>
      </c>
      <c r="D1245" s="402">
        <f t="shared" ref="D1245:F1245" si="1263">ROUNDDOWN($C1245*D$2,0) - IF(MOD($C1245*D$2,1)=0,1,0) + 1</f>
        <v>2</v>
      </c>
      <c r="E1245" s="402">
        <f t="shared" si="1263"/>
        <v>2</v>
      </c>
      <c r="F1245" s="402">
        <f t="shared" si="1263"/>
        <v>3</v>
      </c>
      <c r="G1245" s="401">
        <f t="shared" si="3"/>
        <v>6.6436433700238773E-3</v>
      </c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</row>
    <row r="1246" spans="1:20" ht="15.75" customHeight="1">
      <c r="A1246" s="399">
        <v>44099</v>
      </c>
      <c r="B1246" s="400">
        <v>2.4948754714731791E-2</v>
      </c>
      <c r="C1246" s="401">
        <f t="shared" si="0"/>
        <v>0.92607313195548491</v>
      </c>
      <c r="D1246" s="402">
        <f t="shared" ref="D1246:F1246" si="1264">ROUNDDOWN($C1246*D$2,0) - IF(MOD($C1246*D$2,1)=0,1,0) + 1</f>
        <v>2</v>
      </c>
      <c r="E1246" s="402">
        <f t="shared" si="1264"/>
        <v>3</v>
      </c>
      <c r="F1246" s="402">
        <f t="shared" si="1264"/>
        <v>4</v>
      </c>
      <c r="G1246" s="401">
        <f t="shared" si="3"/>
        <v>0</v>
      </c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</row>
    <row r="1247" spans="1:20" ht="15.75" customHeight="1">
      <c r="A1247" s="399">
        <v>44102</v>
      </c>
      <c r="B1247" s="400">
        <v>2.5498121242080396E-2</v>
      </c>
      <c r="C1247" s="401">
        <f t="shared" si="0"/>
        <v>0.93084260731319557</v>
      </c>
      <c r="D1247" s="402">
        <f t="shared" ref="D1247:F1247" si="1265">ROUNDDOWN($C1247*D$2,0) - IF(MOD($C1247*D$2,1)=0,1,0) + 1</f>
        <v>2</v>
      </c>
      <c r="E1247" s="402">
        <f t="shared" si="1265"/>
        <v>3</v>
      </c>
      <c r="F1247" s="402">
        <f t="shared" si="1265"/>
        <v>4</v>
      </c>
      <c r="G1247" s="401">
        <f t="shared" si="3"/>
        <v>0</v>
      </c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</row>
    <row r="1248" spans="1:20" ht="15.75" customHeight="1">
      <c r="A1248" s="399">
        <v>44103</v>
      </c>
      <c r="B1248" s="400">
        <v>-9.1901513838786864E-3</v>
      </c>
      <c r="C1248" s="401">
        <f t="shared" si="0"/>
        <v>0.20031796502384738</v>
      </c>
      <c r="D1248" s="402">
        <f t="shared" ref="D1248:F1248" si="1266">ROUNDDOWN($C1248*D$2,0) - IF(MOD($C1248*D$2,1)=0,1,0) + 1</f>
        <v>1</v>
      </c>
      <c r="E1248" s="402">
        <f t="shared" si="1266"/>
        <v>1</v>
      </c>
      <c r="F1248" s="402">
        <f t="shared" si="1266"/>
        <v>1</v>
      </c>
      <c r="G1248" s="401">
        <f t="shared" si="3"/>
        <v>0</v>
      </c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</row>
    <row r="1249" spans="1:20" ht="15.75" customHeight="1">
      <c r="A1249" s="399">
        <v>44104</v>
      </c>
      <c r="B1249" s="400">
        <v>1.2242120526060329E-3</v>
      </c>
      <c r="C1249" s="401">
        <f t="shared" si="0"/>
        <v>0.49205087440381556</v>
      </c>
      <c r="D1249" s="402">
        <f t="shared" ref="D1249:F1249" si="1267">ROUNDDOWN($C1249*D$2,0) - IF(MOD($C1249*D$2,1)=0,1,0) + 1</f>
        <v>1</v>
      </c>
      <c r="E1249" s="402">
        <f t="shared" si="1267"/>
        <v>2</v>
      </c>
      <c r="F1249" s="402">
        <f t="shared" si="1267"/>
        <v>2</v>
      </c>
      <c r="G1249" s="401">
        <f t="shared" si="3"/>
        <v>1.2242120526060329E-3</v>
      </c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</row>
    <row r="1250" spans="1:20" ht="15.75" customHeight="1">
      <c r="A1250" s="399">
        <v>44105</v>
      </c>
      <c r="B1250" s="400">
        <v>2.3034683824907143E-2</v>
      </c>
      <c r="C1250" s="401">
        <f t="shared" si="0"/>
        <v>0.91653418124006358</v>
      </c>
      <c r="D1250" s="402">
        <f t="shared" ref="D1250:F1250" si="1268">ROUNDDOWN($C1250*D$2,0) - IF(MOD($C1250*D$2,1)=0,1,0) + 1</f>
        <v>2</v>
      </c>
      <c r="E1250" s="402">
        <f t="shared" si="1268"/>
        <v>3</v>
      </c>
      <c r="F1250" s="402">
        <f t="shared" si="1268"/>
        <v>4</v>
      </c>
      <c r="G1250" s="401">
        <f t="shared" si="3"/>
        <v>0</v>
      </c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</row>
    <row r="1251" spans="1:20" ht="15.75" customHeight="1">
      <c r="A1251" s="399">
        <v>44106</v>
      </c>
      <c r="B1251" s="400">
        <v>-2.9882716700918355E-2</v>
      </c>
      <c r="C1251" s="401">
        <f t="shared" si="0"/>
        <v>5.0079491255961846E-2</v>
      </c>
      <c r="D1251" s="402">
        <f t="shared" ref="D1251:F1251" si="1269">ROUNDDOWN($C1251*D$2,0) - IF(MOD($C1251*D$2,1)=0,1,0) + 1</f>
        <v>1</v>
      </c>
      <c r="E1251" s="402">
        <f t="shared" si="1269"/>
        <v>1</v>
      </c>
      <c r="F1251" s="402">
        <f t="shared" si="1269"/>
        <v>1</v>
      </c>
      <c r="G1251" s="401">
        <f t="shared" si="3"/>
        <v>0</v>
      </c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</row>
    <row r="1252" spans="1:20" ht="15.75" customHeight="1">
      <c r="A1252" s="399">
        <v>44109</v>
      </c>
      <c r="B1252" s="400">
        <v>2.3743999999999987E-2</v>
      </c>
      <c r="C1252" s="401">
        <f t="shared" si="0"/>
        <v>0.91971383147853736</v>
      </c>
      <c r="D1252" s="402">
        <f t="shared" ref="D1252:F1252" si="1270">ROUNDDOWN($C1252*D$2,0) - IF(MOD($C1252*D$2,1)=0,1,0) + 1</f>
        <v>2</v>
      </c>
      <c r="E1252" s="402">
        <f t="shared" si="1270"/>
        <v>3</v>
      </c>
      <c r="F1252" s="402">
        <f t="shared" si="1270"/>
        <v>4</v>
      </c>
      <c r="G1252" s="401">
        <f t="shared" si="3"/>
        <v>2.3743999999999987E-2</v>
      </c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</row>
    <row r="1253" spans="1:20" ht="15.75" customHeight="1">
      <c r="A1253" s="399">
        <v>44110</v>
      </c>
      <c r="B1253" s="400">
        <v>-3.1020255063765823E-2</v>
      </c>
      <c r="C1253" s="401">
        <f t="shared" si="0"/>
        <v>4.5310015898251191E-2</v>
      </c>
      <c r="D1253" s="402">
        <f t="shared" ref="D1253:F1253" si="1271">ROUNDDOWN($C1253*D$2,0) - IF(MOD($C1253*D$2,1)=0,1,0) + 1</f>
        <v>1</v>
      </c>
      <c r="E1253" s="402">
        <f t="shared" si="1271"/>
        <v>1</v>
      </c>
      <c r="F1253" s="402">
        <f t="shared" si="1271"/>
        <v>1</v>
      </c>
      <c r="G1253" s="401">
        <f t="shared" si="3"/>
        <v>0</v>
      </c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</row>
    <row r="1254" spans="1:20" ht="15.75" customHeight="1">
      <c r="A1254" s="399">
        <v>44111</v>
      </c>
      <c r="B1254" s="400">
        <v>3.0881043626369342E-2</v>
      </c>
      <c r="C1254" s="401">
        <f t="shared" si="0"/>
        <v>0.95468998410174877</v>
      </c>
      <c r="D1254" s="402">
        <f t="shared" ref="D1254:F1254" si="1272">ROUNDDOWN($C1254*D$2,0) - IF(MOD($C1254*D$2,1)=0,1,0) + 1</f>
        <v>2</v>
      </c>
      <c r="E1254" s="402">
        <f t="shared" si="1272"/>
        <v>3</v>
      </c>
      <c r="F1254" s="402">
        <f t="shared" si="1272"/>
        <v>4</v>
      </c>
      <c r="G1254" s="401">
        <f t="shared" si="3"/>
        <v>3.0881043626369342E-2</v>
      </c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</row>
    <row r="1255" spans="1:20" ht="15.75" customHeight="1">
      <c r="A1255" s="399">
        <v>44112</v>
      </c>
      <c r="B1255" s="400">
        <v>-1.6084163357521497E-3</v>
      </c>
      <c r="C1255" s="401">
        <f t="shared" si="0"/>
        <v>0.39666136724960255</v>
      </c>
      <c r="D1255" s="402">
        <f t="shared" ref="D1255:F1255" si="1273">ROUNDDOWN($C1255*D$2,0) - IF(MOD($C1255*D$2,1)=0,1,0) + 1</f>
        <v>1</v>
      </c>
      <c r="E1255" s="402">
        <f t="shared" si="1273"/>
        <v>2</v>
      </c>
      <c r="F1255" s="402">
        <f t="shared" si="1273"/>
        <v>2</v>
      </c>
      <c r="G1255" s="401">
        <f t="shared" si="3"/>
        <v>0</v>
      </c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</row>
    <row r="1256" spans="1:20" ht="15.75" customHeight="1">
      <c r="A1256" s="399">
        <v>44113</v>
      </c>
      <c r="B1256" s="400">
        <v>3.0120198711820922E-2</v>
      </c>
      <c r="C1256" s="401">
        <f t="shared" si="0"/>
        <v>0.9507154213036566</v>
      </c>
      <c r="D1256" s="402">
        <f t="shared" ref="D1256:F1256" si="1274">ROUNDDOWN($C1256*D$2,0) - IF(MOD($C1256*D$2,1)=0,1,0) + 1</f>
        <v>2</v>
      </c>
      <c r="E1256" s="402">
        <f t="shared" si="1274"/>
        <v>3</v>
      </c>
      <c r="F1256" s="402">
        <f t="shared" si="1274"/>
        <v>4</v>
      </c>
      <c r="G1256" s="401">
        <f t="shared" si="3"/>
        <v>0</v>
      </c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</row>
    <row r="1257" spans="1:20" ht="15.75" customHeight="1">
      <c r="A1257" s="399">
        <v>44116</v>
      </c>
      <c r="B1257" s="400">
        <v>4.7549936865805442E-2</v>
      </c>
      <c r="C1257" s="401">
        <f t="shared" si="0"/>
        <v>0.98251192368839424</v>
      </c>
      <c r="D1257" s="402">
        <f t="shared" ref="D1257:F1257" si="1275">ROUNDDOWN($C1257*D$2,0) - IF(MOD($C1257*D$2,1)=0,1,0) + 1</f>
        <v>2</v>
      </c>
      <c r="E1257" s="402">
        <f t="shared" si="1275"/>
        <v>3</v>
      </c>
      <c r="F1257" s="402">
        <f t="shared" si="1275"/>
        <v>4</v>
      </c>
      <c r="G1257" s="401">
        <f t="shared" si="3"/>
        <v>0</v>
      </c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</row>
    <row r="1258" spans="1:20" ht="15.75" customHeight="1">
      <c r="A1258" s="399">
        <v>44117</v>
      </c>
      <c r="B1258" s="400">
        <v>2.0331519955396615E-4</v>
      </c>
      <c r="C1258" s="401">
        <f t="shared" si="0"/>
        <v>0.45468998410174882</v>
      </c>
      <c r="D1258" s="402">
        <f t="shared" ref="D1258:F1258" si="1276">ROUNDDOWN($C1258*D$2,0) - IF(MOD($C1258*D$2,1)=0,1,0) + 1</f>
        <v>1</v>
      </c>
      <c r="E1258" s="402">
        <f t="shared" si="1276"/>
        <v>2</v>
      </c>
      <c r="F1258" s="402">
        <f t="shared" si="1276"/>
        <v>2</v>
      </c>
      <c r="G1258" s="401">
        <f t="shared" si="3"/>
        <v>0</v>
      </c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</row>
    <row r="1259" spans="1:20" ht="15.75" customHeight="1">
      <c r="A1259" s="399">
        <v>44118</v>
      </c>
      <c r="B1259" s="400">
        <v>-2.3208068230326728E-2</v>
      </c>
      <c r="C1259" s="401">
        <f t="shared" si="0"/>
        <v>7.3131955484896663E-2</v>
      </c>
      <c r="D1259" s="402">
        <f t="shared" ref="D1259:F1259" si="1277">ROUNDDOWN($C1259*D$2,0) - IF(MOD($C1259*D$2,1)=0,1,0) + 1</f>
        <v>1</v>
      </c>
      <c r="E1259" s="402">
        <f t="shared" si="1277"/>
        <v>1</v>
      </c>
      <c r="F1259" s="402">
        <f t="shared" si="1277"/>
        <v>1</v>
      </c>
      <c r="G1259" s="401">
        <f t="shared" si="3"/>
        <v>0</v>
      </c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</row>
    <row r="1260" spans="1:20" ht="15.75" customHeight="1">
      <c r="A1260" s="399">
        <v>44119</v>
      </c>
      <c r="B1260" s="400">
        <v>-7.45010717332939E-3</v>
      </c>
      <c r="C1260" s="401">
        <f t="shared" si="0"/>
        <v>0.23529411764705882</v>
      </c>
      <c r="D1260" s="402">
        <f t="shared" ref="D1260:F1260" si="1278">ROUNDDOWN($C1260*D$2,0) - IF(MOD($C1260*D$2,1)=0,1,0) + 1</f>
        <v>1</v>
      </c>
      <c r="E1260" s="402">
        <f t="shared" si="1278"/>
        <v>1</v>
      </c>
      <c r="F1260" s="402">
        <f t="shared" si="1278"/>
        <v>1</v>
      </c>
      <c r="G1260" s="401">
        <f t="shared" si="3"/>
        <v>-7.45010717332939E-3</v>
      </c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</row>
    <row r="1261" spans="1:20" ht="15.75" customHeight="1">
      <c r="A1261" s="389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</row>
    <row r="1262" spans="1:20" ht="15.75" customHeight="1">
      <c r="A1262" s="389"/>
      <c r="B1262" s="2"/>
      <c r="C1262" s="420"/>
      <c r="D1262" s="40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</row>
    <row r="1263" spans="1:20" ht="15" customHeight="1">
      <c r="A1263" s="389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</row>
    <row r="1264" spans="1:20" ht="15" customHeight="1">
      <c r="A1264" s="389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</row>
    <row r="1265" spans="1:20" ht="15" customHeight="1">
      <c r="A1265" s="389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</row>
    <row r="1266" spans="1:20" ht="15" customHeight="1">
      <c r="A1266" s="389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</row>
    <row r="1267" spans="1:20" ht="15" customHeight="1">
      <c r="A1267" s="389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</row>
    <row r="1268" spans="1:20" ht="15" customHeight="1">
      <c r="A1268" s="389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</row>
    <row r="1269" spans="1:20" ht="15" customHeight="1">
      <c r="A1269" s="389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</row>
    <row r="1270" spans="1:20" ht="15" customHeight="1">
      <c r="A1270" s="389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</row>
    <row r="1271" spans="1:20" ht="15" customHeight="1">
      <c r="A1271" s="389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</row>
    <row r="1272" spans="1:20" ht="15" customHeight="1">
      <c r="A1272" s="389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</row>
    <row r="1273" spans="1:20" ht="15" customHeight="1">
      <c r="A1273" s="389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</row>
    <row r="1274" spans="1:20" ht="15" customHeight="1">
      <c r="A1274" s="389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</row>
    <row r="1275" spans="1:20" ht="15" customHeight="1">
      <c r="A1275" s="389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</row>
    <row r="1276" spans="1:20" ht="15" customHeight="1">
      <c r="A1276" s="396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</row>
    <row r="1277" spans="1:20" ht="15" customHeight="1">
      <c r="A1277" s="396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</row>
    <row r="1278" spans="1:20" ht="15" customHeight="1">
      <c r="A1278" s="396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</row>
    <row r="1279" spans="1:20" ht="15" customHeight="1">
      <c r="A1279" s="396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</row>
    <row r="1280" spans="1:20" ht="15" customHeight="1">
      <c r="A1280" s="396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</row>
    <row r="1281" spans="1:20" ht="15" customHeight="1">
      <c r="A1281" s="396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</row>
    <row r="1282" spans="1:20" ht="15" customHeight="1">
      <c r="A1282" s="396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</row>
    <row r="1283" spans="1:20" ht="15" customHeight="1">
      <c r="A1283" s="396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</row>
    <row r="1284" spans="1:20" ht="15" customHeight="1">
      <c r="A1284" s="396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</row>
    <row r="1285" spans="1:20" ht="15" customHeight="1">
      <c r="A1285" s="396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</row>
    <row r="1286" spans="1:20" ht="15" customHeight="1">
      <c r="A1286" s="396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</row>
    <row r="1287" spans="1:20" ht="15" customHeight="1">
      <c r="A1287" s="396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</row>
    <row r="1288" spans="1:20" ht="15" customHeight="1">
      <c r="A1288" s="396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</row>
    <row r="1289" spans="1:20" ht="15" customHeight="1">
      <c r="A1289" s="396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</row>
    <row r="1290" spans="1:20" ht="15" customHeight="1">
      <c r="A1290" s="396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</row>
    <row r="1291" spans="1:20" ht="15" customHeight="1">
      <c r="A1291" s="396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</row>
    <row r="1292" spans="1:20" ht="15" customHeight="1">
      <c r="A1292" s="396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</row>
    <row r="1293" spans="1:20" ht="15" customHeight="1">
      <c r="A1293" s="396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</row>
    <row r="1294" spans="1:20" ht="15" customHeight="1">
      <c r="A1294" s="396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</row>
    <row r="1295" spans="1:20" ht="15" customHeight="1">
      <c r="A1295" s="396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</row>
    <row r="1296" spans="1:20" ht="15" customHeight="1">
      <c r="A1296" s="396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</row>
    <row r="1297" spans="1:20" ht="15" customHeight="1">
      <c r="A1297" s="396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</row>
    <row r="1298" spans="1:20" ht="15" customHeight="1">
      <c r="A1298" s="396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</row>
    <row r="1299" spans="1:20" ht="15" customHeight="1">
      <c r="A1299" s="396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</row>
    <row r="1300" spans="1:20" ht="15" customHeight="1">
      <c r="A1300" s="396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</row>
    <row r="1301" spans="1:20" ht="15" customHeight="1">
      <c r="A1301" s="396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</row>
    <row r="1302" spans="1:20" ht="15" customHeight="1">
      <c r="A1302" s="396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</row>
    <row r="1303" spans="1:20" ht="15" customHeight="1">
      <c r="A1303" s="396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</row>
    <row r="1304" spans="1:20" ht="15" customHeight="1">
      <c r="A1304" s="396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</row>
    <row r="1305" spans="1:20" ht="15" customHeight="1">
      <c r="A1305" s="396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</row>
    <row r="1306" spans="1:20" ht="15" customHeight="1">
      <c r="A1306" s="396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</row>
    <row r="1307" spans="1:20" ht="15" customHeight="1">
      <c r="A1307" s="396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</row>
    <row r="1308" spans="1:20" ht="15" customHeight="1">
      <c r="A1308" s="396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</row>
    <row r="1309" spans="1:20" ht="15" customHeight="1">
      <c r="A1309" s="396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</row>
    <row r="1310" spans="1:20" ht="15" customHeight="1">
      <c r="A1310" s="396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</row>
    <row r="1311" spans="1:20" ht="15" customHeight="1">
      <c r="A1311" s="396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</row>
    <row r="1312" spans="1:20" ht="15" customHeight="1">
      <c r="A1312" s="396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</row>
    <row r="1313" spans="1:20" ht="15" customHeight="1">
      <c r="A1313" s="396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</row>
    <row r="1314" spans="1:20" ht="15" customHeight="1">
      <c r="A1314" s="396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</row>
    <row r="1315" spans="1:20" ht="15" customHeight="1">
      <c r="A1315" s="396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</row>
    <row r="1316" spans="1:20" ht="15" customHeight="1">
      <c r="A1316" s="396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</row>
    <row r="1317" spans="1:20" ht="15" customHeight="1">
      <c r="A1317" s="396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</row>
    <row r="1318" spans="1:20" ht="15" customHeight="1">
      <c r="A1318" s="396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</row>
    <row r="1319" spans="1:20" ht="15" customHeight="1">
      <c r="A1319" s="396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</row>
    <row r="1320" spans="1:20" ht="15" customHeight="1">
      <c r="A1320" s="396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</row>
    <row r="1321" spans="1:20" ht="15" customHeight="1">
      <c r="A1321" s="396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</row>
    <row r="1322" spans="1:20" ht="15" customHeight="1">
      <c r="A1322" s="396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</row>
    <row r="1323" spans="1:20" ht="15" customHeight="1">
      <c r="A1323" s="396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</row>
    <row r="1324" spans="1:20" ht="15" customHeight="1">
      <c r="A1324" s="396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</row>
    <row r="1325" spans="1:20" ht="15" customHeight="1">
      <c r="A1325" s="396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</row>
    <row r="1326" spans="1:20" ht="15" customHeight="1">
      <c r="A1326" s="396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</row>
    <row r="1327" spans="1:20" ht="15" customHeight="1">
      <c r="A1327" s="396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</row>
    <row r="1328" spans="1:20" ht="15" customHeight="1">
      <c r="A1328" s="396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</row>
    <row r="1329" spans="1:20" ht="15" customHeight="1">
      <c r="A1329" s="396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</row>
    <row r="1330" spans="1:20" ht="15" customHeight="1">
      <c r="A1330" s="396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</row>
    <row r="1331" spans="1:20" ht="15" customHeight="1">
      <c r="A1331" s="396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</row>
    <row r="1332" spans="1:20" ht="15" customHeight="1">
      <c r="A1332" s="396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</row>
    <row r="1333" spans="1:20" ht="15" customHeight="1">
      <c r="A1333" s="396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</row>
    <row r="1334" spans="1:20" ht="15" customHeight="1">
      <c r="A1334" s="396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</row>
    <row r="1335" spans="1:20" ht="15" customHeight="1">
      <c r="A1335" s="396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</row>
    <row r="1336" spans="1:20" ht="15" customHeight="1">
      <c r="A1336" s="396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</row>
    <row r="1337" spans="1:20" ht="15" customHeight="1">
      <c r="A1337" s="396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</row>
    <row r="1338" spans="1:20" ht="15" customHeight="1">
      <c r="A1338" s="396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</row>
    <row r="1339" spans="1:20" ht="15" customHeight="1">
      <c r="A1339" s="396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</row>
    <row r="1340" spans="1:20" ht="15" customHeight="1">
      <c r="A1340" s="396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</row>
    <row r="1341" spans="1:20" ht="15" customHeight="1">
      <c r="A1341" s="396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</row>
    <row r="1342" spans="1:20" ht="15" customHeight="1">
      <c r="A1342" s="396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</row>
    <row r="1343" spans="1:20" ht="15" customHeight="1">
      <c r="A1343" s="396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</row>
    <row r="1344" spans="1:20" ht="15" customHeight="1">
      <c r="A1344" s="396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</row>
    <row r="1345" spans="1:20" ht="15" customHeight="1">
      <c r="A1345" s="396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</row>
    <row r="1346" spans="1:20" ht="15" customHeight="1">
      <c r="A1346" s="396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</row>
    <row r="1347" spans="1:20" ht="15" customHeight="1">
      <c r="A1347" s="396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</row>
    <row r="1348" spans="1:20" ht="15" customHeight="1">
      <c r="A1348" s="396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</row>
    <row r="1349" spans="1:20" ht="15" customHeight="1">
      <c r="A1349" s="396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</row>
    <row r="1350" spans="1:20" ht="15" customHeight="1">
      <c r="A1350" s="396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</row>
    <row r="1351" spans="1:20" ht="15" customHeight="1">
      <c r="A1351" s="396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</row>
    <row r="1352" spans="1:20" ht="15" customHeight="1">
      <c r="A1352" s="396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</row>
    <row r="1353" spans="1:20" ht="15" customHeight="1">
      <c r="A1353" s="396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</row>
    <row r="1354" spans="1:20" ht="15" customHeight="1">
      <c r="A1354" s="396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</row>
    <row r="1355" spans="1:20" ht="15" customHeight="1">
      <c r="A1355" s="396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</row>
    <row r="1356" spans="1:20" ht="15" customHeight="1">
      <c r="A1356" s="396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</row>
    <row r="1357" spans="1:20" ht="15" customHeight="1">
      <c r="A1357" s="396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</row>
    <row r="1358" spans="1:20" ht="15" customHeight="1">
      <c r="A1358" s="396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</row>
    <row r="1359" spans="1:20" ht="15" customHeight="1">
      <c r="A1359" s="396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</row>
    <row r="1360" spans="1:20" ht="15" customHeight="1">
      <c r="A1360" s="396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</row>
    <row r="1361" spans="1:20" ht="15" customHeight="1">
      <c r="A1361" s="396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</row>
    <row r="1362" spans="1:20" ht="15" customHeight="1">
      <c r="A1362" s="396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</row>
    <row r="1363" spans="1:20" ht="15" customHeight="1">
      <c r="A1363" s="396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</row>
    <row r="1364" spans="1:20" ht="15" customHeight="1">
      <c r="A1364" s="396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</row>
    <row r="1365" spans="1:20" ht="15" customHeight="1">
      <c r="A1365" s="396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</row>
    <row r="1366" spans="1:20" ht="15" customHeight="1">
      <c r="A1366" s="396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</row>
  </sheetData>
  <mergeCells count="5">
    <mergeCell ref="A1:A2"/>
    <mergeCell ref="B1:B2"/>
    <mergeCell ref="C1:C2"/>
    <mergeCell ref="D1:F1"/>
    <mergeCell ref="G1:G2"/>
  </mergeCells>
  <pageMargins left="0.7" right="0.7" top="0.75" bottom="0.75" header="0" footer="0"/>
  <pageSetup orientation="landscape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N98"/>
  <sheetViews>
    <sheetView showGridLines="0" topLeftCell="A37" zoomScale="85" zoomScaleNormal="85" workbookViewId="0">
      <selection activeCell="D75" sqref="D74:N75"/>
    </sheetView>
  </sheetViews>
  <sheetFormatPr defaultRowHeight="12.75"/>
  <cols>
    <col min="1" max="2" width="2.7109375" style="769" customWidth="1"/>
    <col min="3" max="3" width="5.28515625" style="769" customWidth="1"/>
    <col min="4" max="4" width="13.85546875" style="769" customWidth="1"/>
    <col min="5" max="5" width="9.140625" style="769"/>
    <col min="6" max="6" width="11.140625" style="769" customWidth="1"/>
    <col min="7" max="7" width="9.140625" style="769"/>
    <col min="8" max="8" width="16.5703125" style="769" customWidth="1"/>
    <col min="9" max="13" width="11.7109375" style="769" customWidth="1"/>
    <col min="14" max="14" width="28.42578125" style="769" customWidth="1"/>
    <col min="15" max="16384" width="9.140625" style="769"/>
  </cols>
  <sheetData>
    <row r="1" spans="1:14" ht="18">
      <c r="A1" s="798"/>
    </row>
    <row r="2" spans="1:14" ht="15.75">
      <c r="A2" s="797" t="s">
        <v>1230</v>
      </c>
    </row>
    <row r="4" spans="1:14" ht="13.5" thickBot="1">
      <c r="A4" s="796" t="s">
        <v>213</v>
      </c>
    </row>
    <row r="5" spans="1:14">
      <c r="A5" s="795"/>
      <c r="B5" s="795"/>
      <c r="C5" s="795"/>
      <c r="D5" s="795"/>
      <c r="E5" s="795"/>
      <c r="F5" s="795"/>
      <c r="G5" s="795"/>
      <c r="H5" s="794"/>
      <c r="I5" s="793" t="s">
        <v>1201</v>
      </c>
      <c r="J5" s="792" t="s">
        <v>1200</v>
      </c>
      <c r="K5" s="791"/>
      <c r="L5" s="791"/>
      <c r="M5" s="791"/>
      <c r="N5" s="790"/>
    </row>
    <row r="6" spans="1:14">
      <c r="A6" s="788" t="s">
        <v>231</v>
      </c>
      <c r="B6" s="778"/>
      <c r="C6" s="778"/>
      <c r="D6" s="778"/>
      <c r="E6" s="778"/>
      <c r="F6" s="778"/>
      <c r="G6" s="778"/>
      <c r="H6" s="789"/>
      <c r="I6" s="789">
        <v>2006</v>
      </c>
      <c r="J6" s="789">
        <f>I6+1</f>
        <v>2007</v>
      </c>
      <c r="K6" s="789">
        <f>J6+1</f>
        <v>2008</v>
      </c>
      <c r="L6" s="789">
        <f>K6+1</f>
        <v>2009</v>
      </c>
      <c r="M6" s="789">
        <f>L6+1</f>
        <v>2010</v>
      </c>
      <c r="N6" s="788" t="s">
        <v>1198</v>
      </c>
    </row>
    <row r="8" spans="1:14" s="775" customFormat="1">
      <c r="A8" s="782" t="s">
        <v>1229</v>
      </c>
      <c r="B8" s="782"/>
      <c r="I8" s="801"/>
      <c r="J8" s="801"/>
      <c r="K8" s="801"/>
      <c r="L8" s="801"/>
      <c r="M8" s="801"/>
      <c r="N8" s="781" t="s">
        <v>1203</v>
      </c>
    </row>
    <row r="9" spans="1:14">
      <c r="A9" s="781" t="s">
        <v>134</v>
      </c>
      <c r="B9" s="781" t="s">
        <v>1228</v>
      </c>
      <c r="I9" s="770"/>
      <c r="J9" s="770"/>
      <c r="K9" s="770"/>
      <c r="L9" s="770"/>
      <c r="M9" s="770"/>
      <c r="N9" s="781" t="s">
        <v>307</v>
      </c>
    </row>
    <row r="10" spans="1:14">
      <c r="A10" s="781" t="s">
        <v>134</v>
      </c>
      <c r="B10" s="781" t="s">
        <v>1227</v>
      </c>
      <c r="I10" s="772"/>
      <c r="J10" s="770"/>
      <c r="K10" s="770"/>
      <c r="L10" s="770"/>
      <c r="M10" s="770"/>
      <c r="N10" s="781" t="s">
        <v>1193</v>
      </c>
    </row>
    <row r="11" spans="1:14" ht="15">
      <c r="A11" s="781" t="s">
        <v>134</v>
      </c>
      <c r="B11" s="781" t="s">
        <v>1222</v>
      </c>
      <c r="I11" s="779"/>
      <c r="J11" s="779"/>
      <c r="K11" s="779"/>
      <c r="L11" s="779"/>
      <c r="M11" s="779"/>
      <c r="N11" s="781" t="s">
        <v>1226</v>
      </c>
    </row>
    <row r="12" spans="1:14" s="775" customFormat="1">
      <c r="A12" s="782" t="s">
        <v>1225</v>
      </c>
      <c r="B12" s="782"/>
      <c r="I12" s="801"/>
      <c r="J12" s="801"/>
      <c r="K12" s="801"/>
      <c r="L12" s="801"/>
      <c r="M12" s="801"/>
      <c r="N12" s="781" t="s">
        <v>1208</v>
      </c>
    </row>
    <row r="13" spans="1:14">
      <c r="N13" s="781"/>
    </row>
    <row r="14" spans="1:14">
      <c r="B14" s="810" t="s">
        <v>1224</v>
      </c>
      <c r="G14" s="809"/>
      <c r="H14" s="809"/>
      <c r="I14" s="809"/>
      <c r="N14" s="781"/>
    </row>
    <row r="15" spans="1:14">
      <c r="B15" s="783" t="s">
        <v>148</v>
      </c>
      <c r="F15" s="808"/>
      <c r="G15" s="803"/>
      <c r="I15" s="780"/>
      <c r="J15" s="780"/>
      <c r="K15" s="780"/>
      <c r="L15" s="780"/>
      <c r="M15" s="780"/>
      <c r="N15" s="781" t="s">
        <v>1221</v>
      </c>
    </row>
    <row r="16" spans="1:14" ht="15">
      <c r="B16" s="783"/>
      <c r="C16" s="783" t="s">
        <v>1222</v>
      </c>
      <c r="F16" s="808"/>
      <c r="G16" s="806"/>
      <c r="I16" s="811"/>
      <c r="J16" s="811"/>
      <c r="K16" s="811"/>
      <c r="L16" s="811"/>
      <c r="M16" s="811"/>
      <c r="N16" s="781" t="s">
        <v>1194</v>
      </c>
    </row>
    <row r="17" spans="2:14">
      <c r="B17" s="783" t="s">
        <v>1218</v>
      </c>
      <c r="H17" s="780"/>
      <c r="I17" s="780"/>
      <c r="J17" s="780"/>
      <c r="K17" s="780"/>
      <c r="L17" s="780"/>
      <c r="M17" s="780"/>
      <c r="N17" s="781" t="s">
        <v>1208</v>
      </c>
    </row>
    <row r="18" spans="2:14">
      <c r="B18" s="783" t="s">
        <v>1217</v>
      </c>
      <c r="H18" s="780"/>
      <c r="I18" s="780"/>
      <c r="J18" s="780"/>
      <c r="K18" s="780"/>
      <c r="L18" s="780"/>
      <c r="M18" s="780"/>
      <c r="N18" s="781" t="s">
        <v>1216</v>
      </c>
    </row>
    <row r="19" spans="2:14">
      <c r="B19" s="783"/>
      <c r="I19" s="809"/>
      <c r="J19" s="809"/>
      <c r="K19" s="809"/>
      <c r="L19" s="809"/>
      <c r="M19" s="809"/>
      <c r="N19" s="781"/>
    </row>
    <row r="20" spans="2:14">
      <c r="B20" s="810" t="s">
        <v>1223</v>
      </c>
      <c r="I20" s="809"/>
      <c r="J20" s="809"/>
      <c r="K20" s="809"/>
      <c r="L20" s="809"/>
      <c r="M20" s="809"/>
      <c r="N20" s="781"/>
    </row>
    <row r="21" spans="2:14">
      <c r="B21" s="783" t="s">
        <v>148</v>
      </c>
      <c r="F21" s="808"/>
      <c r="G21" s="803"/>
      <c r="I21" s="780"/>
      <c r="J21" s="780"/>
      <c r="K21" s="780"/>
      <c r="L21" s="780"/>
      <c r="M21" s="780"/>
      <c r="N21" s="781" t="s">
        <v>1221</v>
      </c>
    </row>
    <row r="22" spans="2:14" ht="15">
      <c r="B22" s="783"/>
      <c r="C22" s="783" t="s">
        <v>1222</v>
      </c>
      <c r="F22" s="808"/>
      <c r="G22" s="806"/>
      <c r="I22" s="811"/>
      <c r="J22" s="779"/>
      <c r="K22" s="779"/>
      <c r="L22" s="779"/>
      <c r="M22" s="779"/>
      <c r="N22" s="781" t="s">
        <v>1193</v>
      </c>
    </row>
    <row r="23" spans="2:14">
      <c r="B23" s="783" t="s">
        <v>1218</v>
      </c>
      <c r="H23" s="812"/>
      <c r="I23" s="780"/>
      <c r="J23" s="780"/>
      <c r="K23" s="780"/>
      <c r="L23" s="780"/>
      <c r="M23" s="780"/>
      <c r="N23" s="781" t="s">
        <v>1208</v>
      </c>
    </row>
    <row r="24" spans="2:14">
      <c r="B24" s="783" t="s">
        <v>1217</v>
      </c>
      <c r="H24" s="780"/>
      <c r="I24" s="780"/>
      <c r="J24" s="780"/>
      <c r="K24" s="780"/>
      <c r="L24" s="780"/>
      <c r="M24" s="780"/>
      <c r="N24" s="781" t="s">
        <v>1216</v>
      </c>
    </row>
    <row r="25" spans="2:14">
      <c r="B25" s="783"/>
      <c r="I25" s="809"/>
      <c r="J25" s="809"/>
      <c r="K25" s="809"/>
      <c r="L25" s="809"/>
      <c r="M25" s="809"/>
      <c r="N25" s="781"/>
    </row>
    <row r="26" spans="2:14">
      <c r="B26" s="810" t="s">
        <v>338</v>
      </c>
      <c r="I26" s="809"/>
      <c r="J26" s="809"/>
      <c r="K26" s="809"/>
      <c r="L26" s="809"/>
      <c r="M26" s="809"/>
      <c r="N26" s="781"/>
    </row>
    <row r="27" spans="2:14">
      <c r="B27" s="783" t="s">
        <v>148</v>
      </c>
      <c r="F27" s="808"/>
      <c r="G27" s="807"/>
      <c r="I27" s="780"/>
      <c r="J27" s="780"/>
      <c r="K27" s="780"/>
      <c r="L27" s="780"/>
      <c r="M27" s="780"/>
      <c r="N27" s="781" t="s">
        <v>1221</v>
      </c>
    </row>
    <row r="28" spans="2:14" ht="15">
      <c r="B28" s="783"/>
      <c r="C28" s="783" t="s">
        <v>1222</v>
      </c>
      <c r="F28" s="806"/>
      <c r="G28" s="805"/>
      <c r="H28" s="804"/>
      <c r="I28" s="811"/>
      <c r="J28" s="811"/>
      <c r="K28" s="811"/>
      <c r="L28" s="811"/>
      <c r="M28" s="811"/>
      <c r="N28" s="781" t="s">
        <v>1219</v>
      </c>
    </row>
    <row r="29" spans="2:14">
      <c r="B29" s="783" t="s">
        <v>1218</v>
      </c>
      <c r="H29" s="780"/>
      <c r="I29" s="780"/>
      <c r="J29" s="780"/>
      <c r="K29" s="780"/>
      <c r="L29" s="780"/>
      <c r="M29" s="780"/>
      <c r="N29" s="781" t="s">
        <v>1208</v>
      </c>
    </row>
    <row r="30" spans="2:14">
      <c r="B30" s="783" t="s">
        <v>1217</v>
      </c>
      <c r="H30" s="780"/>
      <c r="I30" s="780"/>
      <c r="J30" s="780"/>
      <c r="K30" s="780"/>
      <c r="L30" s="780"/>
      <c r="M30" s="780"/>
      <c r="N30" s="781" t="s">
        <v>1216</v>
      </c>
    </row>
    <row r="31" spans="2:14">
      <c r="G31" s="803"/>
      <c r="N31" s="781"/>
    </row>
    <row r="32" spans="2:14">
      <c r="B32" s="810" t="s">
        <v>340</v>
      </c>
      <c r="I32" s="809"/>
      <c r="J32" s="809"/>
      <c r="K32" s="809"/>
      <c r="L32" s="809"/>
      <c r="M32" s="809"/>
      <c r="N32" s="781"/>
    </row>
    <row r="33" spans="1:14">
      <c r="B33" s="783" t="s">
        <v>148</v>
      </c>
      <c r="F33" s="808"/>
      <c r="G33" s="807"/>
      <c r="I33" s="780"/>
      <c r="J33" s="780"/>
      <c r="K33" s="780"/>
      <c r="L33" s="780"/>
      <c r="M33" s="780"/>
      <c r="N33" s="781" t="s">
        <v>1221</v>
      </c>
    </row>
    <row r="34" spans="1:14" ht="15">
      <c r="B34" s="783"/>
      <c r="C34" s="783" t="s">
        <v>1220</v>
      </c>
      <c r="F34" s="806"/>
      <c r="G34" s="805"/>
      <c r="H34" s="804"/>
      <c r="I34" s="779"/>
      <c r="J34" s="779"/>
      <c r="K34" s="779"/>
      <c r="L34" s="779"/>
      <c r="M34" s="779"/>
      <c r="N34" s="781" t="s">
        <v>1219</v>
      </c>
    </row>
    <row r="35" spans="1:14">
      <c r="B35" s="783" t="s">
        <v>1218</v>
      </c>
      <c r="H35" s="780"/>
      <c r="I35" s="780"/>
      <c r="J35" s="780"/>
      <c r="K35" s="780"/>
      <c r="L35" s="780"/>
      <c r="M35" s="780"/>
      <c r="N35" s="781" t="s">
        <v>1208</v>
      </c>
    </row>
    <row r="36" spans="1:14">
      <c r="B36" s="783" t="s">
        <v>1217</v>
      </c>
      <c r="H36" s="780"/>
      <c r="I36" s="780"/>
      <c r="J36" s="780"/>
      <c r="K36" s="780"/>
      <c r="L36" s="780"/>
      <c r="M36" s="780"/>
      <c r="N36" s="781" t="s">
        <v>1216</v>
      </c>
    </row>
    <row r="37" spans="1:14">
      <c r="G37" s="803"/>
      <c r="N37" s="781"/>
    </row>
    <row r="38" spans="1:14" s="775" customFormat="1">
      <c r="A38" s="782" t="s">
        <v>1215</v>
      </c>
      <c r="I38" s="801"/>
      <c r="J38" s="801"/>
      <c r="K38" s="801"/>
      <c r="L38" s="801"/>
      <c r="M38" s="801"/>
      <c r="N38" s="781" t="s">
        <v>1214</v>
      </c>
    </row>
    <row r="39" spans="1:14">
      <c r="B39" s="781" t="s">
        <v>1213</v>
      </c>
      <c r="I39" s="770"/>
      <c r="J39" s="770"/>
      <c r="K39" s="770"/>
      <c r="L39" s="770"/>
      <c r="M39" s="770"/>
      <c r="N39" s="781" t="s">
        <v>1212</v>
      </c>
    </row>
    <row r="40" spans="1:14" ht="15">
      <c r="B40" s="783" t="s">
        <v>1211</v>
      </c>
      <c r="I40" s="779"/>
      <c r="J40" s="779"/>
      <c r="K40" s="779"/>
      <c r="L40" s="779"/>
      <c r="M40" s="779"/>
      <c r="N40" s="781" t="s">
        <v>1210</v>
      </c>
    </row>
    <row r="41" spans="1:14">
      <c r="A41" s="782" t="s">
        <v>1209</v>
      </c>
      <c r="I41" s="801"/>
      <c r="J41" s="801"/>
      <c r="K41" s="801"/>
      <c r="L41" s="801"/>
      <c r="M41" s="801"/>
      <c r="N41" s="781" t="s">
        <v>1208</v>
      </c>
    </row>
    <row r="42" spans="1:14">
      <c r="B42" s="783" t="s">
        <v>1207</v>
      </c>
      <c r="I42" s="770"/>
      <c r="J42" s="770"/>
      <c r="K42" s="770"/>
      <c r="L42" s="770"/>
      <c r="M42" s="802"/>
      <c r="N42" s="781"/>
    </row>
    <row r="43" spans="1:14">
      <c r="B43" s="783" t="s">
        <v>1206</v>
      </c>
      <c r="I43" s="770"/>
      <c r="J43" s="770"/>
      <c r="K43" s="770"/>
      <c r="L43" s="770"/>
      <c r="M43" s="770"/>
      <c r="N43" s="781"/>
    </row>
    <row r="44" spans="1:14" ht="15">
      <c r="B44" s="783" t="s">
        <v>1205</v>
      </c>
      <c r="I44" s="779"/>
      <c r="J44" s="779"/>
      <c r="K44" s="779"/>
      <c r="L44" s="779"/>
      <c r="M44" s="779"/>
      <c r="N44" s="781"/>
    </row>
    <row r="45" spans="1:14" s="775" customFormat="1">
      <c r="A45" s="782" t="s">
        <v>1204</v>
      </c>
      <c r="I45" s="801"/>
      <c r="J45" s="801"/>
      <c r="K45" s="801"/>
      <c r="L45" s="801"/>
      <c r="M45" s="801"/>
      <c r="N45" s="782"/>
    </row>
    <row r="46" spans="1:14">
      <c r="N46" s="781"/>
    </row>
    <row r="47" spans="1:14">
      <c r="A47" s="769" t="s">
        <v>549</v>
      </c>
      <c r="I47" s="780"/>
      <c r="J47" s="780"/>
      <c r="K47" s="780"/>
      <c r="L47" s="780"/>
      <c r="M47" s="780"/>
      <c r="N47" s="781" t="s">
        <v>1203</v>
      </c>
    </row>
    <row r="48" spans="1:14">
      <c r="A48" s="769" t="s">
        <v>553</v>
      </c>
      <c r="I48" s="770"/>
      <c r="J48" s="770"/>
      <c r="K48" s="770"/>
      <c r="L48" s="770"/>
      <c r="M48" s="770"/>
      <c r="N48" s="781" t="s">
        <v>1203</v>
      </c>
    </row>
    <row r="49" spans="1:14">
      <c r="A49" s="776" t="s">
        <v>555</v>
      </c>
      <c r="B49" s="776"/>
      <c r="C49" s="776"/>
      <c r="D49" s="776"/>
      <c r="E49" s="776"/>
      <c r="F49" s="776"/>
      <c r="G49" s="776"/>
      <c r="H49" s="776"/>
      <c r="I49" s="800"/>
      <c r="J49" s="800"/>
      <c r="K49" s="800"/>
      <c r="L49" s="800"/>
      <c r="M49" s="800"/>
      <c r="N49" s="799" t="s">
        <v>1198</v>
      </c>
    </row>
    <row r="50" spans="1:14">
      <c r="A50" s="774" t="s">
        <v>397</v>
      </c>
    </row>
    <row r="52" spans="1:14" ht="18">
      <c r="A52" s="798">
        <f>A1</f>
        <v>0</v>
      </c>
    </row>
    <row r="53" spans="1:14" ht="15.75">
      <c r="A53" s="797" t="s">
        <v>1202</v>
      </c>
    </row>
    <row r="55" spans="1:14" ht="13.5" thickBot="1">
      <c r="A55" s="796" t="s">
        <v>213</v>
      </c>
    </row>
    <row r="56" spans="1:14">
      <c r="A56" s="795"/>
      <c r="B56" s="795"/>
      <c r="C56" s="795"/>
      <c r="D56" s="795"/>
      <c r="E56" s="795"/>
      <c r="F56" s="795"/>
      <c r="G56" s="795"/>
      <c r="H56" s="794"/>
      <c r="I56" s="793" t="s">
        <v>1201</v>
      </c>
      <c r="J56" s="792" t="s">
        <v>1200</v>
      </c>
      <c r="K56" s="791"/>
      <c r="L56" s="791"/>
      <c r="M56" s="791"/>
      <c r="N56" s="790"/>
    </row>
    <row r="57" spans="1:14">
      <c r="A57" s="788" t="s">
        <v>1199</v>
      </c>
      <c r="B57" s="778"/>
      <c r="C57" s="778"/>
      <c r="D57" s="778"/>
      <c r="E57" s="778"/>
      <c r="F57" s="778"/>
      <c r="G57" s="778"/>
      <c r="H57" s="789"/>
      <c r="I57" s="789">
        <f>I6</f>
        <v>2006</v>
      </c>
      <c r="J57" s="789">
        <f>I57+1</f>
        <v>2007</v>
      </c>
      <c r="K57" s="789">
        <f>J57+1</f>
        <v>2008</v>
      </c>
      <c r="L57" s="789">
        <f>K57+1</f>
        <v>2009</v>
      </c>
      <c r="M57" s="789">
        <f>L57+1</f>
        <v>2010</v>
      </c>
      <c r="N57" s="788" t="s">
        <v>1198</v>
      </c>
    </row>
    <row r="59" spans="1:14">
      <c r="A59" s="782" t="s">
        <v>1197</v>
      </c>
    </row>
    <row r="60" spans="1:14">
      <c r="B60" s="781" t="s">
        <v>1196</v>
      </c>
      <c r="I60" s="786"/>
      <c r="J60" s="785"/>
      <c r="K60" s="785"/>
      <c r="L60" s="785"/>
      <c r="M60" s="785"/>
      <c r="N60" s="781" t="s">
        <v>1193</v>
      </c>
    </row>
    <row r="61" spans="1:14">
      <c r="B61" s="769" t="str">
        <f>B14</f>
        <v>Tranche 1</v>
      </c>
      <c r="I61" s="786"/>
      <c r="J61" s="785"/>
      <c r="K61" s="785"/>
      <c r="L61" s="785"/>
      <c r="M61" s="785"/>
      <c r="N61" s="781" t="s">
        <v>1195</v>
      </c>
    </row>
    <row r="62" spans="1:14">
      <c r="B62" s="769" t="str">
        <f>B20</f>
        <v>Tranche 2</v>
      </c>
      <c r="I62" s="786"/>
      <c r="J62" s="785"/>
      <c r="K62" s="785"/>
      <c r="L62" s="785"/>
      <c r="M62" s="785"/>
      <c r="N62" s="781" t="s">
        <v>1193</v>
      </c>
    </row>
    <row r="63" spans="1:14">
      <c r="B63" s="769" t="str">
        <f>B26</f>
        <v>Commercial Paper</v>
      </c>
      <c r="I63" s="787"/>
      <c r="J63" s="771"/>
      <c r="K63" s="771"/>
      <c r="L63" s="771"/>
      <c r="M63" s="771"/>
      <c r="N63" s="781" t="s">
        <v>1194</v>
      </c>
    </row>
    <row r="64" spans="1:14">
      <c r="B64" s="769" t="str">
        <f>B32</f>
        <v>Revolver</v>
      </c>
      <c r="E64" s="781"/>
      <c r="F64" s="772"/>
      <c r="G64" s="781"/>
      <c r="I64" s="786"/>
      <c r="J64" s="785"/>
      <c r="K64" s="785"/>
      <c r="L64" s="785"/>
      <c r="M64" s="785"/>
      <c r="N64" s="781" t="s">
        <v>1193</v>
      </c>
    </row>
    <row r="65" spans="1:14">
      <c r="E65" s="781"/>
      <c r="F65" s="772"/>
      <c r="G65" s="781"/>
    </row>
    <row r="66" spans="1:14">
      <c r="E66" s="781"/>
      <c r="F66" s="772"/>
      <c r="G66" s="781"/>
    </row>
    <row r="67" spans="1:14">
      <c r="A67" s="782" t="s">
        <v>1192</v>
      </c>
      <c r="F67" s="784">
        <v>1</v>
      </c>
      <c r="G67" s="783" t="s">
        <v>1191</v>
      </c>
    </row>
    <row r="68" spans="1:14">
      <c r="B68" s="769" t="str">
        <f>B60</f>
        <v>Cash &amp; Cash Equivalents</v>
      </c>
      <c r="G68" s="781" t="s">
        <v>1190</v>
      </c>
      <c r="I68" s="780"/>
      <c r="J68" s="780"/>
      <c r="K68" s="780"/>
      <c r="L68" s="780"/>
      <c r="M68" s="780"/>
      <c r="N68" s="781" t="s">
        <v>1189</v>
      </c>
    </row>
    <row r="69" spans="1:14">
      <c r="N69" s="781" t="s">
        <v>1188</v>
      </c>
    </row>
    <row r="70" spans="1:14">
      <c r="A70" s="782" t="s">
        <v>247</v>
      </c>
      <c r="N70" s="781" t="s">
        <v>1187</v>
      </c>
    </row>
    <row r="71" spans="1:14">
      <c r="B71" s="769" t="str">
        <f>B61</f>
        <v>Tranche 1</v>
      </c>
      <c r="I71" s="780"/>
      <c r="J71" s="780"/>
      <c r="K71" s="780"/>
      <c r="L71" s="780"/>
      <c r="M71" s="780"/>
    </row>
    <row r="72" spans="1:14">
      <c r="B72" s="769" t="str">
        <f>B62</f>
        <v>Tranche 2</v>
      </c>
      <c r="I72" s="770"/>
      <c r="J72" s="770"/>
      <c r="K72" s="770"/>
      <c r="L72" s="770"/>
      <c r="M72" s="770"/>
    </row>
    <row r="73" spans="1:14">
      <c r="B73" s="769" t="str">
        <f>B63</f>
        <v>Commercial Paper</v>
      </c>
      <c r="I73" s="770"/>
      <c r="J73" s="770"/>
      <c r="K73" s="770"/>
      <c r="L73" s="770"/>
      <c r="M73" s="770"/>
    </row>
    <row r="74" spans="1:14" ht="15">
      <c r="B74" s="769" t="str">
        <f>B64</f>
        <v>Revolver</v>
      </c>
      <c r="I74" s="779"/>
      <c r="J74" s="779"/>
      <c r="K74" s="779"/>
      <c r="L74" s="779"/>
      <c r="M74" s="779"/>
    </row>
    <row r="75" spans="1:14" s="775" customFormat="1">
      <c r="A75" s="778" t="str">
        <f>"Total "&amp;A70</f>
        <v>Total Interest Expense</v>
      </c>
      <c r="B75" s="778"/>
      <c r="C75" s="778"/>
      <c r="D75" s="778"/>
      <c r="E75" s="778"/>
      <c r="F75" s="778"/>
      <c r="G75" s="778"/>
      <c r="H75" s="778"/>
      <c r="I75" s="777"/>
      <c r="J75" s="777"/>
      <c r="K75" s="777"/>
      <c r="L75" s="777"/>
      <c r="M75" s="777"/>
      <c r="N75" s="776"/>
    </row>
    <row r="77" spans="1:14">
      <c r="A77" s="774" t="s">
        <v>397</v>
      </c>
    </row>
    <row r="79" spans="1:14">
      <c r="I79" s="773">
        <v>2.1299999999999999E-2</v>
      </c>
      <c r="J79" s="773">
        <v>6.8750000000000006E-2</v>
      </c>
      <c r="K79" s="771">
        <f t="shared" ref="K79:K97" si="0">AVERAGE(I79:J79)</f>
        <v>4.5025000000000003E-2</v>
      </c>
      <c r="L79" s="772">
        <v>4527</v>
      </c>
    </row>
    <row r="80" spans="1:14">
      <c r="I80" s="773">
        <v>5.2499999999999998E-2</v>
      </c>
      <c r="J80" s="773">
        <v>5.2499999999999998E-2</v>
      </c>
      <c r="K80" s="771">
        <f t="shared" si="0"/>
        <v>5.2499999999999998E-2</v>
      </c>
      <c r="L80" s="772">
        <v>4279</v>
      </c>
    </row>
    <row r="81" spans="9:12">
      <c r="I81" s="773">
        <v>1.0999999999999999E-2</v>
      </c>
      <c r="J81" s="773">
        <v>0.13250000000000001</v>
      </c>
      <c r="K81" s="771">
        <f t="shared" si="0"/>
        <v>7.1750000000000008E-2</v>
      </c>
      <c r="L81" s="772">
        <v>3415</v>
      </c>
    </row>
    <row r="82" spans="9:12">
      <c r="I82" s="773">
        <v>2.8750000000000001E-2</v>
      </c>
      <c r="J82" s="773">
        <v>8.3799999999999999E-2</v>
      </c>
      <c r="K82" s="771">
        <f t="shared" si="0"/>
        <v>5.6274999999999999E-2</v>
      </c>
      <c r="L82" s="772">
        <v>3311</v>
      </c>
    </row>
    <row r="83" spans="9:12">
      <c r="I83" s="773">
        <v>1.838E-3</v>
      </c>
      <c r="J83" s="773">
        <v>8.8000000000000005E-3</v>
      </c>
      <c r="K83" s="771">
        <f t="shared" si="0"/>
        <v>5.3189999999999999E-3</v>
      </c>
      <c r="L83" s="772">
        <v>3308</v>
      </c>
    </row>
    <row r="84" spans="9:12">
      <c r="I84" s="773">
        <v>7.4999999999999997E-3</v>
      </c>
      <c r="J84" s="773">
        <v>7.2499999999999995E-2</v>
      </c>
      <c r="K84" s="771">
        <f t="shared" si="0"/>
        <v>3.9999999999999994E-2</v>
      </c>
      <c r="L84" s="772">
        <v>2885</v>
      </c>
    </row>
    <row r="85" spans="9:12">
      <c r="I85" s="773">
        <v>0.03</v>
      </c>
      <c r="J85" s="773">
        <v>3.3750000000000002E-2</v>
      </c>
      <c r="K85" s="771">
        <f t="shared" si="0"/>
        <v>3.1875000000000001E-2</v>
      </c>
      <c r="L85" s="772">
        <v>2800</v>
      </c>
    </row>
    <row r="86" spans="9:12">
      <c r="I86" s="773">
        <v>1.2E-2</v>
      </c>
      <c r="J86" s="773">
        <v>4.1250000000000002E-2</v>
      </c>
      <c r="K86" s="771">
        <f t="shared" si="0"/>
        <v>2.6625000000000003E-2</v>
      </c>
      <c r="L86" s="772">
        <v>2015</v>
      </c>
    </row>
    <row r="87" spans="9:12">
      <c r="I87" s="773">
        <v>5.7500000000000002E-2</v>
      </c>
      <c r="J87" s="773">
        <v>7.5499999999999998E-2</v>
      </c>
      <c r="K87" s="771">
        <f t="shared" si="0"/>
        <v>6.6500000000000004E-2</v>
      </c>
      <c r="L87" s="772">
        <v>1890</v>
      </c>
    </row>
    <row r="88" spans="9:12">
      <c r="I88" s="773">
        <v>3.15E-2</v>
      </c>
      <c r="J88" s="773">
        <v>6.6299999999999998E-2</v>
      </c>
      <c r="K88" s="771">
        <f t="shared" si="0"/>
        <v>4.8899999999999999E-2</v>
      </c>
      <c r="L88" s="772">
        <v>767</v>
      </c>
    </row>
    <row r="89" spans="9:12">
      <c r="I89" s="773">
        <v>2.9499999999999998E-2</v>
      </c>
      <c r="J89" s="773">
        <v>5.006E-2</v>
      </c>
      <c r="K89" s="771">
        <f t="shared" si="0"/>
        <v>3.9779999999999996E-2</v>
      </c>
      <c r="L89" s="772">
        <v>516</v>
      </c>
    </row>
    <row r="90" spans="9:12">
      <c r="I90" s="773">
        <v>5.2999999999999999E-2</v>
      </c>
      <c r="J90" s="773">
        <v>6.7500000000000004E-2</v>
      </c>
      <c r="K90" s="771">
        <f t="shared" si="0"/>
        <v>6.0249999999999998E-2</v>
      </c>
      <c r="L90" s="772">
        <v>266</v>
      </c>
    </row>
    <row r="91" spans="9:12">
      <c r="I91" s="773">
        <v>2.1000000000000001E-2</v>
      </c>
      <c r="J91" s="773">
        <v>2.8750000000000001E-2</v>
      </c>
      <c r="K91" s="771">
        <f t="shared" si="0"/>
        <v>2.4875000000000001E-2</v>
      </c>
      <c r="L91" s="772">
        <v>53</v>
      </c>
    </row>
    <row r="92" spans="9:12">
      <c r="I92" s="773">
        <v>0.02</v>
      </c>
      <c r="J92" s="773">
        <v>2.5000000000000001E-2</v>
      </c>
      <c r="K92" s="771">
        <f t="shared" si="0"/>
        <v>2.2499999999999999E-2</v>
      </c>
      <c r="L92" s="772">
        <v>41</v>
      </c>
    </row>
    <row r="93" spans="9:12">
      <c r="I93" s="773">
        <v>3.7499999999999999E-2</v>
      </c>
      <c r="J93" s="773">
        <v>0.05</v>
      </c>
      <c r="K93" s="771">
        <f t="shared" si="0"/>
        <v>4.3749999999999997E-2</v>
      </c>
      <c r="L93" s="772">
        <v>31</v>
      </c>
    </row>
    <row r="94" spans="9:12">
      <c r="I94" s="773">
        <v>5.1700000000000003E-2</v>
      </c>
      <c r="J94" s="773">
        <v>5.1700000000000003E-2</v>
      </c>
      <c r="K94" s="771">
        <f t="shared" si="0"/>
        <v>5.1700000000000003E-2</v>
      </c>
      <c r="L94" s="772">
        <v>25</v>
      </c>
    </row>
    <row r="95" spans="9:12">
      <c r="I95" s="773">
        <v>0.01</v>
      </c>
      <c r="J95" s="773">
        <v>2.3E-2</v>
      </c>
      <c r="K95" s="771">
        <f t="shared" si="0"/>
        <v>1.6500000000000001E-2</v>
      </c>
      <c r="L95" s="772">
        <v>23</v>
      </c>
    </row>
    <row r="96" spans="9:12">
      <c r="I96" s="773">
        <v>4.1500000000000002E-2</v>
      </c>
      <c r="J96" s="773">
        <v>5.8749999999999997E-2</v>
      </c>
      <c r="K96" s="771">
        <f t="shared" si="0"/>
        <v>5.0125000000000003E-2</v>
      </c>
      <c r="L96" s="772">
        <v>0</v>
      </c>
    </row>
    <row r="97" spans="9:12">
      <c r="I97" s="773">
        <v>0</v>
      </c>
      <c r="J97" s="773">
        <v>0</v>
      </c>
      <c r="K97" s="771">
        <f t="shared" si="0"/>
        <v>0</v>
      </c>
      <c r="L97" s="772">
        <v>872</v>
      </c>
    </row>
    <row r="98" spans="9:12">
      <c r="K98" s="771">
        <f>SUMPRODUCT(K79:K96,L79:L96)/SUM(L79:L96)</f>
        <v>4.446592206155478E-2</v>
      </c>
      <c r="L98" s="770">
        <f>SUM(L79:L97)</f>
        <v>31024</v>
      </c>
    </row>
  </sheetData>
  <printOptions headings="1"/>
  <pageMargins left="0.5" right="0.5" top="0.5" bottom="0.5" header="0.25" footer="0.25"/>
  <pageSetup scale="80" orientation="landscape" cellComments="asDisplayed" r:id="rId1"/>
  <headerFooter alignWithMargins="0">
    <oddHeader>&amp;R&amp;"Arial,Bold"WALL ST. TRAINING</oddHeader>
    <oddFooter>&amp;L&amp;8&amp;F&lt;&amp;A&gt;&amp;RHamilton Lin, www.wallst-training.com</oddFooter>
  </headerFooter>
  <rowBreaks count="1" manualBreakCount="1">
    <brk id="51" max="13" man="1"/>
  </rowBreak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70164-FC3E-4A2E-BFD4-DB937AA92356}">
  <dimension ref="A1:J25"/>
  <sheetViews>
    <sheetView workbookViewId="0">
      <selection activeCell="B3" sqref="B3:J26"/>
    </sheetView>
  </sheetViews>
  <sheetFormatPr defaultRowHeight="16.5"/>
  <sheetData>
    <row r="1" spans="1:10">
      <c r="A1" s="422" t="s">
        <v>1936</v>
      </c>
    </row>
    <row r="3" spans="1:10">
      <c r="B3" s="49" t="s">
        <v>78</v>
      </c>
      <c r="C3" s="50"/>
      <c r="D3" s="50"/>
      <c r="E3" s="50"/>
      <c r="F3" s="50"/>
      <c r="G3" s="50"/>
      <c r="H3" s="50"/>
      <c r="I3" s="50"/>
      <c r="J3" s="50"/>
    </row>
    <row r="4" spans="1:10">
      <c r="B4" s="6"/>
      <c r="C4" s="6"/>
      <c r="D4" s="54">
        <f>'Control Panel'!X4</f>
        <v>0</v>
      </c>
      <c r="E4" s="54">
        <f>'Control Panel'!Y4</f>
        <v>0</v>
      </c>
      <c r="F4" s="54" t="str">
        <f>'Control Panel'!Z4</f>
        <v>Val</v>
      </c>
      <c r="G4" s="54">
        <f>'Control Panel'!AA4</f>
        <v>0</v>
      </c>
      <c r="H4" s="54">
        <f>'Control Panel'!AB4</f>
        <v>0</v>
      </c>
      <c r="I4" s="54">
        <f>'Control Panel'!AC4</f>
        <v>0</v>
      </c>
    </row>
    <row r="5" spans="1:10">
      <c r="B5" s="6" t="s">
        <v>79</v>
      </c>
      <c r="C5" s="6"/>
      <c r="D5" s="57">
        <v>886470.93194407481</v>
      </c>
      <c r="E5" s="57">
        <v>1010963.5118962658</v>
      </c>
      <c r="F5" s="57">
        <v>1127102.7717632158</v>
      </c>
      <c r="G5" s="57">
        <v>1232634.7958348214</v>
      </c>
      <c r="H5" s="57">
        <v>1326401.9983294045</v>
      </c>
      <c r="I5" s="57">
        <v>1408155.103729395</v>
      </c>
    </row>
    <row r="6" spans="1:10">
      <c r="B6" s="6" t="s">
        <v>80</v>
      </c>
      <c r="C6" s="6"/>
      <c r="D6" s="57">
        <v>1073034.6541610602</v>
      </c>
      <c r="E6" s="57">
        <v>1266392.1354114546</v>
      </c>
      <c r="F6" s="57">
        <v>1453999.6289424305</v>
      </c>
      <c r="G6" s="57">
        <v>1630318.6763404976</v>
      </c>
      <c r="H6" s="57">
        <v>1791530.8754619965</v>
      </c>
      <c r="I6" s="57">
        <v>1935510.0991608407</v>
      </c>
    </row>
    <row r="7" spans="1:10">
      <c r="B7" s="6" t="s">
        <v>81</v>
      </c>
      <c r="C7" s="6"/>
      <c r="D7" s="57">
        <v>727471.12372385256</v>
      </c>
      <c r="E7" s="57">
        <v>801911.23216879996</v>
      </c>
      <c r="F7" s="57">
        <v>868679.99388210382</v>
      </c>
      <c r="G7" s="57">
        <v>927361.87185068533</v>
      </c>
      <c r="H7" s="57">
        <v>978062.61471281771</v>
      </c>
      <c r="I7" s="57">
        <v>1021248.6647696287</v>
      </c>
    </row>
    <row r="9" spans="1:10">
      <c r="B9" s="49" t="s">
        <v>82</v>
      </c>
      <c r="C9" s="50"/>
      <c r="D9" s="50"/>
      <c r="E9" s="50"/>
      <c r="F9" s="50"/>
      <c r="G9" s="50"/>
      <c r="H9" s="50"/>
      <c r="I9" s="50"/>
      <c r="J9" s="6"/>
    </row>
    <row r="10" spans="1:10">
      <c r="B10" s="6"/>
      <c r="C10" s="6"/>
      <c r="D10" s="54">
        <f>D4</f>
        <v>0</v>
      </c>
      <c r="E10" s="54">
        <f t="shared" ref="E10:I10" si="0">E4</f>
        <v>0</v>
      </c>
      <c r="F10" s="54" t="str">
        <f t="shared" si="0"/>
        <v>Val</v>
      </c>
      <c r="G10" s="54">
        <f t="shared" si="0"/>
        <v>0</v>
      </c>
      <c r="H10" s="54">
        <f t="shared" si="0"/>
        <v>0</v>
      </c>
      <c r="I10" s="54">
        <f t="shared" si="0"/>
        <v>0</v>
      </c>
      <c r="J10" s="6"/>
    </row>
    <row r="11" spans="1:10">
      <c r="B11" s="6" t="s">
        <v>83</v>
      </c>
      <c r="C11" s="6"/>
      <c r="D11" s="57">
        <v>101090.50096847929</v>
      </c>
      <c r="E11" s="57">
        <v>119784.17885472803</v>
      </c>
      <c r="F11" s="57">
        <v>139105.05923457351</v>
      </c>
      <c r="G11" s="57">
        <v>154715.98602949275</v>
      </c>
      <c r="H11" s="57">
        <v>173554.43966811278</v>
      </c>
      <c r="I11" s="57">
        <v>193442.11218799016</v>
      </c>
      <c r="J11" s="6"/>
    </row>
    <row r="12" spans="1:10">
      <c r="B12" s="6" t="s">
        <v>84</v>
      </c>
      <c r="C12" s="6"/>
      <c r="D12" s="57">
        <v>117801.85989912681</v>
      </c>
      <c r="E12" s="57">
        <v>143729.20451084804</v>
      </c>
      <c r="F12" s="57">
        <v>171189.371546198</v>
      </c>
      <c r="G12" s="57">
        <v>195617.82025598298</v>
      </c>
      <c r="H12" s="57">
        <v>223739.29061177847</v>
      </c>
      <c r="I12" s="57">
        <v>253196.14935074752</v>
      </c>
      <c r="J12" s="6"/>
    </row>
    <row r="13" spans="1:10">
      <c r="B13" s="6" t="s">
        <v>85</v>
      </c>
      <c r="C13" s="6"/>
      <c r="D13" s="57">
        <v>86688.249883494107</v>
      </c>
      <c r="E13" s="57">
        <v>99885.016275553135</v>
      </c>
      <c r="F13" s="57">
        <v>113249.83116839967</v>
      </c>
      <c r="G13" s="57">
        <v>122594.68371827368</v>
      </c>
      <c r="H13" s="57">
        <v>134980.53005170301</v>
      </c>
      <c r="I13" s="57">
        <v>148323.10841487415</v>
      </c>
      <c r="J13" s="6"/>
    </row>
    <row r="14" spans="1:10">
      <c r="J14" s="6"/>
    </row>
    <row r="15" spans="1:10">
      <c r="B15" s="49" t="s">
        <v>86</v>
      </c>
      <c r="C15" s="50"/>
      <c r="D15" s="50"/>
      <c r="E15" s="50"/>
      <c r="F15" s="50"/>
      <c r="G15" s="50"/>
      <c r="H15" s="50"/>
      <c r="I15" s="50"/>
      <c r="J15" s="6"/>
    </row>
    <row r="16" spans="1:10">
      <c r="B16" s="6"/>
      <c r="C16" s="6"/>
      <c r="D16" s="54">
        <f t="shared" ref="D16:I16" si="1">D10</f>
        <v>0</v>
      </c>
      <c r="E16" s="54">
        <f t="shared" si="1"/>
        <v>0</v>
      </c>
      <c r="F16" s="54" t="str">
        <f t="shared" si="1"/>
        <v>Val</v>
      </c>
      <c r="G16" s="54">
        <f t="shared" si="1"/>
        <v>0</v>
      </c>
      <c r="H16" s="54">
        <f t="shared" si="1"/>
        <v>0</v>
      </c>
      <c r="I16" s="54">
        <f t="shared" si="1"/>
        <v>0</v>
      </c>
      <c r="J16" s="6"/>
    </row>
    <row r="17" spans="2:10">
      <c r="B17" s="6" t="s">
        <v>87</v>
      </c>
      <c r="C17" s="6"/>
      <c r="D17" s="57">
        <v>56623.673220765355</v>
      </c>
      <c r="E17" s="57">
        <v>65479.927654103223</v>
      </c>
      <c r="F17" s="57">
        <v>74757.792302876289</v>
      </c>
      <c r="G17" s="57">
        <v>80788.986434201812</v>
      </c>
      <c r="H17" s="57">
        <v>90596.367911423586</v>
      </c>
      <c r="I17" s="57">
        <v>102613.82876121055</v>
      </c>
      <c r="J17" s="6"/>
    </row>
    <row r="18" spans="2:10">
      <c r="B18" s="6" t="s">
        <v>88</v>
      </c>
      <c r="C18" s="6"/>
      <c r="D18" s="57">
        <v>70438.40924883321</v>
      </c>
      <c r="E18" s="57">
        <v>82591.84808450767</v>
      </c>
      <c r="F18" s="57">
        <v>95227.154698510887</v>
      </c>
      <c r="G18" s="57">
        <v>104799.87967392233</v>
      </c>
      <c r="H18" s="57">
        <v>118363.31216418745</v>
      </c>
      <c r="I18" s="57">
        <v>134605.59797189722</v>
      </c>
      <c r="J18" s="6"/>
    </row>
    <row r="19" spans="2:10">
      <c r="B19" s="6" t="s">
        <v>89</v>
      </c>
      <c r="C19" s="6"/>
      <c r="D19" s="57">
        <v>45553.027096940736</v>
      </c>
      <c r="E19" s="57">
        <v>52251.335180977068</v>
      </c>
      <c r="F19" s="57">
        <v>59302.927075325955</v>
      </c>
      <c r="G19" s="57">
        <v>62913.317811688074</v>
      </c>
      <c r="H19" s="57">
        <v>70083.041071929358</v>
      </c>
      <c r="I19" s="57">
        <v>79073.154159888101</v>
      </c>
      <c r="J19" s="6"/>
    </row>
    <row r="20" spans="2:10">
      <c r="J20" s="6"/>
    </row>
    <row r="21" spans="2:10">
      <c r="B21" s="49" t="s">
        <v>90</v>
      </c>
      <c r="C21" s="50"/>
      <c r="D21" s="50"/>
      <c r="E21" s="50"/>
      <c r="F21" s="50"/>
      <c r="G21" s="50"/>
      <c r="H21" s="50"/>
      <c r="I21" s="50"/>
      <c r="J21" s="6"/>
    </row>
    <row r="22" spans="2:10">
      <c r="B22" s="6"/>
      <c r="C22" s="6"/>
      <c r="D22" s="54">
        <f>D16</f>
        <v>0</v>
      </c>
      <c r="E22" s="54">
        <f t="shared" ref="E22:I22" si="2">E16</f>
        <v>0</v>
      </c>
      <c r="F22" s="54" t="str">
        <f t="shared" si="2"/>
        <v>Val</v>
      </c>
      <c r="G22" s="54">
        <f t="shared" si="2"/>
        <v>0</v>
      </c>
      <c r="H22" s="54">
        <f t="shared" si="2"/>
        <v>0</v>
      </c>
      <c r="I22" s="54">
        <f t="shared" si="2"/>
        <v>0</v>
      </c>
      <c r="J22" s="6"/>
    </row>
    <row r="23" spans="2:10">
      <c r="B23" s="6" t="s">
        <v>91</v>
      </c>
      <c r="C23" s="6"/>
      <c r="D23" s="57">
        <v>28514.286746040711</v>
      </c>
      <c r="E23" s="57">
        <v>32788.30168889997</v>
      </c>
      <c r="F23" s="57">
        <v>36930.058621146483</v>
      </c>
      <c r="G23" s="57">
        <v>40844.263538067127</v>
      </c>
      <c r="H23" s="57">
        <v>44465.748016040947</v>
      </c>
      <c r="I23" s="57">
        <v>47859.329993839317</v>
      </c>
      <c r="J23" s="6"/>
    </row>
    <row r="24" spans="2:10">
      <c r="B24" s="6" t="s">
        <v>92</v>
      </c>
      <c r="C24" s="6"/>
      <c r="D24" s="57">
        <v>34371.134374431655</v>
      </c>
      <c r="E24" s="57">
        <v>40843.409375305011</v>
      </c>
      <c r="F24" s="57">
        <v>47280.621352308997</v>
      </c>
      <c r="G24" s="57">
        <v>53488.305157389295</v>
      </c>
      <c r="H24" s="57">
        <v>59325.148103552303</v>
      </c>
      <c r="I24" s="57">
        <v>64805.469368774371</v>
      </c>
      <c r="J24" s="6"/>
    </row>
    <row r="25" spans="2:10">
      <c r="B25" s="6" t="s">
        <v>93</v>
      </c>
      <c r="C25" s="6"/>
      <c r="D25" s="57">
        <v>23510.779229258173</v>
      </c>
      <c r="E25" s="57">
        <v>26181.536039150455</v>
      </c>
      <c r="F25" s="57">
        <v>28730.970491260123</v>
      </c>
      <c r="G25" s="57">
        <v>31117.54037058317</v>
      </c>
      <c r="H25" s="57">
        <v>33309.001752622607</v>
      </c>
      <c r="I25" s="57">
        <v>35385.442963889713</v>
      </c>
      <c r="J25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6DA45D-D3CE-42AC-83F0-24EA11B2A9AE}">
  <ds:schemaRefs>
    <ds:schemaRef ds:uri="http://www.w3.org/2001/XMLSchema"/>
    <ds:schemaRef ds:uri="http://www.boozallen.com/argo/gui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37</vt:i4>
      </vt:variant>
      <vt:variant>
        <vt:lpstr>Named Ranges</vt:lpstr>
      </vt:variant>
      <vt:variant>
        <vt:i4>4</vt:i4>
      </vt:variant>
    </vt:vector>
  </HeadingPairs>
  <TitlesOfParts>
    <vt:vector size="41" baseType="lpstr">
      <vt:lpstr>Dashboard</vt:lpstr>
      <vt:lpstr>General Information</vt:lpstr>
      <vt:lpstr>Control Panel</vt:lpstr>
      <vt:lpstr>Financial Ratio Analysis</vt:lpstr>
      <vt:lpstr>Scenarios Analysis</vt:lpstr>
      <vt:lpstr>Income statement</vt:lpstr>
      <vt:lpstr>Balance Sheet</vt:lpstr>
      <vt:lpstr>Cashflow Statement</vt:lpstr>
      <vt:lpstr>Model Drivers G%</vt:lpstr>
      <vt:lpstr>Model Drivers Schedule</vt:lpstr>
      <vt:lpstr>Balance sheet advanced</vt:lpstr>
      <vt:lpstr>Income statement advanced</vt:lpstr>
      <vt:lpstr>CFS advanced</vt:lpstr>
      <vt:lpstr>Main support</vt:lpstr>
      <vt:lpstr>Main</vt:lpstr>
      <vt:lpstr>DCF%</vt:lpstr>
      <vt:lpstr>DCF</vt:lpstr>
      <vt:lpstr>FCF Yield</vt:lpstr>
      <vt:lpstr>Industry Averages (Global)</vt:lpstr>
      <vt:lpstr>Country ERP</vt:lpstr>
      <vt:lpstr>Option value</vt:lpstr>
      <vt:lpstr>EVA</vt:lpstr>
      <vt:lpstr>Industry Averages (US)</vt:lpstr>
      <vt:lpstr>SOTP</vt:lpstr>
      <vt:lpstr>WACC</vt:lpstr>
      <vt:lpstr>Cost of Equity CAPM</vt:lpstr>
      <vt:lpstr>Multifactor Cost of Equity(WIP)</vt:lpstr>
      <vt:lpstr>Comps</vt:lpstr>
      <vt:lpstr>PrecedentsVal</vt:lpstr>
      <vt:lpstr>Precedents</vt:lpstr>
      <vt:lpstr>Market Data</vt:lpstr>
      <vt:lpstr>Research Consensus</vt:lpstr>
      <vt:lpstr>STATS OUTPUT&gt;</vt:lpstr>
      <vt:lpstr>Share Price</vt:lpstr>
      <vt:lpstr>Markov_Chains</vt:lpstr>
      <vt:lpstr>Debt Schedule Sweep(optional)</vt:lpstr>
      <vt:lpstr>Appendix</vt:lpstr>
      <vt:lpstr>_CompanyName</vt:lpstr>
      <vt:lpstr>_LTGrowth</vt:lpstr>
      <vt:lpstr>_TaxRate</vt:lpstr>
      <vt:lpstr>_Vdate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2024-04-22T22:30:17Z</dcterms:created>
  <dcterms:modified xsi:type="dcterms:W3CDTF">2024-04-25T01:37:52Z</dcterms:modified>
</cp:coreProperties>
</file>