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z\Documents\Tesis Maestría UNTREF\Gráficos y cuadros\"/>
    </mc:Choice>
  </mc:AlternateContent>
  <xr:revisionPtr revIDLastSave="0" documentId="13_ncr:1_{E039E2DC-FE92-4BB9-A7D8-44F7F696032F}" xr6:coauthVersionLast="47" xr6:coauthVersionMax="47" xr10:uidLastSave="{00000000-0000-0000-0000-000000000000}"/>
  <bookViews>
    <workbookView xWindow="-120" yWindow="-120" windowWidth="20730" windowHeight="11040" xr2:uid="{9B2C0AEC-A241-4875-B1E9-0DC33A50BE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  <c r="B4" i="1"/>
  <c r="C4" i="1"/>
  <c r="D4" i="1"/>
  <c r="E4" i="1"/>
  <c r="F4" i="1"/>
  <c r="C5" i="1"/>
  <c r="D5" i="1"/>
  <c r="E5" i="1"/>
  <c r="F5" i="1"/>
  <c r="B5" i="1"/>
  <c r="C6" i="1"/>
  <c r="D6" i="1"/>
  <c r="E6" i="1"/>
  <c r="F6" i="1"/>
  <c r="B6" i="1"/>
  <c r="C7" i="1"/>
  <c r="D7" i="1"/>
  <c r="E7" i="1"/>
  <c r="F7" i="1"/>
  <c r="B7" i="1"/>
  <c r="C8" i="1"/>
  <c r="D8" i="1"/>
  <c r="E8" i="1"/>
  <c r="F8" i="1"/>
  <c r="B8" i="1"/>
  <c r="C9" i="1"/>
  <c r="D9" i="1"/>
  <c r="E9" i="1"/>
  <c r="F9" i="1"/>
  <c r="B9" i="1"/>
  <c r="C10" i="1"/>
  <c r="D10" i="1"/>
  <c r="E10" i="1"/>
  <c r="F10" i="1"/>
  <c r="B10" i="1"/>
  <c r="C11" i="1"/>
  <c r="D11" i="1"/>
  <c r="E11" i="1"/>
  <c r="F11" i="1"/>
  <c r="B11" i="1"/>
  <c r="C12" i="1"/>
  <c r="D12" i="1"/>
  <c r="E12" i="1"/>
  <c r="F12" i="1"/>
  <c r="B12" i="1"/>
  <c r="C13" i="1"/>
  <c r="D13" i="1"/>
  <c r="E13" i="1"/>
  <c r="F13" i="1"/>
  <c r="B13" i="1"/>
  <c r="C14" i="1"/>
  <c r="D14" i="1"/>
  <c r="E14" i="1"/>
  <c r="F14" i="1"/>
  <c r="B14" i="1"/>
  <c r="C15" i="1"/>
  <c r="D15" i="1"/>
  <c r="E15" i="1"/>
  <c r="F15" i="1"/>
  <c r="B15" i="1"/>
  <c r="C16" i="1"/>
  <c r="D16" i="1"/>
  <c r="E16" i="1"/>
  <c r="F16" i="1"/>
  <c r="B16" i="1"/>
  <c r="C17" i="1"/>
  <c r="D17" i="1"/>
  <c r="E17" i="1"/>
  <c r="F17" i="1"/>
  <c r="B17" i="1"/>
  <c r="D18" i="1"/>
  <c r="E18" i="1"/>
  <c r="F18" i="1"/>
  <c r="C18" i="1"/>
  <c r="B18" i="1"/>
  <c r="F19" i="1"/>
  <c r="E19" i="1"/>
  <c r="D19" i="1"/>
  <c r="C19" i="1"/>
  <c r="B19" i="1"/>
  <c r="D20" i="1"/>
  <c r="E20" i="1"/>
  <c r="F20" i="1"/>
  <c r="F22" i="1"/>
  <c r="F21" i="1"/>
  <c r="C20" i="1"/>
  <c r="B20" i="1"/>
  <c r="E21" i="1"/>
  <c r="D21" i="1"/>
  <c r="C21" i="1"/>
  <c r="B21" i="1"/>
  <c r="E22" i="1"/>
  <c r="D22" i="1"/>
  <c r="C22" i="1"/>
  <c r="B22" i="1"/>
</calcChain>
</file>

<file path=xl/sharedStrings.xml><?xml version="1.0" encoding="utf-8"?>
<sst xmlns="http://schemas.openxmlformats.org/spreadsheetml/2006/main" count="7" uniqueCount="7">
  <si>
    <t>Año</t>
  </si>
  <si>
    <t>MERCOSUR</t>
  </si>
  <si>
    <t>Argentina</t>
  </si>
  <si>
    <t>Brasil</t>
  </si>
  <si>
    <t>Paraguay</t>
  </si>
  <si>
    <t>Uruguay</t>
  </si>
  <si>
    <t>Proporción de las ventas a China sobre el total exportado (2000-2019)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</si>
</sst>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MERCOSUR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Hoja1!$B$3:$B$22</c:f>
              <c:numCache>
                <c:formatCode>0.00</c:formatCode>
                <c:ptCount val="20"/>
                <c:pt idx="0">
                  <c:v>2.9623497605599858</c:v>
                </c:pt>
                <c:pt idx="1">
                  <c:v>4.3298862418426429</c:v>
                </c:pt>
                <c:pt idx="2">
                  <c:v>4.7454354872851638</c:v>
                </c:pt>
                <c:pt idx="3">
                  <c:v>7.6254853312021016</c:v>
                </c:pt>
                <c:pt idx="4">
                  <c:v>7.032906679715504</c:v>
                </c:pt>
                <c:pt idx="5">
                  <c:v>7.1431320505706228</c:v>
                </c:pt>
                <c:pt idx="6">
                  <c:v>7.3401319838298198</c:v>
                </c:pt>
                <c:pt idx="7">
                  <c:v>8.4647855682962501</c:v>
                </c:pt>
                <c:pt idx="8">
                  <c:v>9.8471484358711869</c:v>
                </c:pt>
                <c:pt idx="9">
                  <c:v>13.557386534186566</c:v>
                </c:pt>
                <c:pt idx="10">
                  <c:v>15.578569636452954</c:v>
                </c:pt>
                <c:pt idx="11">
                  <c:v>17.070902155669181</c:v>
                </c:pt>
                <c:pt idx="12">
                  <c:v>16.389510946671489</c:v>
                </c:pt>
                <c:pt idx="13">
                  <c:v>19.072550890791724</c:v>
                </c:pt>
                <c:pt idx="14">
                  <c:v>17.481219106462984</c:v>
                </c:pt>
                <c:pt idx="15">
                  <c:v>18.475899933544742</c:v>
                </c:pt>
                <c:pt idx="16">
                  <c:v>18.594341092503829</c:v>
                </c:pt>
                <c:pt idx="17">
                  <c:v>21.346060192071363</c:v>
                </c:pt>
                <c:pt idx="18">
                  <c:v>25.924579618154315</c:v>
                </c:pt>
                <c:pt idx="19">
                  <c:v>26.861913991619595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5-4ABE-B8D2-C8FAC94526EA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Argentina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Hoja1!$C$3:$C$22</c:f>
              <c:numCache>
                <c:formatCode>0.00</c:formatCode>
                <c:ptCount val="20"/>
                <c:pt idx="0">
                  <c:v>3.0254242435746552</c:v>
                </c:pt>
                <c:pt idx="1">
                  <c:v>4.2353264739457552</c:v>
                </c:pt>
                <c:pt idx="2">
                  <c:v>4.2631361449634708</c:v>
                </c:pt>
                <c:pt idx="3">
                  <c:v>8.2937859900864428</c:v>
                </c:pt>
                <c:pt idx="4">
                  <c:v>7.6003088874556415</c:v>
                </c:pt>
                <c:pt idx="5">
                  <c:v>7.905181891112937</c:v>
                </c:pt>
                <c:pt idx="6">
                  <c:v>7.4675268872646967</c:v>
                </c:pt>
                <c:pt idx="7">
                  <c:v>9.2350701943362221</c:v>
                </c:pt>
                <c:pt idx="8">
                  <c:v>9.0760767108262357</c:v>
                </c:pt>
                <c:pt idx="9">
                  <c:v>6.5858122829927384</c:v>
                </c:pt>
                <c:pt idx="10">
                  <c:v>8.5059201107747189</c:v>
                </c:pt>
                <c:pt idx="11">
                  <c:v>7.2704748430666735</c:v>
                </c:pt>
                <c:pt idx="12">
                  <c:v>6.336769089199624</c:v>
                </c:pt>
                <c:pt idx="13">
                  <c:v>7.2556244487447836</c:v>
                </c:pt>
                <c:pt idx="14">
                  <c:v>6.5200287116453195</c:v>
                </c:pt>
                <c:pt idx="15">
                  <c:v>9.1085869258946186</c:v>
                </c:pt>
                <c:pt idx="16">
                  <c:v>7.6598928116048191</c:v>
                </c:pt>
                <c:pt idx="17">
                  <c:v>7.3983156193142774</c:v>
                </c:pt>
                <c:pt idx="18">
                  <c:v>6.836755339381531</c:v>
                </c:pt>
                <c:pt idx="19">
                  <c:v>10.477703235687125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5-4ABE-B8D2-C8FAC94526EA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Brasil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Hoja1!$D$3:$D$22</c:f>
              <c:numCache>
                <c:formatCode>0.00</c:formatCode>
                <c:ptCount val="20"/>
                <c:pt idx="0">
                  <c:v>1.9727166267829475</c:v>
                </c:pt>
                <c:pt idx="1">
                  <c:v>3.2761927409390976</c:v>
                </c:pt>
                <c:pt idx="2">
                  <c:v>4.1839852894232825</c:v>
                </c:pt>
                <c:pt idx="3">
                  <c:v>6.2261685402058626</c:v>
                </c:pt>
                <c:pt idx="4">
                  <c:v>5.7175597156064288</c:v>
                </c:pt>
                <c:pt idx="5">
                  <c:v>5.7563293754184306</c:v>
                </c:pt>
                <c:pt idx="6">
                  <c:v>6.1041770241864448</c:v>
                </c:pt>
                <c:pt idx="7">
                  <c:v>6.7431752936494629</c:v>
                </c:pt>
                <c:pt idx="8">
                  <c:v>8.4387064872811521</c:v>
                </c:pt>
                <c:pt idx="9">
                  <c:v>13.831388672766693</c:v>
                </c:pt>
                <c:pt idx="10">
                  <c:v>15.340503437289364</c:v>
                </c:pt>
                <c:pt idx="11">
                  <c:v>17.465701987217066</c:v>
                </c:pt>
                <c:pt idx="12">
                  <c:v>17.180817036705182</c:v>
                </c:pt>
                <c:pt idx="13">
                  <c:v>19.791153771560946</c:v>
                </c:pt>
                <c:pt idx="14">
                  <c:v>18.38281357503422</c:v>
                </c:pt>
                <c:pt idx="15">
                  <c:v>18.821580620015592</c:v>
                </c:pt>
                <c:pt idx="16">
                  <c:v>19.570023523042057</c:v>
                </c:pt>
                <c:pt idx="17">
                  <c:v>22.088850499167162</c:v>
                </c:pt>
                <c:pt idx="18">
                  <c:v>27.56899299019576</c:v>
                </c:pt>
                <c:pt idx="19">
                  <c:v>28.652112724463976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65-4ABE-B8D2-C8FAC94526EA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Paraguay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Hoja1!$E$3:$E$22</c:f>
              <c:numCache>
                <c:formatCode>0.00</c:formatCode>
                <c:ptCount val="20"/>
                <c:pt idx="0">
                  <c:v>0.26800721788654097</c:v>
                </c:pt>
                <c:pt idx="1">
                  <c:v>0.45446251251845943</c:v>
                </c:pt>
                <c:pt idx="2">
                  <c:v>0.32996049467536925</c:v>
                </c:pt>
                <c:pt idx="3">
                  <c:v>0.67188231515981611</c:v>
                </c:pt>
                <c:pt idx="4">
                  <c:v>1.4415785921529609</c:v>
                </c:pt>
                <c:pt idx="5">
                  <c:v>2.1106557507049803</c:v>
                </c:pt>
                <c:pt idx="6">
                  <c:v>0.54621928601873071</c:v>
                </c:pt>
                <c:pt idx="7">
                  <c:v>1.1574871495228174</c:v>
                </c:pt>
                <c:pt idx="8">
                  <c:v>1.5106452050924677</c:v>
                </c:pt>
                <c:pt idx="9">
                  <c:v>0.69191138689781306</c:v>
                </c:pt>
                <c:pt idx="10">
                  <c:v>0.52528634739801372</c:v>
                </c:pt>
                <c:pt idx="11">
                  <c:v>0.39077185803768566</c:v>
                </c:pt>
                <c:pt idx="12">
                  <c:v>0.57636089540107427</c:v>
                </c:pt>
                <c:pt idx="13">
                  <c:v>0.60390066347022209</c:v>
                </c:pt>
                <c:pt idx="14">
                  <c:v>0.50930946700304802</c:v>
                </c:pt>
                <c:pt idx="15">
                  <c:v>0.3630769895850971</c:v>
                </c:pt>
                <c:pt idx="16">
                  <c:v>0.24558215359426391</c:v>
                </c:pt>
                <c:pt idx="17">
                  <c:v>0.31796705695848881</c:v>
                </c:pt>
                <c:pt idx="18">
                  <c:v>0.28708184770010708</c:v>
                </c:pt>
                <c:pt idx="19">
                  <c:v>0.13490047440949821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65-4ABE-B8D2-C8FAC94526EA}"/>
            </c:ext>
          </c:extLst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Uruguay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Hoja1!$F$3:$F$22</c:f>
              <c:numCache>
                <c:formatCode>0.00</c:formatCode>
                <c:ptCount val="20"/>
                <c:pt idx="0">
                  <c:v>3.9625210135138067</c:v>
                </c:pt>
                <c:pt idx="1">
                  <c:v>4.9905870936438612</c:v>
                </c:pt>
                <c:pt idx="2">
                  <c:v>5.567854532949319</c:v>
                </c:pt>
                <c:pt idx="3">
                  <c:v>4.3337590290514685</c:v>
                </c:pt>
                <c:pt idx="4">
                  <c:v>3.8516561522250559</c:v>
                </c:pt>
                <c:pt idx="5">
                  <c:v>3.5594364517854169</c:v>
                </c:pt>
                <c:pt idx="6">
                  <c:v>4.1403046133175581</c:v>
                </c:pt>
                <c:pt idx="7">
                  <c:v>3.6176688691879448</c:v>
                </c:pt>
                <c:pt idx="8">
                  <c:v>2.8868207139130586</c:v>
                </c:pt>
                <c:pt idx="9">
                  <c:v>4.349499330220028</c:v>
                </c:pt>
                <c:pt idx="10">
                  <c:v>5.4103796802019968</c:v>
                </c:pt>
                <c:pt idx="11">
                  <c:v>6.6501848516447053</c:v>
                </c:pt>
                <c:pt idx="12">
                  <c:v>9.1425513909987259</c:v>
                </c:pt>
                <c:pt idx="13">
                  <c:v>14.233877327286425</c:v>
                </c:pt>
                <c:pt idx="14">
                  <c:v>13.269273513023467</c:v>
                </c:pt>
                <c:pt idx="15">
                  <c:v>13.892765274986202</c:v>
                </c:pt>
                <c:pt idx="16">
                  <c:v>12.432153506176439</c:v>
                </c:pt>
                <c:pt idx="17">
                  <c:v>18.866601846487733</c:v>
                </c:pt>
                <c:pt idx="18">
                  <c:v>19.980965431196964</c:v>
                </c:pt>
                <c:pt idx="19">
                  <c:v>24.891507437908921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65-4ABE-B8D2-C8FAC945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92832"/>
        <c:axId val="1998741200"/>
      </c:scatterChart>
      <c:valAx>
        <c:axId val="199629283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8741200"/>
        <c:crosses val="autoZero"/>
        <c:crossBetween val="midCat"/>
      </c:valAx>
      <c:valAx>
        <c:axId val="19987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6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165587</xdr:colOff>
      <xdr:row>3</xdr:row>
      <xdr:rowOff>91585</xdr:rowOff>
    </xdr:from>
    <xdr:to>
      <xdr:col>16</xdr:col>
      <xdr:colOff>504824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B403F-99D3-8162-7D5B-EC2598F10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8EF1-6951-43DB-9E0B-CF12B4E6C450}">
  <dimension ref="A1:F22"/>
  <sheetViews>
    <sheetView tabSelected="1" topLeftCell="B10" zoomScaleNormal="100" workbookViewId="0">
      <selection activeCell="H21" sqref="H21"/>
    </sheetView>
  </sheetViews>
  <sheetFormatPr baseColWidth="10" defaultRowHeight="15" x14ac:dyDescent="0.25"/>
  <cols>
    <col min="1" max="1" width="5.42578125" bestFit="1" customWidth="1"/>
    <col min="2" max="2" width="12.28515625" bestFit="1" customWidth="1"/>
  </cols>
  <sheetData>
    <row r="1" spans="1:6" x14ac:dyDescent="0.25">
      <c r="A1" s="5" t="s">
        <v>6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4">
        <v>2000</v>
      </c>
      <c r="B3" s="2">
        <f>((1978.9*100)/66801.7)</f>
        <v>2.9623497605599858</v>
      </c>
      <c r="C3" s="2">
        <f>((796.927*100)/26341)</f>
        <v>3.0254242435746552</v>
      </c>
      <c r="D3" s="3">
        <f>((1084.86*100)/54993.2)</f>
        <v>1.9727166267829475</v>
      </c>
      <c r="E3" s="3">
        <f>((5.8964*100)/2200.09)</f>
        <v>0.26800721788654097</v>
      </c>
      <c r="F3" s="3">
        <f>((91.2208*100)/2302.09)</f>
        <v>3.9625210135138067</v>
      </c>
    </row>
    <row r="4" spans="1:6" x14ac:dyDescent="0.25">
      <c r="A4" s="4">
        <v>2001</v>
      </c>
      <c r="B4" s="2">
        <f>((3138.99*100)/72495.9)</f>
        <v>4.3298862418426429</v>
      </c>
      <c r="C4" s="2">
        <f>((1124.17*100)/26542.7)</f>
        <v>4.2353264739457552</v>
      </c>
      <c r="D4" s="3">
        <f>((1901.25*100)/58032.3)</f>
        <v>3.2761927409390976</v>
      </c>
      <c r="E4" s="3">
        <f>((10.7095*100)/2356.52)</f>
        <v>0.45446251251845943</v>
      </c>
      <c r="F4" s="3">
        <f>((102.856*100)/2061)</f>
        <v>4.9905870936438612</v>
      </c>
    </row>
    <row r="5" spans="1:6" x14ac:dyDescent="0.25">
      <c r="A5" s="4">
        <v>2002</v>
      </c>
      <c r="B5" s="2">
        <f>((3721.38*100)/78420.2)</f>
        <v>4.7454354872851638</v>
      </c>
      <c r="C5" s="2">
        <f>((1093.52*100)/25650.6)</f>
        <v>4.2631361449634708</v>
      </c>
      <c r="D5" s="3">
        <f>((2516.55*100)/60147.2)</f>
        <v>4.1839852894232825</v>
      </c>
      <c r="E5" s="3">
        <f>((7.68412*100)/2328.8)</f>
        <v>0.32996049467536925</v>
      </c>
      <c r="F5" s="3">
        <f>((103.62*100)/1861.04)</f>
        <v>5.567854532949319</v>
      </c>
    </row>
    <row r="6" spans="1:6" x14ac:dyDescent="0.25">
      <c r="A6" s="4">
        <v>2003</v>
      </c>
      <c r="B6" s="2">
        <f>((7127.32*100)/93467.1)</f>
        <v>7.6254853312021016</v>
      </c>
      <c r="C6" s="2">
        <f>((2483.06*100)/29938.8)</f>
        <v>8.2937859900864428</v>
      </c>
      <c r="D6" s="3">
        <f>((4531.2*100)/72776.7)</f>
        <v>6.2261685402058626</v>
      </c>
      <c r="E6" s="3">
        <f>((17.365*100)/2584.53)</f>
        <v>0.67188231515981611</v>
      </c>
      <c r="F6" s="3">
        <f>((95.6959*100)/2208.15)</f>
        <v>4.3337590290514685</v>
      </c>
    </row>
    <row r="7" spans="1:6" x14ac:dyDescent="0.25">
      <c r="A7" s="4">
        <v>2004</v>
      </c>
      <c r="B7" s="2">
        <f>((8221.06*100)/116894.2)</f>
        <v>7.032906679715504</v>
      </c>
      <c r="C7" s="2">
        <f>((2627.86*100)/34575.7)</f>
        <v>7.6003088874556415</v>
      </c>
      <c r="D7" s="3">
        <f>((5438.64*100)/95121.7)</f>
        <v>5.7175597156064288</v>
      </c>
      <c r="E7" s="3">
        <f>((41.4376*100)/2874.46)</f>
        <v>1.4415785921529609</v>
      </c>
      <c r="F7" s="3">
        <f>((113.132*100)/2937.23)</f>
        <v>3.8516561522250559</v>
      </c>
    </row>
    <row r="8" spans="1:6" x14ac:dyDescent="0.25">
      <c r="A8" s="4">
        <v>2005</v>
      </c>
      <c r="B8" s="2">
        <f>((10207.9*100)/142905.1)</f>
        <v>7.1431320505706228</v>
      </c>
      <c r="C8" s="2">
        <f>((3192.65*100)/40386.8)</f>
        <v>7.905181891112937</v>
      </c>
      <c r="D8" s="3">
        <f>((6826.88*100)/118597.8)</f>
        <v>5.7563293754184306</v>
      </c>
      <c r="E8" s="3">
        <f>((66.5399*100)/3152.57)</f>
        <v>2.1106557507049803</v>
      </c>
      <c r="F8" s="3">
        <f>((121.8*100)/3421.89)</f>
        <v>3.5594364517854169</v>
      </c>
    </row>
    <row r="9" spans="1:6" x14ac:dyDescent="0.25">
      <c r="A9" s="4">
        <v>2006</v>
      </c>
      <c r="B9" s="2">
        <f>((12058.2*100)/164277.7)</f>
        <v>7.3401319838298198</v>
      </c>
      <c r="C9" s="2">
        <f>((3475.85*100)/46546.2)</f>
        <v>7.4675268872646967</v>
      </c>
      <c r="D9" s="3">
        <f>((8398.2*100)/137581.2)</f>
        <v>6.1041770241864448</v>
      </c>
      <c r="E9" s="3">
        <f>((18.9667*100)/3472.36)</f>
        <v>0.54621928601873071</v>
      </c>
      <c r="F9" s="3">
        <f>((165.17*100)/3989.32)</f>
        <v>4.1403046133175581</v>
      </c>
    </row>
    <row r="10" spans="1:6" x14ac:dyDescent="0.25">
      <c r="A10" s="4">
        <v>2007</v>
      </c>
      <c r="B10" s="2">
        <f>((16164.6*100)/190962.9)</f>
        <v>8.4647855682962501</v>
      </c>
      <c r="C10" s="2">
        <f>((5169.82*100)/55980.3)</f>
        <v>9.2350701943362221</v>
      </c>
      <c r="D10" s="3">
        <f>((10776.7*100)/159816.4)</f>
        <v>6.7431752936494629</v>
      </c>
      <c r="E10" s="3">
        <f>((54.6746*100)/4723.56)</f>
        <v>1.1574871495228174</v>
      </c>
      <c r="F10" s="3">
        <f>((163.43*100)/4517.55)</f>
        <v>3.6176688691879448</v>
      </c>
    </row>
    <row r="11" spans="1:6" x14ac:dyDescent="0.25">
      <c r="A11" s="4">
        <v>2008</v>
      </c>
      <c r="B11" s="2">
        <f>((23143.3*100)/235025.4)</f>
        <v>9.8471484358711869</v>
      </c>
      <c r="C11" s="2">
        <f>((6354.96*100)/70018.8)</f>
        <v>9.0760767108262357</v>
      </c>
      <c r="D11" s="3">
        <f>((16520*100)/195764.6)</f>
        <v>8.4387064872811521</v>
      </c>
      <c r="E11" s="3">
        <f>((96.7887*100)/6407.11)</f>
        <v>1.5106452050924677</v>
      </c>
      <c r="F11" s="3">
        <f>((171.532*100)/5941.9)</f>
        <v>2.8868207139130586</v>
      </c>
    </row>
    <row r="12" spans="1:6" x14ac:dyDescent="0.25">
      <c r="A12" s="4">
        <v>2009</v>
      </c>
      <c r="B12" s="2">
        <f>((24931.6*100)/183896.8)</f>
        <v>13.557386534186566</v>
      </c>
      <c r="C12" s="2">
        <f>((3666.46*100)/55672.1)</f>
        <v>6.5858122829927384</v>
      </c>
      <c r="D12" s="3">
        <f>((20994.9*100)/151791.7)</f>
        <v>13.831388672766693</v>
      </c>
      <c r="E12" s="3">
        <f>((35.1464*100)/5079.61)</f>
        <v>0.69191138689781306</v>
      </c>
      <c r="F12" s="3">
        <f>((235.08*100)/5404.76)</f>
        <v>4.349499330220028</v>
      </c>
    </row>
    <row r="13" spans="1:6" x14ac:dyDescent="0.25">
      <c r="A13" s="4">
        <v>2010</v>
      </c>
      <c r="B13" s="2">
        <f>((36944.5*100)/237149.5)</f>
        <v>15.578569636452954</v>
      </c>
      <c r="C13" s="2">
        <f>((5798.86*100)/68174.4)</f>
        <v>8.5059201107747189</v>
      </c>
      <c r="D13" s="3">
        <f>((30747.6*100)/200434.1)</f>
        <v>15.340503437289364</v>
      </c>
      <c r="E13" s="3">
        <f>((34.2306*100)/6516.56)</f>
        <v>0.52528634739801372</v>
      </c>
      <c r="F13" s="3">
        <f>((363.841*100)/6724.87)</f>
        <v>5.4103796802019968</v>
      </c>
    </row>
    <row r="14" spans="1:6" x14ac:dyDescent="0.25">
      <c r="A14" s="4">
        <v>2011</v>
      </c>
      <c r="B14" s="2">
        <f>((50894.3*100)/298134.8)</f>
        <v>17.070902155669181</v>
      </c>
      <c r="C14" s="2">
        <f>((6033.12*100)/82981.1)</f>
        <v>7.2704748430666735</v>
      </c>
      <c r="D14" s="3">
        <f>((44304.6*100)/253666.3)</f>
        <v>17.465701987217066</v>
      </c>
      <c r="E14" s="3">
        <f>((30.3881*100)/7776.43)</f>
        <v>0.39077185803768566</v>
      </c>
      <c r="F14" s="3">
        <f>((526.146*100)/7911.75)</f>
        <v>6.6501848516447053</v>
      </c>
    </row>
    <row r="15" spans="1:6" x14ac:dyDescent="0.25">
      <c r="A15" s="4">
        <v>2012</v>
      </c>
      <c r="B15" s="2">
        <f>((47132.3*100)/287576)</f>
        <v>16.389510946671489</v>
      </c>
      <c r="C15" s="2">
        <f>((5068.3*100)/79982.4)</f>
        <v>6.336769089199624</v>
      </c>
      <c r="D15" s="3">
        <f>((41225.8*100)/239952.5)</f>
        <v>17.180817036705182</v>
      </c>
      <c r="E15" s="3">
        <f>((41.9789*100)/7283.44)</f>
        <v>0.57636089540107427</v>
      </c>
      <c r="F15" s="3">
        <f>((796.244*100)/8709.21)</f>
        <v>9.1425513909987259</v>
      </c>
    </row>
    <row r="16" spans="1:6" x14ac:dyDescent="0.25">
      <c r="A16" s="4">
        <v>2013</v>
      </c>
      <c r="B16" s="2">
        <f>((52882.5*100)/277270.2)</f>
        <v>19.072550890791724</v>
      </c>
      <c r="C16" s="2">
        <f>((5511.59*100)/75963)</f>
        <v>7.2556244487447836</v>
      </c>
      <c r="D16" s="3">
        <f>((46023.2*100)/232544.3)</f>
        <v>19.791153771560946</v>
      </c>
      <c r="E16" s="3">
        <f>((57.1069*100)/9456.34)</f>
        <v>0.60390066347022209</v>
      </c>
      <c r="F16" s="3">
        <f>((1290.57*100)/9066.89)</f>
        <v>14.233877327286425</v>
      </c>
    </row>
    <row r="17" spans="1:6" x14ac:dyDescent="0.25">
      <c r="A17" s="4">
        <v>2014</v>
      </c>
      <c r="B17" s="2">
        <f>((46332.8*100)/265043.3)</f>
        <v>17.481219106462984</v>
      </c>
      <c r="C17" s="2">
        <f>((4459.98*100)/68404.3)</f>
        <v>6.5200287116453195</v>
      </c>
      <c r="D17" s="3">
        <f>((40611.9*100)/220923.2)</f>
        <v>18.38281357503422</v>
      </c>
      <c r="E17" s="3">
        <f>((49.0765*100)/9635.89)</f>
        <v>0.50930946700304802</v>
      </c>
      <c r="F17" s="3">
        <f>((1211.9*100)/9133.13)</f>
        <v>13.269273513023467</v>
      </c>
    </row>
    <row r="18" spans="1:6" x14ac:dyDescent="0.25">
      <c r="A18" s="4">
        <v>2015</v>
      </c>
      <c r="B18" s="2">
        <f>((41425*100)/224211)</f>
        <v>18.475899933544742</v>
      </c>
      <c r="C18" s="2">
        <f>((5172.22*100)/56784)</f>
        <v>9.1085869258946186</v>
      </c>
      <c r="D18" s="3">
        <f>((35155.4*100)/186782.4)</f>
        <v>18.821580620015592</v>
      </c>
      <c r="E18" s="3">
        <f>((30.2352*100)/8327.49)</f>
        <v>0.3630769895850971</v>
      </c>
      <c r="F18" s="3">
        <f>((1067.22*100)/7681.84)</f>
        <v>13.892765274986202</v>
      </c>
    </row>
    <row r="19" spans="1:6" x14ac:dyDescent="0.25">
      <c r="A19" s="4">
        <v>2016</v>
      </c>
      <c r="B19" s="2">
        <f>((40457.4*100)/217579.1)</f>
        <v>18.594341092503829</v>
      </c>
      <c r="C19" s="2">
        <f>((4433.5*100)/57879.4)</f>
        <v>7.6598928116048191</v>
      </c>
      <c r="D19" s="3">
        <f>((35133.3*100)/179526.1)</f>
        <v>19.570023523042057</v>
      </c>
      <c r="E19" s="3">
        <f>((20.8791*100)/8501.88)</f>
        <v>0.24558215359426391</v>
      </c>
      <c r="F19" s="3">
        <f>((869.746*100)/6995.94)</f>
        <v>12.432153506176439</v>
      </c>
    </row>
    <row r="20" spans="1:6" x14ac:dyDescent="0.25">
      <c r="A20" s="4">
        <v>2017</v>
      </c>
      <c r="B20" s="2">
        <f>((53343.1*100)/249896.7)</f>
        <v>21.346060192071363</v>
      </c>
      <c r="C20" s="2">
        <f>((4338.72*100)/58644.7)</f>
        <v>7.3983156193142774</v>
      </c>
      <c r="D20" s="3">
        <f>((47488.4*100)/214988.1)</f>
        <v>22.088850499167162</v>
      </c>
      <c r="E20" s="3">
        <f>((27.599*100)/8679.83)</f>
        <v>0.31796705695848881</v>
      </c>
      <c r="F20" s="3">
        <f>((1488.29*100)/7888.49)</f>
        <v>18.866601846487733</v>
      </c>
    </row>
    <row r="21" spans="1:6" x14ac:dyDescent="0.25">
      <c r="A21" s="4">
        <v>2018</v>
      </c>
      <c r="B21" s="2">
        <f>((69678.4*100)/268773.5)</f>
        <v>25.924579618154315</v>
      </c>
      <c r="C21" s="2">
        <f>((4223.85*100)/61781.5)</f>
        <v>6.836755339381531</v>
      </c>
      <c r="D21" s="2">
        <f>((63929.6*100)/231889.5)</f>
        <v>27.56899299019576</v>
      </c>
      <c r="E21" s="2">
        <f>((25.9584*100)/9042.16)</f>
        <v>0.28708184770010708</v>
      </c>
      <c r="F21" s="2">
        <f>((1499*100)/7502.14)</f>
        <v>19.980965431196964</v>
      </c>
    </row>
    <row r="22" spans="1:6" x14ac:dyDescent="0.25">
      <c r="A22" s="4">
        <v>2019</v>
      </c>
      <c r="B22" s="2">
        <f t="shared" ref="B22" si="0">((72094.1*100)/268387.8)</f>
        <v>26.861913991619595</v>
      </c>
      <c r="C22" s="2">
        <f>((6814.08*100)/65034.1)</f>
        <v>10.477703235687125</v>
      </c>
      <c r="D22" s="2">
        <f>((63357.5*100)/221126.8)</f>
        <v>28.652112724463976</v>
      </c>
      <c r="E22" s="2">
        <f>((10.7486*100)/7967.8)</f>
        <v>0.13490047440949821</v>
      </c>
      <c r="F22" s="2">
        <f>((1911.73*100)/7680.25)</f>
        <v>24.891507437908921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López Mateo</dc:creator>
  <cp:lastModifiedBy>Tomás López Mateo</cp:lastModifiedBy>
  <dcterms:created xsi:type="dcterms:W3CDTF">2024-01-16T21:34:06Z</dcterms:created>
  <dcterms:modified xsi:type="dcterms:W3CDTF">2024-01-18T14:45:58Z</dcterms:modified>
</cp:coreProperties>
</file>