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000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N2" authorId="0">
      <text>
        <r>
          <rPr>
            <b/>
            <sz val="10"/>
            <color rgb="FF000000"/>
            <rFont val="Tahoma"/>
            <charset val="204"/>
          </rPr>
          <t>Microsoft Office User:</t>
        </r>
        <r>
          <rPr>
            <sz val="10"/>
            <color rgb="FF000000"/>
            <rFont val="Tahoma"/>
            <charset val="204"/>
          </rPr>
          <t xml:space="preserve">
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b/>
            <sz val="10"/>
            <color rgb="FF000000"/>
            <rFont val="Tahoma"/>
            <charset val="204"/>
          </rPr>
          <t>Microsoft Office User:</t>
        </r>
        <r>
          <rPr>
            <sz val="10"/>
            <color rgb="FF000000"/>
            <rFont val="Tahoma"/>
            <charset val="204"/>
          </rPr>
          <t xml:space="preserve">
ThinkTime - заполнятеся на основе ThinkTime'ов по выполнению одной итерации соотвествующего скрипта в Vugen'е</t>
        </r>
      </text>
    </comment>
    <comment ref="P2" authorId="0">
      <text>
        <r>
          <rPr>
            <b/>
            <sz val="10"/>
            <color rgb="FF000000"/>
            <rFont val="Tahoma"/>
            <charset val="204"/>
          </rPr>
          <t>Microsoft Office User:</t>
        </r>
        <r>
          <rPr>
            <sz val="10"/>
            <color rgb="FF000000"/>
            <rFont val="Tahoma"/>
            <charset val="204"/>
          </rPr>
          <t xml:space="preserve">
Общая длительность одной итерации скрипта ThinkTime + Duration, считается автоматически</t>
        </r>
      </text>
    </comment>
    <comment ref="Q2" authorId="0">
      <text>
        <r>
          <rPr>
            <b/>
            <sz val="10"/>
            <color rgb="FF000000"/>
            <rFont val="Tahoma"/>
            <charset val="204"/>
          </rPr>
          <t>Microsoft Office User:</t>
        </r>
        <r>
          <rPr>
            <sz val="10"/>
            <color rgb="FF000000"/>
            <rFont val="Tahoma"/>
            <charset val="204"/>
          </rPr>
          <t xml:space="preserve">
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b/>
            <sz val="10"/>
            <color rgb="FF000000"/>
            <rFont val="Tahoma"/>
            <charset val="204"/>
          </rPr>
          <t>Microsoft Office User:</t>
        </r>
        <r>
          <rPr>
            <sz val="10"/>
            <color rgb="FF000000"/>
            <rFont val="Tahoma"/>
            <charset val="204"/>
          </rPr>
          <t xml:space="preserve">
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<sst xmlns="http://schemas.openxmlformats.org/spreadsheetml/2006/main" count="264" uniqueCount="116">
  <si>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</si>
  <si>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</si>
  <si>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</si>
  <si>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</si>
  <si>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</si>
  <si>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</si>
  <si>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</si>
  <si>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</si>
  <si>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Операция (бизнес процесс)</t>
  </si>
  <si>
    <t>Duration</t>
  </si>
  <si>
    <t>Think_time</t>
  </si>
  <si>
    <t>Duration + 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</si>
  <si>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</si>
  <si>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</si>
  <si>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</si>
  <si>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</si>
  <si>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</si>
  <si>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</si>
  <si>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Покупка билета</t>
  </si>
  <si>
    <t>Домашняя страница</t>
  </si>
  <si>
    <t>Логин</t>
  </si>
  <si>
    <t xml:space="preserve">Удаление бронирования </t>
  </si>
  <si>
    <t>Вкладка билетов</t>
  </si>
  <si>
    <t>Регистрация новых пользователей</t>
  </si>
  <si>
    <t>Выбор даты</t>
  </si>
  <si>
    <t>Поиск билета без оплаты</t>
  </si>
  <si>
    <t>Выбор билета</t>
  </si>
  <si>
    <t>Ознакомление с путевым листом</t>
  </si>
  <si>
    <t>Список билетов</t>
  </si>
  <si>
    <t>Удалить билет</t>
  </si>
  <si>
    <t>Выход</t>
  </si>
  <si>
    <t>Регистрация</t>
  </si>
  <si>
    <t>Ввод данных пользователя</t>
  </si>
  <si>
    <t>Переход в ЛК</t>
  </si>
  <si>
    <t>Статистика с ПРОДа</t>
  </si>
  <si>
    <t>Название запроса</t>
  </si>
  <si>
    <t>Интенсивность по статистике запросов / час</t>
  </si>
  <si>
    <t>Расчетная интенсивность запросов / час</t>
  </si>
  <si>
    <t>% Соотвествия расчетанной интенсивности статистики</t>
  </si>
  <si>
    <t>ScriptName</t>
  </si>
  <si>
    <t>Расчетная интенсивность запросов / 20 мин</t>
  </si>
  <si>
    <t>Фактическая интенсивность в тесте</t>
  </si>
  <si>
    <t>% Отклонение от Профиля</t>
  </si>
  <si>
    <t>Названия строк</t>
  </si>
  <si>
    <t>Сумма по полю Итого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</si>
  <si>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</si>
  <si>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Общий итог</t>
  </si>
  <si>
    <t>Статистика операций 20 мин</t>
  </si>
  <si>
    <t>pacing сек</t>
  </si>
  <si>
    <t>Кол-во в минуту</t>
  </si>
  <si>
    <t>мин</t>
  </si>
  <si>
    <t>vu</t>
  </si>
  <si>
    <t>округл</t>
  </si>
  <si>
    <t>Операций 20 мин</t>
  </si>
  <si>
    <t>Логин и логаут</t>
  </si>
  <si>
    <t>Удаление брони</t>
  </si>
  <si>
    <t>Поиск билета</t>
  </si>
  <si>
    <t>Просмотр текущих бронирований</t>
  </si>
  <si>
    <t>Имя в статистике</t>
  </si>
  <si>
    <t>Имя в скрипте</t>
  </si>
  <si>
    <t>open_home_page</t>
  </si>
  <si>
    <t>login</t>
  </si>
  <si>
    <t>click_flights</t>
  </si>
  <si>
    <t>find_flight</t>
  </si>
  <si>
    <t>Transaction Name</t>
  </si>
  <si>
    <t>SLA Status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</si>
  <si>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</si>
  <si>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</si>
  <si>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</si>
  <si>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</si>
  <si>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</si>
  <si>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</si>
  <si>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</si>
  <si>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</si>
  <si>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t>Action_Transaction</t>
  </si>
  <si>
    <t>No Data</t>
  </si>
  <si>
    <t>browsingItenerary</t>
  </si>
  <si>
    <t>CancelingFlight</t>
  </si>
  <si>
    <t>choseFlightTime</t>
  </si>
  <si>
    <t>continueButtonClick</t>
  </si>
  <si>
    <t>flightsBottonClick</t>
  </si>
  <si>
    <t>logout</t>
  </si>
  <si>
    <t>newUserRegistration</t>
  </si>
  <si>
    <t>openHomePage</t>
  </si>
  <si>
    <t>paymentDetails</t>
  </si>
  <si>
    <t>signUpNowButtonClick</t>
  </si>
  <si>
    <t>startFindingFlights</t>
  </si>
  <si>
    <t>UC_01_LoginLogout</t>
  </si>
  <si>
    <t>UC_02_TicketSearchWithoutBuying</t>
  </si>
  <si>
    <t>UC_03_TicketBuying</t>
  </si>
  <si>
    <t>UC_04_ItineraryListBrowsing</t>
  </si>
  <si>
    <t>UC_06_RegistraitionRandomUser</t>
  </si>
  <si>
    <t>UC_07_TicketSearchWithoutBuyingWithFlightSelection</t>
  </si>
  <si>
    <t>Профиль для 5 пользаков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</si>
  <si>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</si>
  <si>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</si>
  <si>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</si>
  <si>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</si>
  <si>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</si>
  <si>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Вход в систему</t>
  </si>
  <si>
    <t>Заполнение полей для поиска билета</t>
  </si>
  <si>
    <t>fing_flight</t>
  </si>
  <si>
    <t>Выбор рейса из найденных</t>
  </si>
  <si>
    <t>select_ticket</t>
  </si>
  <si>
    <t>Оплата билета</t>
  </si>
  <si>
    <t>payment_details</t>
  </si>
  <si>
    <t>Просмотр квитанции</t>
  </si>
  <si>
    <t>Check_ticket</t>
  </si>
  <si>
    <t>Отмена бронирования билета</t>
  </si>
  <si>
    <t>Cancel_reservation</t>
  </si>
  <si>
    <t>Выход из системы</t>
  </si>
  <si>
    <t>Поиск максимума 3 ступень</t>
  </si>
  <si>
    <t>Подтверждение максимума</t>
  </si>
  <si>
    <t>1 315,</t>
  </si>
  <si>
    <t>1 970,</t>
  </si>
  <si>
    <t>1 675,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</si>
</sst>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  <numFmt numFmtId="181" formatCode="0.0"/>
    <numFmt numFmtId="182" formatCode="0.0000"/>
  </numFmts>
  <fonts count="30">
    <font>
      <sz val="11"/>
      <color theme="1"/>
      <name val="Calibri"/>
      <charset val="134"/>
      <scheme val="minor"/>
    </font>
    <font>
      <b/>
      <sz val="11"/>
      <color theme="1"/>
      <name val="Times New Roman"/>
      <charset val="204"/>
    </font>
    <font>
      <b/>
      <sz val="12"/>
      <color rgb="FF000000"/>
      <name val="Times New Roman"/>
      <charset val="204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b/>
      <sz val="11"/>
      <name val="Times New Roman"/>
      <charset val="204"/>
    </font>
    <font>
      <sz val="14"/>
      <color theme="1"/>
      <name val="Calibri"/>
      <charset val="134"/>
      <scheme val="minor"/>
    </font>
    <font>
      <sz val="14"/>
      <color rgb="FF000000"/>
      <name val="Times New Roman"/>
      <charset val="204"/>
    </font>
    <font>
      <b/>
      <sz val="14"/>
      <color rgb="FF000000"/>
      <name val="Times New Roman"/>
      <charset val="204"/>
    </font>
    <font>
      <sz val="11"/>
      <color theme="0" tint="-0.24997711111789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204"/>
      <scheme val="minor"/>
    </font>
    <font>
      <sz val="18"/>
      <color theme="3"/>
      <name val="Calibri Light"/>
      <charset val="204"/>
      <scheme val="major"/>
    </font>
    <font>
      <i/>
      <sz val="11"/>
      <color rgb="FF7F7F7F"/>
      <name val="Calibri"/>
      <charset val="204"/>
      <scheme val="minor"/>
    </font>
    <font>
      <b/>
      <sz val="15"/>
      <color theme="3"/>
      <name val="Calibri"/>
      <charset val="204"/>
      <scheme val="minor"/>
    </font>
    <font>
      <b/>
      <sz val="13"/>
      <color theme="3"/>
      <name val="Calibri"/>
      <charset val="204"/>
      <scheme val="minor"/>
    </font>
    <font>
      <b/>
      <sz val="11"/>
      <color theme="3"/>
      <name val="Calibri"/>
      <charset val="204"/>
      <scheme val="minor"/>
    </font>
    <font>
      <sz val="11"/>
      <color rgb="FF3F3F76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b/>
      <sz val="11"/>
      <color rgb="FFFA7D00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sz val="11"/>
      <color rgb="FFFA7D00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9C5700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9C6500"/>
      <name val="Calibri"/>
      <charset val="204"/>
      <scheme val="minor"/>
    </font>
    <font>
      <b/>
      <sz val="10"/>
      <color rgb="FF000000"/>
      <name val="Tahoma"/>
      <charset val="204"/>
    </font>
    <font>
      <sz val="10"/>
      <color rgb="FF000000"/>
      <name val="Tahoma"/>
      <charset val="204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0" applyNumberFormat="0" applyFont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1" applyNumberFormat="0" applyFill="0" applyAlignment="0" applyProtection="0"/>
    <xf numFmtId="0" fontId="16" fillId="0" borderId="22" applyNumberFormat="0" applyFill="0" applyAlignment="0" applyProtection="0"/>
    <xf numFmtId="0" fontId="17" fillId="0" borderId="23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24" applyNumberFormat="0" applyAlignment="0" applyProtection="0"/>
    <xf numFmtId="0" fontId="19" fillId="13" borderId="25" applyNumberFormat="0" applyAlignment="0" applyProtection="0"/>
    <xf numFmtId="0" fontId="20" fillId="13" borderId="24" applyNumberFormat="0" applyAlignment="0" applyProtection="0"/>
    <xf numFmtId="0" fontId="21" fillId="14" borderId="26" applyNumberFormat="0" applyAlignment="0" applyProtection="0"/>
    <xf numFmtId="0" fontId="22" fillId="0" borderId="27" applyNumberFormat="0" applyFill="0" applyAlignment="0" applyProtection="0"/>
    <xf numFmtId="0" fontId="3" fillId="0" borderId="28" applyNumberFormat="0" applyFill="0" applyAlignment="0" applyProtection="0"/>
    <xf numFmtId="0" fontId="23" fillId="15" borderId="0" applyNumberFormat="0" applyBorder="0" applyAlignment="0" applyProtection="0"/>
    <xf numFmtId="0" fontId="24" fillId="16" borderId="0" applyNumberFormat="0" applyBorder="0" applyAlignment="0" applyProtection="0"/>
    <xf numFmtId="0" fontId="25" fillId="17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5" borderId="0" applyNumberFormat="0" applyBorder="0" applyAlignment="0" applyProtection="0"/>
    <xf numFmtId="0" fontId="4" fillId="20" borderId="0" applyNumberFormat="0" applyBorder="0" applyAlignment="0" applyProtection="0"/>
    <xf numFmtId="0" fontId="26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6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6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10" borderId="0" applyNumberFormat="0" applyBorder="0" applyAlignment="0" applyProtection="0"/>
    <xf numFmtId="0" fontId="4" fillId="7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5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4" borderId="0" applyNumberFormat="0" applyBorder="0" applyAlignment="0" applyProtection="0"/>
    <xf numFmtId="0" fontId="26" fillId="7" borderId="0" applyNumberFormat="0" applyBorder="0" applyAlignment="0" applyProtection="0"/>
    <xf numFmtId="0" fontId="27" fillId="1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11" borderId="20" applyNumberFormat="0" applyFont="0" applyAlignment="0" applyProtection="0"/>
    <xf numFmtId="0" fontId="4" fillId="11" borderId="20" applyNumberFormat="0" applyFont="0" applyAlignment="0" applyProtection="0"/>
  </cellStyleXfs>
  <cellXfs count="77">
    <xf numFmtId="0" fontId="0" fillId="0" borderId="0" xfId="0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2" xfId="68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2" xfId="68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4" fillId="0" borderId="2" xfId="69" applyBorder="1"/>
    <xf numFmtId="0" fontId="4" fillId="0" borderId="0" xfId="69"/>
    <xf numFmtId="10" fontId="1" fillId="0" borderId="2" xfId="0" applyNumberFormat="1" applyFont="1" applyBorder="1" applyAlignment="1">
      <alignment horizontal="center" vertical="top"/>
    </xf>
    <xf numFmtId="10" fontId="5" fillId="0" borderId="2" xfId="0" applyNumberFormat="1" applyFont="1" applyBorder="1" applyAlignment="1">
      <alignment horizontal="center" vertical="top"/>
    </xf>
    <xf numFmtId="10" fontId="1" fillId="0" borderId="2" xfId="0" applyNumberFormat="1" applyFont="1" applyBorder="1" applyAlignment="1">
      <alignment horizontal="left" vertical="top"/>
    </xf>
    <xf numFmtId="10" fontId="5" fillId="0" borderId="2" xfId="0" applyNumberFormat="1" applyFont="1" applyBorder="1" applyAlignment="1">
      <alignment horizontal="left" vertical="top"/>
    </xf>
    <xf numFmtId="0" fontId="4" fillId="0" borderId="0" xfId="70"/>
    <xf numFmtId="0" fontId="0" fillId="4" borderId="2" xfId="0" applyFill="1" applyBorder="1"/>
    <xf numFmtId="0" fontId="0" fillId="4" borderId="3" xfId="0" applyFill="1" applyBorder="1"/>
    <xf numFmtId="0" fontId="0" fillId="0" borderId="4" xfId="0" applyBorder="1"/>
    <xf numFmtId="2" fontId="0" fillId="0" borderId="0" xfId="0" applyNumberFormat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6" fillId="6" borderId="12" xfId="0" applyFont="1" applyFill="1" applyBorder="1" applyAlignment="1">
      <alignment vertical="center" wrapText="1"/>
    </xf>
    <xf numFmtId="0" fontId="6" fillId="6" borderId="13" xfId="0" applyFont="1" applyFill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14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7" fillId="6" borderId="13" xfId="0" applyFont="1" applyFill="1" applyBorder="1" applyAlignment="1">
      <alignment horizontal="center" vertical="center" wrapText="1"/>
    </xf>
    <xf numFmtId="1" fontId="0" fillId="0" borderId="15" xfId="0" applyNumberFormat="1" applyBorder="1"/>
    <xf numFmtId="9" fontId="0" fillId="0" borderId="16" xfId="3" applyNumberFormat="1" applyFont="1" applyBorder="1"/>
    <xf numFmtId="9" fontId="0" fillId="0" borderId="0" xfId="3" applyFont="1" applyBorder="1"/>
    <xf numFmtId="0" fontId="0" fillId="0" borderId="14" xfId="0" applyBorder="1"/>
    <xf numFmtId="1" fontId="0" fillId="7" borderId="2" xfId="0" applyNumberFormat="1" applyFill="1" applyBorder="1"/>
    <xf numFmtId="0" fontId="0" fillId="4" borderId="0" xfId="0" applyFill="1"/>
    <xf numFmtId="0" fontId="7" fillId="6" borderId="12" xfId="0" applyFont="1" applyFill="1" applyBorder="1" applyAlignment="1">
      <alignment horizontal="left" vertical="center" wrapText="1"/>
    </xf>
    <xf numFmtId="9" fontId="0" fillId="0" borderId="3" xfId="3" applyNumberFormat="1" applyFont="1" applyBorder="1"/>
    <xf numFmtId="2" fontId="0" fillId="0" borderId="0" xfId="3" applyNumberFormat="1" applyFont="1" applyBorder="1"/>
    <xf numFmtId="180" fontId="0" fillId="0" borderId="0" xfId="3" applyNumberFormat="1" applyFont="1" applyBorder="1"/>
    <xf numFmtId="0" fontId="8" fillId="6" borderId="17" xfId="0" applyFont="1" applyFill="1" applyBorder="1" applyAlignment="1">
      <alignment horizontal="left" vertical="center" wrapText="1"/>
    </xf>
    <xf numFmtId="0" fontId="7" fillId="6" borderId="18" xfId="0" applyFont="1" applyFill="1" applyBorder="1" applyAlignment="1">
      <alignment horizontal="center" vertical="center" wrapText="1"/>
    </xf>
    <xf numFmtId="1" fontId="7" fillId="0" borderId="14" xfId="0" applyNumberFormat="1" applyFont="1" applyBorder="1" applyAlignment="1">
      <alignment horizontal="center" vertical="center" wrapText="1"/>
    </xf>
    <xf numFmtId="9" fontId="0" fillId="0" borderId="2" xfId="3" applyNumberFormat="1" applyFont="1" applyBorder="1"/>
    <xf numFmtId="0" fontId="0" fillId="0" borderId="0" xfId="0" applyAlignment="1">
      <alignment horizontal="center"/>
    </xf>
    <xf numFmtId="0" fontId="0" fillId="6" borderId="2" xfId="0" applyFill="1" applyBorder="1"/>
    <xf numFmtId="1" fontId="0" fillId="6" borderId="2" xfId="0" applyNumberFormat="1" applyFill="1" applyBorder="1"/>
    <xf numFmtId="1" fontId="0" fillId="8" borderId="2" xfId="0" applyNumberFormat="1" applyFill="1" applyBorder="1"/>
    <xf numFmtId="181" fontId="0" fillId="5" borderId="2" xfId="0" applyNumberFormat="1" applyFill="1" applyBorder="1"/>
    <xf numFmtId="1" fontId="0" fillId="5" borderId="2" xfId="0" applyNumberFormat="1" applyFill="1" applyBorder="1"/>
    <xf numFmtId="181" fontId="0" fillId="8" borderId="0" xfId="0" applyNumberFormat="1" applyFill="1"/>
    <xf numFmtId="1" fontId="0" fillId="0" borderId="0" xfId="0" applyNumberFormat="1" applyFill="1"/>
    <xf numFmtId="0" fontId="0" fillId="0" borderId="0" xfId="0" applyFill="1"/>
    <xf numFmtId="0" fontId="0" fillId="0" borderId="0" xfId="0" applyNumberFormat="1"/>
    <xf numFmtId="0" fontId="0" fillId="9" borderId="2" xfId="0" applyFill="1" applyBorder="1"/>
    <xf numFmtId="1" fontId="0" fillId="9" borderId="2" xfId="0" applyNumberFormat="1" applyFill="1" applyBorder="1"/>
    <xf numFmtId="1" fontId="0" fillId="0" borderId="2" xfId="0" applyNumberFormat="1" applyFill="1" applyBorder="1"/>
    <xf numFmtId="1" fontId="0" fillId="9" borderId="19" xfId="0" applyNumberFormat="1" applyFill="1" applyBorder="1"/>
    <xf numFmtId="9" fontId="0" fillId="10" borderId="2" xfId="3" applyFont="1" applyFill="1" applyBorder="1"/>
    <xf numFmtId="0" fontId="0" fillId="0" borderId="0" xfId="0" applyAlignment="1">
      <alignment horizontal="left"/>
    </xf>
    <xf numFmtId="9" fontId="0" fillId="0" borderId="0" xfId="3" applyFont="1"/>
    <xf numFmtId="0" fontId="0" fillId="0" borderId="0" xfId="0" applyFill="1" applyAlignment="1">
      <alignment horizontal="left"/>
    </xf>
    <xf numFmtId="0" fontId="9" fillId="0" borderId="0" xfId="0" applyFont="1"/>
    <xf numFmtId="0" fontId="0" fillId="0" borderId="0" xfId="0" applyFont="1"/>
    <xf numFmtId="0" fontId="0" fillId="8" borderId="2" xfId="0" applyFill="1" applyBorder="1"/>
    <xf numFmtId="182" fontId="0" fillId="0" borderId="0" xfId="0" applyNumberFormat="1"/>
    <xf numFmtId="1" fontId="9" fillId="0" borderId="0" xfId="0" applyNumberFormat="1" applyFont="1"/>
    <xf numFmtId="9" fontId="0" fillId="0" borderId="0" xfId="0" applyNumberFormat="1" applyFont="1"/>
    <xf numFmtId="9" fontId="0" fillId="0" borderId="0" xfId="0" applyNumberFormat="1"/>
    <xf numFmtId="0" fontId="0" fillId="0" borderId="0" xfId="0" applyNumberFormat="1" applyFill="1"/>
  </cellXfs>
  <cellStyles count="73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20% — акцент1 2" xfId="49"/>
    <cellStyle name="20% — акцент2 2" xfId="50"/>
    <cellStyle name="20% — акцент3 2" xfId="51"/>
    <cellStyle name="20% — акцент4 2" xfId="52"/>
    <cellStyle name="20% — акцент5 2" xfId="53"/>
    <cellStyle name="20% — акцент6 2" xfId="54"/>
    <cellStyle name="40% — акцент1 2" xfId="55"/>
    <cellStyle name="40% — акцент2 2" xfId="56"/>
    <cellStyle name="40% — акцент3 2" xfId="57"/>
    <cellStyle name="40% — акцент4 2" xfId="58"/>
    <cellStyle name="40% — акцент5 2" xfId="59"/>
    <cellStyle name="40% — акцент6 2" xfId="60"/>
    <cellStyle name="60% — акцент1 2" xfId="61"/>
    <cellStyle name="60% — акцент2 2" xfId="62"/>
    <cellStyle name="60% — акцент3 2" xfId="63"/>
    <cellStyle name="60% — акцент4 2" xfId="64"/>
    <cellStyle name="60% — акцент5 2" xfId="65"/>
    <cellStyle name="60% — акцент6 2" xfId="66"/>
    <cellStyle name="Нейтральный 2" xfId="67"/>
    <cellStyle name="Обычный 2" xfId="68"/>
    <cellStyle name="Обычный 3" xfId="69"/>
    <cellStyle name="Обычный 4" xfId="70"/>
    <cellStyle name="Примечание 2" xfId="71"/>
    <cellStyle name="Примечание 3" xfId="72"/>
  </cellStyles>
  <dxfs count="7">
    <dxf>
      <numFmt numFmtId="183" formatCode="0.000000"/>
    </dxf>
    <dxf>
      <numFmt numFmtId="184" formatCode="0.00000"/>
    </dxf>
    <dxf>
      <numFmt numFmtId="182" formatCode="0.0000"/>
    </dxf>
    <dxf>
      <numFmt numFmtId="185" formatCode="0.000"/>
    </dxf>
    <dxf>
      <numFmt numFmtId="2" formatCode="0.00"/>
    </dxf>
    <dxf>
      <numFmt numFmtId="181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5" minRefreshableVersion="3" refreshedDate="45586.9590277778" refreshedBy="Nastya" recordCount="30">
  <cacheSource type="worksheet">
    <worksheetSource ref="A1:H31" sheet="Автоматизированный расчет"/>
  </cacheSource>
  <cacheFields count="8">
    <cacheField name="Script name" numFmtId="0">
      <sharedItems count="6">
        <s v="Покупка билета"/>
        <s v="Удаление бронирования "/>
        <s v="Регистрация новых пользователей"/>
        <s v="Логин"/>
        <s v="Поиск билета без оплаты"/>
        <s v="Ознакомление с путевым листом"/>
      </sharedItems>
    </cacheField>
    <cacheField name="transaction rq" numFmtId="0">
      <sharedItems containsBlank="1" count="26">
        <s v="Домашняя страница"/>
        <s v="Логин"/>
        <s v="Вкладка билетов"/>
        <s v="Выбор даты"/>
        <s v="Выбор билета"/>
        <s v="Покупка билета"/>
        <s v="Список билетов"/>
        <s v="Удалить билет"/>
        <s v="Выход"/>
        <s v="Регистрация"/>
        <s v="Ввод данных пользователя"/>
        <s v="Переход в ЛК"/>
        <m u="1"/>
        <s v="Заполнение полей для поиска билета " u="1"/>
        <s v="Выбор рейса из найденных " u="1"/>
        <s v="Оплата билета" u="1"/>
        <s v="Просмотр квитанций" u="1"/>
        <s v="Главная Welcome страница" u="1"/>
        <s v="Вход в систему" u="1"/>
        <s v="Отмена бронирования " u="1"/>
        <s v="Выход из системы" u="1"/>
        <s v="Перход на страницу регистрации" u="1"/>
        <s v="Заполнение полей регистарции" u="1"/>
        <s v="Переход на следуюущий эран после регистарции" u="1"/>
        <s v="Переход на страницу поиска билетов" u="1"/>
        <s v="Переход на страницу поиска билетов " u="1"/>
      </sharedItems>
    </cacheField>
    <cacheField name="count" numFmtId="0">
      <sharedItems containsSemiMixedTypes="0" containsString="0" containsNumber="1" containsInteger="1" minValue="1" maxValue="1" count="1">
        <n v="1"/>
      </sharedItems>
    </cacheField>
    <cacheField name="VU" numFmtId="0">
      <sharedItems containsSemiMixedTypes="0" containsString="0" containsNumber="1" containsInteger="1" minValue="1" maxValue="3" count="3">
        <n v="3"/>
        <n v="1"/>
        <n v="2"/>
      </sharedItems>
    </cacheField>
    <cacheField name="pacing" numFmtId="0">
      <sharedItems containsSemiMixedTypes="0" containsString="0" containsNumber="1" containsInteger="1" minValue="49" maxValue="80" count="5">
        <n v="63"/>
        <n v="49"/>
        <n v="74"/>
        <n v="80"/>
        <n v="78"/>
      </sharedItems>
    </cacheField>
    <cacheField name="одним пользователем в минуту" numFmtId="2">
      <sharedItems containsSemiMixedTypes="0" containsString="0" containsNumber="1" minValue="0.75" maxValue="1.22448979591837" count="5">
        <n v="0.952380952380952"/>
        <n v="1.22448979591837"/>
        <n v="0.810810810810811"/>
        <n v="0.75"/>
        <n v="0.769230769230769"/>
      </sharedItems>
    </cacheField>
    <cacheField name="Длительность ступени" numFmtId="0">
      <sharedItems containsSemiMixedTypes="0" containsString="0" containsNumber="1" containsInteger="1" minValue="20" maxValue="20" count="1">
        <n v="20"/>
      </sharedItems>
    </cacheField>
    <cacheField name="Итого" numFmtId="1">
      <sharedItems containsSemiMixedTypes="0" containsString="0" containsNumber="1" minValue="15" maxValue="57.1428571428571" count="5">
        <n v="57.1428571428571"/>
        <n v="24.4897959183674"/>
        <n v="32.4324324324324"/>
        <n v="15"/>
        <n v="15.384615384615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  <x v="0"/>
    <x v="0"/>
  </r>
  <r>
    <x v="0"/>
    <x v="1"/>
    <x v="0"/>
    <x v="0"/>
    <x v="0"/>
    <x v="0"/>
    <x v="0"/>
    <x v="0"/>
  </r>
  <r>
    <x v="0"/>
    <x v="2"/>
    <x v="0"/>
    <x v="0"/>
    <x v="0"/>
    <x v="0"/>
    <x v="0"/>
    <x v="0"/>
  </r>
  <r>
    <x v="0"/>
    <x v="3"/>
    <x v="0"/>
    <x v="0"/>
    <x v="0"/>
    <x v="0"/>
    <x v="0"/>
    <x v="0"/>
  </r>
  <r>
    <x v="0"/>
    <x v="4"/>
    <x v="0"/>
    <x v="0"/>
    <x v="0"/>
    <x v="0"/>
    <x v="0"/>
    <x v="0"/>
  </r>
  <r>
    <x v="0"/>
    <x v="5"/>
    <x v="0"/>
    <x v="0"/>
    <x v="0"/>
    <x v="0"/>
    <x v="0"/>
    <x v="0"/>
  </r>
  <r>
    <x v="0"/>
    <x v="6"/>
    <x v="0"/>
    <x v="0"/>
    <x v="0"/>
    <x v="0"/>
    <x v="0"/>
    <x v="0"/>
  </r>
  <r>
    <x v="1"/>
    <x v="0"/>
    <x v="0"/>
    <x v="1"/>
    <x v="1"/>
    <x v="1"/>
    <x v="0"/>
    <x v="1"/>
  </r>
  <r>
    <x v="1"/>
    <x v="1"/>
    <x v="0"/>
    <x v="1"/>
    <x v="1"/>
    <x v="1"/>
    <x v="0"/>
    <x v="1"/>
  </r>
  <r>
    <x v="1"/>
    <x v="6"/>
    <x v="0"/>
    <x v="1"/>
    <x v="1"/>
    <x v="1"/>
    <x v="0"/>
    <x v="1"/>
  </r>
  <r>
    <x v="1"/>
    <x v="7"/>
    <x v="0"/>
    <x v="1"/>
    <x v="1"/>
    <x v="1"/>
    <x v="0"/>
    <x v="1"/>
  </r>
  <r>
    <x v="1"/>
    <x v="8"/>
    <x v="0"/>
    <x v="1"/>
    <x v="1"/>
    <x v="1"/>
    <x v="0"/>
    <x v="1"/>
  </r>
  <r>
    <x v="2"/>
    <x v="0"/>
    <x v="0"/>
    <x v="2"/>
    <x v="2"/>
    <x v="2"/>
    <x v="0"/>
    <x v="2"/>
  </r>
  <r>
    <x v="2"/>
    <x v="9"/>
    <x v="0"/>
    <x v="2"/>
    <x v="2"/>
    <x v="2"/>
    <x v="0"/>
    <x v="2"/>
  </r>
  <r>
    <x v="2"/>
    <x v="10"/>
    <x v="0"/>
    <x v="2"/>
    <x v="2"/>
    <x v="2"/>
    <x v="0"/>
    <x v="2"/>
  </r>
  <r>
    <x v="2"/>
    <x v="11"/>
    <x v="0"/>
    <x v="2"/>
    <x v="2"/>
    <x v="2"/>
    <x v="0"/>
    <x v="2"/>
  </r>
  <r>
    <x v="2"/>
    <x v="8"/>
    <x v="0"/>
    <x v="2"/>
    <x v="2"/>
    <x v="2"/>
    <x v="0"/>
    <x v="2"/>
  </r>
  <r>
    <x v="3"/>
    <x v="0"/>
    <x v="0"/>
    <x v="1"/>
    <x v="3"/>
    <x v="3"/>
    <x v="0"/>
    <x v="3"/>
  </r>
  <r>
    <x v="3"/>
    <x v="1"/>
    <x v="0"/>
    <x v="1"/>
    <x v="3"/>
    <x v="3"/>
    <x v="0"/>
    <x v="3"/>
  </r>
  <r>
    <x v="3"/>
    <x v="2"/>
    <x v="0"/>
    <x v="1"/>
    <x v="3"/>
    <x v="3"/>
    <x v="0"/>
    <x v="3"/>
  </r>
  <r>
    <x v="4"/>
    <x v="0"/>
    <x v="0"/>
    <x v="2"/>
    <x v="2"/>
    <x v="2"/>
    <x v="0"/>
    <x v="2"/>
  </r>
  <r>
    <x v="4"/>
    <x v="1"/>
    <x v="0"/>
    <x v="2"/>
    <x v="2"/>
    <x v="2"/>
    <x v="0"/>
    <x v="2"/>
  </r>
  <r>
    <x v="4"/>
    <x v="2"/>
    <x v="0"/>
    <x v="2"/>
    <x v="2"/>
    <x v="2"/>
    <x v="0"/>
    <x v="2"/>
  </r>
  <r>
    <x v="4"/>
    <x v="3"/>
    <x v="0"/>
    <x v="2"/>
    <x v="2"/>
    <x v="2"/>
    <x v="0"/>
    <x v="2"/>
  </r>
  <r>
    <x v="4"/>
    <x v="4"/>
    <x v="0"/>
    <x v="2"/>
    <x v="2"/>
    <x v="2"/>
    <x v="0"/>
    <x v="2"/>
  </r>
  <r>
    <x v="4"/>
    <x v="8"/>
    <x v="0"/>
    <x v="2"/>
    <x v="2"/>
    <x v="2"/>
    <x v="0"/>
    <x v="2"/>
  </r>
  <r>
    <x v="5"/>
    <x v="0"/>
    <x v="0"/>
    <x v="1"/>
    <x v="4"/>
    <x v="4"/>
    <x v="0"/>
    <x v="4"/>
  </r>
  <r>
    <x v="5"/>
    <x v="1"/>
    <x v="0"/>
    <x v="1"/>
    <x v="4"/>
    <x v="4"/>
    <x v="0"/>
    <x v="4"/>
  </r>
  <r>
    <x v="5"/>
    <x v="6"/>
    <x v="0"/>
    <x v="1"/>
    <x v="4"/>
    <x v="4"/>
    <x v="0"/>
    <x v="4"/>
  </r>
  <r>
    <x v="5"/>
    <x v="8"/>
    <x v="0"/>
    <x v="1"/>
    <x v="4"/>
    <x v="4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utoFormatId="1" applyNumberFormats="0" applyBorderFormats="0" applyFontFormats="0" applyPatternFormats="0" applyAlignmentFormats="0" applyWidthHeightFormats="1" dataCaption="Значения" updatedVersion="5" minRefreshableVersion="3" createdVersion="6" useAutoFormatting="1" indent="0" outline="1" outlineData="1" showDrill="1" multipleFieldFilters="0">
  <location ref="K37:L50" firstHeaderRow="1" firstDataRow="1" firstDataCol="1"/>
  <pivotFields count="8">
    <pivotField showAll="0">
      <items count="7">
        <item x="3"/>
        <item x="5"/>
        <item x="0"/>
        <item x="2"/>
        <item x="1"/>
        <item x="4"/>
        <item t="default"/>
      </items>
    </pivotField>
    <pivotField axis="axisRow" showAll="0">
      <items count="27">
        <item m="1" x="18"/>
        <item m="1" x="14"/>
        <item m="1" x="20"/>
        <item m="1" x="13"/>
        <item m="1" x="15"/>
        <item m="1" x="19"/>
        <item m="1" x="16"/>
        <item m="1" x="17"/>
        <item m="1" x="21"/>
        <item m="1" x="22"/>
        <item m="1" x="23"/>
        <item m="1" x="25"/>
        <item m="1" x="24"/>
        <item x="0"/>
        <item x="1"/>
        <item x="2"/>
        <item x="3"/>
        <item x="4"/>
        <item x="5"/>
        <item x="6"/>
        <item x="8"/>
        <item x="7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>
      <items count="6">
        <item x="2"/>
        <item x="1"/>
        <item x="4"/>
        <item x="3"/>
        <item x="0"/>
        <item t="default"/>
      </items>
    </pivotField>
  </pivotFields>
  <rowFields count="1">
    <field x="1"/>
  </rowFields>
  <row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  <format dxfId="3">
      <pivotArea outline="0" collapsedLevelsAreSubtotals="1" fieldPosition="0"/>
    </format>
    <format dxfId="4">
      <pivotArea outline="0" collapsedLevelsAreSubtotals="1" fieldPosition="0"/>
    </format>
    <format dxfId="5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ivotTable" Target="../pivotTables/pivotTable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6"/>
  <sheetViews>
    <sheetView tabSelected="1" zoomScale="80" zoomScaleNormal="80" topLeftCell="K1" workbookViewId="0">
      <selection activeCell="V4" sqref="V4"/>
    </sheetView>
  </sheetViews>
  <sheetFormatPr defaultColWidth="11.4259259259259" defaultRowHeight="14.4"/>
  <cols>
    <col min="1" max="1" width="31.712962962963" customWidth="1"/>
    <col min="2" max="2" width="31.4259259259259" customWidth="1"/>
    <col min="3" max="3" width="18.1388888888889" customWidth="1"/>
    <col min="4" max="4" width="17.8611111111111" customWidth="1"/>
    <col min="5" max="5" width="19.1388888888889" customWidth="1"/>
    <col min="7" max="7" width="18.712962962963" customWidth="1"/>
    <col min="8" max="8" width="17" customWidth="1"/>
    <col min="9" max="9" width="48.2222222222222"/>
    <col min="10" max="10" width="22.4444444444444"/>
    <col min="11" max="11" width="27.1111111111111"/>
    <col min="12" max="12" width="22.4444444444444"/>
    <col min="13" max="13" width="35.1388888888889" customWidth="1"/>
    <col min="14" max="14" width="17.8611111111111" customWidth="1"/>
    <col min="15" max="15" width="23.8611111111111" customWidth="1"/>
    <col min="16" max="16" width="23.4259259259259" customWidth="1"/>
    <col min="17" max="17" width="26" customWidth="1"/>
    <col min="18" max="18" width="10.5740740740741" customWidth="1"/>
    <col min="19" max="19" width="33.8888888888889" customWidth="1"/>
  </cols>
  <sheetData>
    <row r="1" ht="15.15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3</v>
      </c>
      <c r="S1" t="s">
        <v>13</v>
      </c>
      <c r="T1" s="69" t="s">
        <v>14</v>
      </c>
      <c r="U1" s="69" t="s">
        <v>15</v>
      </c>
      <c r="V1" s="70" t="s">
        <v>16</v>
      </c>
      <c r="X1" t="s">
        <v>17</v>
      </c>
    </row>
    <row r="2" spans="1:23">
      <c r="A2" s="17" t="s">
        <v>18</v>
      </c>
      <c r="B2" s="17" t="s">
        <v>19</v>
      </c>
      <c r="C2" s="18">
        <v>1</v>
      </c>
      <c r="D2" s="19">
        <f t="shared" ref="D2:D11" si="0">VLOOKUP(A2,$M$1:$W$9,6,FALSE)</f>
        <v>3</v>
      </c>
      <c r="E2">
        <f>VLOOKUP(A2,$M$1:$W$9,5,FALSE)</f>
        <v>63</v>
      </c>
      <c r="F2" s="20">
        <f>60/E2*C2</f>
        <v>0.952380952380952</v>
      </c>
      <c r="G2">
        <f>VLOOKUP(A2,$M$1:$W$9,8,FALSE)</f>
        <v>20</v>
      </c>
      <c r="H2" s="21">
        <f>D2*F2*G2</f>
        <v>57.1428571428571</v>
      </c>
      <c r="I2" s="21">
        <f>H2*3</f>
        <v>171.428571428571</v>
      </c>
      <c r="K2" s="60"/>
      <c r="M2" t="s">
        <v>18</v>
      </c>
      <c r="N2" s="61">
        <v>1.2</v>
      </c>
      <c r="O2" s="62">
        <v>35</v>
      </c>
      <c r="P2" s="63">
        <f t="shared" ref="P2:P7" si="1">N2+O2</f>
        <v>36.2</v>
      </c>
      <c r="Q2" s="54">
        <v>63</v>
      </c>
      <c r="R2" s="71">
        <v>3</v>
      </c>
      <c r="S2" s="72">
        <f t="shared" ref="S2:S7" si="2">60/(Q2)</f>
        <v>0.952380952380952</v>
      </c>
      <c r="T2" s="69">
        <v>20</v>
      </c>
      <c r="U2" s="73">
        <f>ROUND(R2*S2*T2,0)</f>
        <v>57</v>
      </c>
      <c r="V2" s="74">
        <f t="shared" ref="V2:V7" si="3">R2/W$2</f>
        <v>0.3</v>
      </c>
      <c r="W2">
        <f>SUM(R2:R7)</f>
        <v>10</v>
      </c>
    </row>
    <row r="3" spans="1:22">
      <c r="A3" s="17" t="s">
        <v>18</v>
      </c>
      <c r="B3" s="17" t="s">
        <v>20</v>
      </c>
      <c r="C3" s="18">
        <v>1</v>
      </c>
      <c r="D3" s="22">
        <f t="shared" si="0"/>
        <v>3</v>
      </c>
      <c r="E3">
        <f>VLOOKUP(A3,$M$1:$W$9,5,FALSE)</f>
        <v>63</v>
      </c>
      <c r="F3" s="20">
        <f>60/E3*C3</f>
        <v>0.952380952380952</v>
      </c>
      <c r="G3">
        <f>VLOOKUP(A3,$M$1:$W$9,8,FALSE)</f>
        <v>20</v>
      </c>
      <c r="H3" s="21">
        <f>D3*F3*G3</f>
        <v>57.1428571428571</v>
      </c>
      <c r="I3" s="21">
        <f>H3*3</f>
        <v>171.428571428571</v>
      </c>
      <c r="K3" s="60"/>
      <c r="M3" t="s">
        <v>21</v>
      </c>
      <c r="N3" s="61">
        <v>1</v>
      </c>
      <c r="O3" s="62">
        <v>25</v>
      </c>
      <c r="P3" s="63">
        <f t="shared" si="1"/>
        <v>26</v>
      </c>
      <c r="Q3" s="54">
        <v>49</v>
      </c>
      <c r="R3" s="71">
        <v>1</v>
      </c>
      <c r="S3" s="72">
        <f t="shared" si="2"/>
        <v>1.22448979591837</v>
      </c>
      <c r="T3" s="69">
        <v>20</v>
      </c>
      <c r="U3" s="73">
        <f>ROUND(R3*S3*T3,0)</f>
        <v>24</v>
      </c>
      <c r="V3" s="74">
        <f t="shared" si="3"/>
        <v>0.1</v>
      </c>
    </row>
    <row r="4" spans="1:22">
      <c r="A4" s="17" t="s">
        <v>18</v>
      </c>
      <c r="B4" s="17" t="s">
        <v>22</v>
      </c>
      <c r="C4" s="18">
        <v>1</v>
      </c>
      <c r="D4" s="22">
        <f t="shared" si="0"/>
        <v>3</v>
      </c>
      <c r="E4">
        <f>VLOOKUP(A4,$M$1:$W$9,5,FALSE)</f>
        <v>63</v>
      </c>
      <c r="F4" s="20">
        <f>60/E4*C4</f>
        <v>0.952380952380952</v>
      </c>
      <c r="G4">
        <f>VLOOKUP(A4,$M$1:$W$9,8,FALSE)</f>
        <v>20</v>
      </c>
      <c r="H4" s="21">
        <f>D4*F4*G4</f>
        <v>57.1428571428571</v>
      </c>
      <c r="I4" s="21">
        <f>H4*3</f>
        <v>171.428571428571</v>
      </c>
      <c r="K4" s="60"/>
      <c r="M4" t="s">
        <v>23</v>
      </c>
      <c r="N4" s="61">
        <v>0.8</v>
      </c>
      <c r="O4" s="62">
        <v>25</v>
      </c>
      <c r="P4" s="63">
        <f t="shared" si="1"/>
        <v>25.8</v>
      </c>
      <c r="Q4" s="54">
        <v>74</v>
      </c>
      <c r="R4" s="71">
        <v>2</v>
      </c>
      <c r="S4" s="72">
        <f t="shared" si="2"/>
        <v>0.810810810810811</v>
      </c>
      <c r="T4" s="69">
        <v>20</v>
      </c>
      <c r="U4" s="73">
        <f>ROUND(R4*S4*T4,0)</f>
        <v>32</v>
      </c>
      <c r="V4" s="74">
        <f t="shared" si="3"/>
        <v>0.2</v>
      </c>
    </row>
    <row r="5" spans="1:22">
      <c r="A5" s="17" t="s">
        <v>18</v>
      </c>
      <c r="B5" s="17" t="s">
        <v>24</v>
      </c>
      <c r="C5" s="18">
        <v>1</v>
      </c>
      <c r="D5" s="22">
        <f t="shared" si="0"/>
        <v>3</v>
      </c>
      <c r="E5">
        <f>VLOOKUP(A5,$M$1:$W$9,5,FALSE)</f>
        <v>63</v>
      </c>
      <c r="F5" s="20">
        <f>60/E5*C5</f>
        <v>0.952380952380952</v>
      </c>
      <c r="G5">
        <f>VLOOKUP(A5,$M$1:$W$9,8,FALSE)</f>
        <v>20</v>
      </c>
      <c r="H5" s="21">
        <f>D5*F5*G5</f>
        <v>57.1428571428571</v>
      </c>
      <c r="I5" s="21">
        <f>H5*3</f>
        <v>171.428571428571</v>
      </c>
      <c r="K5" s="60"/>
      <c r="M5" t="s">
        <v>25</v>
      </c>
      <c r="N5" s="61">
        <v>1.2</v>
      </c>
      <c r="O5" s="62">
        <v>30</v>
      </c>
      <c r="P5" s="63">
        <f t="shared" si="1"/>
        <v>31.2</v>
      </c>
      <c r="Q5" s="54">
        <v>74</v>
      </c>
      <c r="R5" s="71">
        <v>2</v>
      </c>
      <c r="S5" s="72">
        <f t="shared" si="2"/>
        <v>0.810810810810811</v>
      </c>
      <c r="T5" s="69">
        <v>20</v>
      </c>
      <c r="U5" s="73">
        <f>ROUND(R5*S5*T5,0)</f>
        <v>32</v>
      </c>
      <c r="V5" s="74">
        <f t="shared" si="3"/>
        <v>0.2</v>
      </c>
    </row>
    <row r="6" spans="1:22">
      <c r="A6" s="17" t="s">
        <v>18</v>
      </c>
      <c r="B6" s="17" t="s">
        <v>26</v>
      </c>
      <c r="C6" s="18">
        <v>1</v>
      </c>
      <c r="D6" s="22">
        <f t="shared" si="0"/>
        <v>3</v>
      </c>
      <c r="E6">
        <f>VLOOKUP(A6,$M$1:$W$9,5,FALSE)</f>
        <v>63</v>
      </c>
      <c r="F6" s="20">
        <f>60/E6*C6</f>
        <v>0.952380952380952</v>
      </c>
      <c r="G6">
        <f>VLOOKUP(A6,$M$1:$W$9,8,FALSE)</f>
        <v>20</v>
      </c>
      <c r="H6" s="21">
        <f>D6*F6*G6</f>
        <v>57.1428571428571</v>
      </c>
      <c r="I6" s="21">
        <f>H6*3</f>
        <v>171.428571428571</v>
      </c>
      <c r="K6" s="60"/>
      <c r="M6" t="s">
        <v>27</v>
      </c>
      <c r="N6" s="61">
        <v>1</v>
      </c>
      <c r="O6" s="62">
        <v>20</v>
      </c>
      <c r="P6" s="63">
        <f t="shared" si="1"/>
        <v>21</v>
      </c>
      <c r="Q6" s="54">
        <v>78</v>
      </c>
      <c r="R6" s="71">
        <v>1</v>
      </c>
      <c r="S6" s="72">
        <f t="shared" si="2"/>
        <v>0.769230769230769</v>
      </c>
      <c r="T6" s="69">
        <v>20</v>
      </c>
      <c r="U6" s="73">
        <f>ROUND(R6*S6*T6,0)</f>
        <v>15</v>
      </c>
      <c r="V6" s="74">
        <f t="shared" si="3"/>
        <v>0.1</v>
      </c>
    </row>
    <row r="7" ht="15.15" spans="1:22">
      <c r="A7" s="17" t="s">
        <v>18</v>
      </c>
      <c r="B7" s="17" t="s">
        <v>18</v>
      </c>
      <c r="C7" s="18">
        <v>1</v>
      </c>
      <c r="D7" s="23">
        <f t="shared" si="0"/>
        <v>3</v>
      </c>
      <c r="E7">
        <f>VLOOKUP(A7,$M$1:$W$9,5,FALSE)</f>
        <v>63</v>
      </c>
      <c r="F7" s="20">
        <f>60/E7*C7</f>
        <v>0.952380952380952</v>
      </c>
      <c r="G7">
        <f>VLOOKUP(A7,$M$1:$W$9,8,FALSE)</f>
        <v>20</v>
      </c>
      <c r="H7" s="21">
        <f>D7*F7*G7</f>
        <v>57.1428571428571</v>
      </c>
      <c r="I7" s="21">
        <f>H7*3</f>
        <v>171.428571428571</v>
      </c>
      <c r="K7" s="60"/>
      <c r="M7" t="s">
        <v>20</v>
      </c>
      <c r="N7" s="61">
        <v>0.7</v>
      </c>
      <c r="O7" s="64">
        <v>15</v>
      </c>
      <c r="P7" s="63">
        <f t="shared" si="1"/>
        <v>15.7</v>
      </c>
      <c r="Q7" s="54">
        <v>80</v>
      </c>
      <c r="R7" s="71">
        <v>1</v>
      </c>
      <c r="S7" s="72">
        <f t="shared" si="2"/>
        <v>0.75</v>
      </c>
      <c r="T7" s="69">
        <v>20</v>
      </c>
      <c r="U7" s="73">
        <f>SUM(U2:U6)</f>
        <v>160</v>
      </c>
      <c r="V7" s="74">
        <f t="shared" si="3"/>
        <v>0.1</v>
      </c>
    </row>
    <row r="8" ht="15.15" spans="1:22">
      <c r="A8" s="17" t="s">
        <v>18</v>
      </c>
      <c r="B8" s="17" t="s">
        <v>28</v>
      </c>
      <c r="C8" s="18">
        <v>1</v>
      </c>
      <c r="D8" s="23">
        <f>VLOOKUP(A8,$M$1:$W$9,6,FALSE)</f>
        <v>3</v>
      </c>
      <c r="E8">
        <f>VLOOKUP(A8,$M$1:$W$9,5,FALSE)</f>
        <v>63</v>
      </c>
      <c r="F8" s="20">
        <f>60/E8*C8</f>
        <v>0.952380952380952</v>
      </c>
      <c r="G8">
        <f>VLOOKUP(A8,$M$1:$W$9,8,FALSE)</f>
        <v>20</v>
      </c>
      <c r="H8" s="21">
        <f>D8*F8*G8</f>
        <v>57.1428571428571</v>
      </c>
      <c r="I8" s="21">
        <f>H8*3</f>
        <v>171.428571428571</v>
      </c>
      <c r="K8" s="60"/>
      <c r="V8" s="75"/>
    </row>
    <row r="9" spans="1:22">
      <c r="A9" s="17" t="s">
        <v>21</v>
      </c>
      <c r="B9" s="17" t="s">
        <v>19</v>
      </c>
      <c r="C9" s="17">
        <v>1</v>
      </c>
      <c r="D9" s="24">
        <f>VLOOKUP(A9,$M$1:$W$9,6,FALSE)</f>
        <v>1</v>
      </c>
      <c r="E9" s="21">
        <f>VLOOKUP(A9,$M$1:$W$9,5,FALSE)</f>
        <v>49</v>
      </c>
      <c r="F9" s="20">
        <f t="shared" ref="F9:F31" si="4">60/E9*C9</f>
        <v>1.22448979591837</v>
      </c>
      <c r="G9">
        <f t="shared" ref="G9:G31" si="5">VLOOKUP(A9,$M$1:$W$9,8,FALSE)</f>
        <v>20</v>
      </c>
      <c r="H9" s="21">
        <f t="shared" ref="H9:H31" si="6">D9*F9*G9</f>
        <v>24.4897959183673</v>
      </c>
      <c r="I9" s="21">
        <f t="shared" ref="I9:I32" si="7">H9*3</f>
        <v>73.469387755102</v>
      </c>
      <c r="K9" s="60"/>
      <c r="V9" s="75">
        <f>SUM(V2:V7)</f>
        <v>1</v>
      </c>
    </row>
    <row r="10" spans="1:11">
      <c r="A10" s="17" t="s">
        <v>21</v>
      </c>
      <c r="B10" s="17" t="s">
        <v>20</v>
      </c>
      <c r="C10" s="17">
        <v>1</v>
      </c>
      <c r="D10" s="25">
        <f>VLOOKUP(A10,$M$1:$W$9,6,FALSE)</f>
        <v>1</v>
      </c>
      <c r="E10" s="21">
        <f>VLOOKUP(A10,$M$1:$W$9,5,FALSE)</f>
        <v>49</v>
      </c>
      <c r="F10" s="20">
        <f t="shared" si="4"/>
        <v>1.22448979591837</v>
      </c>
      <c r="G10">
        <f t="shared" si="5"/>
        <v>20</v>
      </c>
      <c r="H10" s="21">
        <f t="shared" si="6"/>
        <v>24.4897959183673</v>
      </c>
      <c r="I10" s="21">
        <f t="shared" si="7"/>
        <v>73.469387755102</v>
      </c>
      <c r="K10" s="60"/>
    </row>
    <row r="11" spans="1:9">
      <c r="A11" s="17" t="s">
        <v>21</v>
      </c>
      <c r="B11" s="17" t="s">
        <v>28</v>
      </c>
      <c r="C11" s="17">
        <v>1</v>
      </c>
      <c r="D11" s="25">
        <f>VLOOKUP(A11,$M$1:$W$9,6,FALSE)</f>
        <v>1</v>
      </c>
      <c r="E11" s="21">
        <f>VLOOKUP(A11,$M$1:$W$9,5,FALSE)</f>
        <v>49</v>
      </c>
      <c r="F11" s="20">
        <f t="shared" si="4"/>
        <v>1.22448979591837</v>
      </c>
      <c r="G11">
        <f t="shared" si="5"/>
        <v>20</v>
      </c>
      <c r="H11" s="21">
        <f t="shared" si="6"/>
        <v>24.4897959183673</v>
      </c>
      <c r="I11" s="21">
        <f t="shared" si="7"/>
        <v>73.469387755102</v>
      </c>
    </row>
    <row r="12" spans="1:9">
      <c r="A12" s="17" t="s">
        <v>21</v>
      </c>
      <c r="B12" s="17" t="s">
        <v>29</v>
      </c>
      <c r="C12" s="17">
        <v>1</v>
      </c>
      <c r="D12" s="25">
        <f>VLOOKUP(A12,$M$1:$W$9,6,FALSE)</f>
        <v>1</v>
      </c>
      <c r="E12" s="21">
        <f>VLOOKUP(A12,$M$1:$W$9,5,FALSE)</f>
        <v>49</v>
      </c>
      <c r="F12" s="20">
        <f t="shared" si="4"/>
        <v>1.22448979591837</v>
      </c>
      <c r="G12">
        <f t="shared" si="5"/>
        <v>20</v>
      </c>
      <c r="H12" s="21">
        <f t="shared" si="6"/>
        <v>24.4897959183673</v>
      </c>
      <c r="I12" s="21">
        <f t="shared" si="7"/>
        <v>73.469387755102</v>
      </c>
    </row>
    <row r="13" ht="15.15" spans="1:9">
      <c r="A13" s="17" t="s">
        <v>21</v>
      </c>
      <c r="B13" s="17" t="s">
        <v>30</v>
      </c>
      <c r="C13" s="17">
        <v>1</v>
      </c>
      <c r="D13" s="26">
        <f t="shared" ref="D13:D31" si="8">VLOOKUP(A13,$M$1:$W$9,6,FALSE)</f>
        <v>1</v>
      </c>
      <c r="E13" s="21">
        <f t="shared" ref="E13:E31" si="9">VLOOKUP(A13,$M$1:$W$9,5,FALSE)</f>
        <v>49</v>
      </c>
      <c r="F13" s="20">
        <f t="shared" si="4"/>
        <v>1.22448979591837</v>
      </c>
      <c r="G13">
        <f t="shared" si="5"/>
        <v>20</v>
      </c>
      <c r="H13" s="21">
        <f t="shared" si="6"/>
        <v>24.4897959183673</v>
      </c>
      <c r="I13" s="21">
        <f t="shared" si="7"/>
        <v>73.469387755102</v>
      </c>
    </row>
    <row r="14" spans="1:9">
      <c r="A14" s="17" t="s">
        <v>23</v>
      </c>
      <c r="B14" s="17" t="s">
        <v>19</v>
      </c>
      <c r="C14" s="17">
        <v>1</v>
      </c>
      <c r="D14" s="24">
        <f t="shared" si="8"/>
        <v>2</v>
      </c>
      <c r="E14" s="21">
        <f t="shared" si="9"/>
        <v>74</v>
      </c>
      <c r="F14" s="20">
        <f t="shared" si="4"/>
        <v>0.810810810810811</v>
      </c>
      <c r="G14">
        <f t="shared" si="5"/>
        <v>20</v>
      </c>
      <c r="H14" s="21">
        <f t="shared" si="6"/>
        <v>32.4324324324324</v>
      </c>
      <c r="I14" s="21">
        <f t="shared" si="7"/>
        <v>97.2972972972973</v>
      </c>
    </row>
    <row r="15" spans="1:9">
      <c r="A15" s="17" t="s">
        <v>23</v>
      </c>
      <c r="B15" s="17" t="s">
        <v>31</v>
      </c>
      <c r="C15" s="17">
        <v>1</v>
      </c>
      <c r="D15" s="25">
        <f t="shared" si="8"/>
        <v>2</v>
      </c>
      <c r="E15" s="21">
        <f t="shared" si="9"/>
        <v>74</v>
      </c>
      <c r="F15" s="20">
        <f t="shared" si="4"/>
        <v>0.810810810810811</v>
      </c>
      <c r="G15">
        <f t="shared" si="5"/>
        <v>20</v>
      </c>
      <c r="H15" s="21">
        <f t="shared" si="6"/>
        <v>32.4324324324324</v>
      </c>
      <c r="I15" s="21">
        <f t="shared" si="7"/>
        <v>97.2972972972973</v>
      </c>
    </row>
    <row r="16" spans="1:9">
      <c r="A16" s="17" t="s">
        <v>23</v>
      </c>
      <c r="B16" s="17" t="s">
        <v>32</v>
      </c>
      <c r="C16" s="17">
        <v>1</v>
      </c>
      <c r="D16" s="25">
        <f t="shared" si="8"/>
        <v>2</v>
      </c>
      <c r="E16" s="21">
        <f t="shared" si="9"/>
        <v>74</v>
      </c>
      <c r="F16" s="20">
        <f t="shared" si="4"/>
        <v>0.810810810810811</v>
      </c>
      <c r="G16">
        <f t="shared" si="5"/>
        <v>20</v>
      </c>
      <c r="H16" s="21">
        <f t="shared" si="6"/>
        <v>32.4324324324324</v>
      </c>
      <c r="I16" s="21">
        <f t="shared" si="7"/>
        <v>97.2972972972973</v>
      </c>
    </row>
    <row r="17" spans="1:9">
      <c r="A17" s="17" t="s">
        <v>23</v>
      </c>
      <c r="B17" s="17" t="s">
        <v>33</v>
      </c>
      <c r="C17" s="17">
        <v>1</v>
      </c>
      <c r="D17" s="25">
        <f t="shared" si="8"/>
        <v>2</v>
      </c>
      <c r="E17" s="21">
        <f t="shared" si="9"/>
        <v>74</v>
      </c>
      <c r="F17" s="20">
        <f t="shared" si="4"/>
        <v>0.810810810810811</v>
      </c>
      <c r="G17">
        <f t="shared" si="5"/>
        <v>20</v>
      </c>
      <c r="H17" s="21">
        <f t="shared" si="6"/>
        <v>32.4324324324324</v>
      </c>
      <c r="I17" s="21">
        <f t="shared" si="7"/>
        <v>97.2972972972973</v>
      </c>
    </row>
    <row r="18" ht="15.15" spans="1:9">
      <c r="A18" s="17" t="s">
        <v>23</v>
      </c>
      <c r="B18" s="17" t="s">
        <v>30</v>
      </c>
      <c r="C18" s="17">
        <v>1</v>
      </c>
      <c r="D18" s="25">
        <f t="shared" si="8"/>
        <v>2</v>
      </c>
      <c r="E18" s="21">
        <f t="shared" si="9"/>
        <v>74</v>
      </c>
      <c r="F18" s="20">
        <f t="shared" si="4"/>
        <v>0.810810810810811</v>
      </c>
      <c r="G18">
        <f t="shared" si="5"/>
        <v>20</v>
      </c>
      <c r="H18" s="21">
        <f>D18*F18*G18</f>
        <v>32.4324324324324</v>
      </c>
      <c r="I18" s="21">
        <f t="shared" si="7"/>
        <v>97.2972972972973</v>
      </c>
    </row>
    <row r="19" spans="1:9">
      <c r="A19" s="17" t="s">
        <v>20</v>
      </c>
      <c r="B19" s="17" t="s">
        <v>19</v>
      </c>
      <c r="C19" s="18">
        <v>1</v>
      </c>
      <c r="D19" s="19">
        <f>VLOOKUP(A19,$M$1:$W$9,6,FALSE)</f>
        <v>1</v>
      </c>
      <c r="E19">
        <f>VLOOKUP(A19,$M$1:$W$9,5,FALSE)</f>
        <v>80</v>
      </c>
      <c r="F19" s="20">
        <f t="shared" si="4"/>
        <v>0.75</v>
      </c>
      <c r="G19">
        <f t="shared" si="5"/>
        <v>20</v>
      </c>
      <c r="H19" s="21">
        <f>D19*F19*G19</f>
        <v>15</v>
      </c>
      <c r="I19" s="21">
        <f t="shared" si="7"/>
        <v>45</v>
      </c>
    </row>
    <row r="20" spans="1:9">
      <c r="A20" s="17" t="s">
        <v>20</v>
      </c>
      <c r="B20" s="17" t="s">
        <v>20</v>
      </c>
      <c r="C20" s="18">
        <v>1</v>
      </c>
      <c r="D20" s="22">
        <f>VLOOKUP(A20,$M$1:$W$9,6,FALSE)</f>
        <v>1</v>
      </c>
      <c r="E20">
        <f>VLOOKUP(A20,$M$1:$W$9,5,FALSE)</f>
        <v>80</v>
      </c>
      <c r="F20" s="20">
        <f t="shared" si="4"/>
        <v>0.75</v>
      </c>
      <c r="G20">
        <f t="shared" si="5"/>
        <v>20</v>
      </c>
      <c r="H20" s="21">
        <f>D20*F20*G20</f>
        <v>15</v>
      </c>
      <c r="I20" s="21">
        <f t="shared" si="7"/>
        <v>45</v>
      </c>
    </row>
    <row r="21" spans="1:9">
      <c r="A21" s="17" t="s">
        <v>20</v>
      </c>
      <c r="B21" s="17" t="s">
        <v>22</v>
      </c>
      <c r="C21" s="18">
        <v>1</v>
      </c>
      <c r="D21" s="22">
        <f>VLOOKUP(A21,$M$1:$W$9,6,FALSE)</f>
        <v>1</v>
      </c>
      <c r="E21">
        <f>VLOOKUP(A21,$M$1:$W$9,5,FALSE)</f>
        <v>80</v>
      </c>
      <c r="F21" s="20">
        <f t="shared" si="4"/>
        <v>0.75</v>
      </c>
      <c r="G21">
        <f t="shared" si="5"/>
        <v>20</v>
      </c>
      <c r="H21" s="21">
        <f>D21*F21*G21</f>
        <v>15</v>
      </c>
      <c r="I21" s="21">
        <f t="shared" si="7"/>
        <v>45</v>
      </c>
    </row>
    <row r="22" spans="1:9">
      <c r="A22" s="17" t="s">
        <v>25</v>
      </c>
      <c r="B22" s="17" t="s">
        <v>19</v>
      </c>
      <c r="C22" s="17">
        <v>1</v>
      </c>
      <c r="D22" s="25">
        <f>VLOOKUP(A22,$M$1:$W$9,6,FALSE)</f>
        <v>2</v>
      </c>
      <c r="E22">
        <f>VLOOKUP(A22,$M$1:$W$9,5,FALSE)</f>
        <v>74</v>
      </c>
      <c r="F22" s="20">
        <f>60/E22*C22</f>
        <v>0.810810810810811</v>
      </c>
      <c r="G22">
        <f>VLOOKUP(A22,$M$1:$W$9,8,FALSE)</f>
        <v>20</v>
      </c>
      <c r="H22" s="21">
        <f>D22*F22*G22</f>
        <v>32.4324324324324</v>
      </c>
      <c r="I22" s="21">
        <f>H22*3</f>
        <v>97.2972972972973</v>
      </c>
    </row>
    <row r="23" spans="1:9">
      <c r="A23" s="17" t="s">
        <v>25</v>
      </c>
      <c r="B23" s="17" t="s">
        <v>20</v>
      </c>
      <c r="C23" s="17">
        <v>1</v>
      </c>
      <c r="D23" s="25">
        <f>VLOOKUP(A23,$M$1:$W$9,6,FALSE)</f>
        <v>2</v>
      </c>
      <c r="E23">
        <f>VLOOKUP(A23,$M$1:$W$9,5,FALSE)</f>
        <v>74</v>
      </c>
      <c r="F23" s="20">
        <f>60/E23*C23</f>
        <v>0.810810810810811</v>
      </c>
      <c r="G23">
        <f>VLOOKUP(A23,$M$1:$W$9,8,FALSE)</f>
        <v>20</v>
      </c>
      <c r="H23" s="21">
        <f>D23*F23*G23</f>
        <v>32.4324324324324</v>
      </c>
      <c r="I23" s="21">
        <f>H23*3</f>
        <v>97.2972972972973</v>
      </c>
    </row>
    <row r="24" spans="1:9">
      <c r="A24" s="17" t="s">
        <v>25</v>
      </c>
      <c r="B24" s="17" t="s">
        <v>22</v>
      </c>
      <c r="C24" s="17">
        <v>1</v>
      </c>
      <c r="D24" s="25">
        <f>VLOOKUP(A24,$M$1:$W$9,6,FALSE)</f>
        <v>2</v>
      </c>
      <c r="E24">
        <f>VLOOKUP(A24,$M$1:$W$9,5,FALSE)</f>
        <v>74</v>
      </c>
      <c r="F24" s="20">
        <f>60/E24*C24</f>
        <v>0.810810810810811</v>
      </c>
      <c r="G24">
        <f>VLOOKUP(A24,$M$1:$W$9,8,FALSE)</f>
        <v>20</v>
      </c>
      <c r="H24" s="21">
        <f>D24*F24*G24</f>
        <v>32.4324324324324</v>
      </c>
      <c r="I24" s="21">
        <f>H24*3</f>
        <v>97.2972972972973</v>
      </c>
    </row>
    <row r="25" spans="1:9">
      <c r="A25" s="17" t="s">
        <v>25</v>
      </c>
      <c r="B25" s="17" t="s">
        <v>24</v>
      </c>
      <c r="C25" s="17">
        <v>1</v>
      </c>
      <c r="D25" s="25">
        <f>VLOOKUP(A25,$M$1:$W$9,6,FALSE)</f>
        <v>2</v>
      </c>
      <c r="E25">
        <f>VLOOKUP(A25,$M$1:$W$9,5,FALSE)</f>
        <v>74</v>
      </c>
      <c r="F25" s="20">
        <f>60/E25*C25</f>
        <v>0.810810810810811</v>
      </c>
      <c r="G25">
        <f>VLOOKUP(A25,$M$1:$W$9,8,FALSE)</f>
        <v>20</v>
      </c>
      <c r="H25" s="21">
        <f>D25*F25*G25</f>
        <v>32.4324324324324</v>
      </c>
      <c r="I25" s="21">
        <f>H25*3</f>
        <v>97.2972972972973</v>
      </c>
    </row>
    <row r="26" spans="1:9">
      <c r="A26" s="17" t="s">
        <v>25</v>
      </c>
      <c r="B26" s="17" t="s">
        <v>26</v>
      </c>
      <c r="C26" s="17">
        <v>1</v>
      </c>
      <c r="D26" s="25">
        <f>VLOOKUP(A26,$M$1:$W$9,6,FALSE)</f>
        <v>2</v>
      </c>
      <c r="E26">
        <f>VLOOKUP(A26,$M$1:$W$9,5,FALSE)</f>
        <v>74</v>
      </c>
      <c r="F26" s="20">
        <f>60/E26*C26</f>
        <v>0.810810810810811</v>
      </c>
      <c r="G26">
        <f>VLOOKUP(A26,$M$1:$W$9,8,FALSE)</f>
        <v>20</v>
      </c>
      <c r="H26" s="21">
        <f>D26*F26*G26</f>
        <v>32.4324324324324</v>
      </c>
      <c r="I26" s="21">
        <f>H26*3</f>
        <v>97.2972972972973</v>
      </c>
    </row>
    <row r="27" ht="15.15" spans="1:9">
      <c r="A27" s="17" t="s">
        <v>25</v>
      </c>
      <c r="B27" s="17" t="s">
        <v>30</v>
      </c>
      <c r="C27" s="17">
        <v>1</v>
      </c>
      <c r="D27" s="25">
        <f>VLOOKUP(A27,$M$1:$W$9,6,FALSE)</f>
        <v>2</v>
      </c>
      <c r="E27">
        <f>VLOOKUP(A27,$M$1:$W$9,5,FALSE)</f>
        <v>74</v>
      </c>
      <c r="F27" s="20">
        <f>60/E27*C27</f>
        <v>0.810810810810811</v>
      </c>
      <c r="G27">
        <f>VLOOKUP(A27,$M$1:$W$9,8,FALSE)</f>
        <v>20</v>
      </c>
      <c r="H27" s="21">
        <f>D27*F27*G27</f>
        <v>32.4324324324324</v>
      </c>
      <c r="I27" s="21">
        <f>H27*3</f>
        <v>97.2972972972973</v>
      </c>
    </row>
    <row r="28" spans="1:9">
      <c r="A28" s="17" t="s">
        <v>27</v>
      </c>
      <c r="B28" s="17" t="s">
        <v>19</v>
      </c>
      <c r="C28" s="17">
        <v>1</v>
      </c>
      <c r="D28" s="24">
        <f>VLOOKUP(A28,$M$1:$W$9,6,FALSE)</f>
        <v>1</v>
      </c>
      <c r="E28">
        <f>VLOOKUP(A28,$M$1:$W$9,5,FALSE)</f>
        <v>78</v>
      </c>
      <c r="F28" s="20">
        <f>60/E28*C28</f>
        <v>0.769230769230769</v>
      </c>
      <c r="G28">
        <f>VLOOKUP(A28,$M$1:$W$9,8,FALSE)</f>
        <v>20</v>
      </c>
      <c r="H28" s="21">
        <f>D28*F28*G28</f>
        <v>15.3846153846154</v>
      </c>
      <c r="I28" s="21">
        <f>H28*3</f>
        <v>46.1538461538462</v>
      </c>
    </row>
    <row r="29" spans="1:9">
      <c r="A29" s="17" t="s">
        <v>27</v>
      </c>
      <c r="B29" s="17" t="s">
        <v>20</v>
      </c>
      <c r="C29" s="17">
        <v>1</v>
      </c>
      <c r="D29" s="25">
        <f>VLOOKUP(A29,$M$1:$W$9,6,FALSE)</f>
        <v>1</v>
      </c>
      <c r="E29">
        <f>VLOOKUP(A29,$M$1:$W$9,5,FALSE)</f>
        <v>78</v>
      </c>
      <c r="F29" s="20">
        <f>60/E29*C29</f>
        <v>0.769230769230769</v>
      </c>
      <c r="G29">
        <f>VLOOKUP(A29,$M$1:$W$9,8,FALSE)</f>
        <v>20</v>
      </c>
      <c r="H29" s="21">
        <f>D29*F29*G29</f>
        <v>15.3846153846154</v>
      </c>
      <c r="I29" s="21">
        <f>H29*3</f>
        <v>46.1538461538462</v>
      </c>
    </row>
    <row r="30" spans="1:9">
      <c r="A30" s="17" t="s">
        <v>27</v>
      </c>
      <c r="B30" s="17" t="s">
        <v>28</v>
      </c>
      <c r="C30" s="17">
        <v>1</v>
      </c>
      <c r="D30" s="25">
        <f>VLOOKUP(A30,$M$1:$W$9,6,FALSE)</f>
        <v>1</v>
      </c>
      <c r="E30">
        <f>VLOOKUP(A30,$M$1:$W$9,5,FALSE)</f>
        <v>78</v>
      </c>
      <c r="F30" s="20">
        <f>60/E30*C30</f>
        <v>0.769230769230769</v>
      </c>
      <c r="G30">
        <f>VLOOKUP(A30,$M$1:$W$9,8,FALSE)</f>
        <v>20</v>
      </c>
      <c r="H30" s="21">
        <f>D30*F30*G30</f>
        <v>15.3846153846154</v>
      </c>
      <c r="I30" s="21">
        <f>H30*3</f>
        <v>46.1538461538462</v>
      </c>
    </row>
    <row r="31" ht="15.15" spans="1:9">
      <c r="A31" s="17" t="s">
        <v>27</v>
      </c>
      <c r="B31" s="17" t="s">
        <v>30</v>
      </c>
      <c r="C31" s="17">
        <v>1</v>
      </c>
      <c r="D31" s="26">
        <f>VLOOKUP(A31,$M$1:$W$9,6,FALSE)</f>
        <v>1</v>
      </c>
      <c r="E31">
        <f>VLOOKUP(A31,$M$1:$W$9,5,FALSE)</f>
        <v>78</v>
      </c>
      <c r="F31" s="20">
        <f>60/E31*C31</f>
        <v>0.769230769230769</v>
      </c>
      <c r="G31">
        <f>VLOOKUP(A31,$M$1:$W$9,8,FALSE)</f>
        <v>20</v>
      </c>
      <c r="H31" s="21">
        <f>D31*F31*G31</f>
        <v>15.3846153846154</v>
      </c>
      <c r="I31" s="21">
        <f>H31*3</f>
        <v>46.1538461538462</v>
      </c>
    </row>
    <row r="33" ht="15.15"/>
    <row r="34" spans="1:2">
      <c r="A34" s="27" t="s">
        <v>34</v>
      </c>
      <c r="B34" s="28"/>
    </row>
    <row r="35" ht="72" spans="1:9">
      <c r="A35" s="29" t="s">
        <v>35</v>
      </c>
      <c r="B35" s="30" t="s">
        <v>36</v>
      </c>
      <c r="C35" s="31" t="s">
        <v>37</v>
      </c>
      <c r="D35" s="32" t="s">
        <v>38</v>
      </c>
      <c r="E35" s="33"/>
      <c r="F35" s="34" t="s">
        <v>39</v>
      </c>
      <c r="G35" s="35" t="s">
        <v>40</v>
      </c>
      <c r="H35" s="35" t="s">
        <v>41</v>
      </c>
      <c r="I35" s="35" t="s">
        <v>42</v>
      </c>
    </row>
    <row r="36" ht="18" spans="1:9">
      <c r="A36" s="29" t="s">
        <v>19</v>
      </c>
      <c r="B36" s="36">
        <v>520</v>
      </c>
      <c r="C36" s="37">
        <f ca="1">GETPIVOTDATA("Итого",$K$37,"transaction rq",A36)*3</f>
        <v>530.646399932115</v>
      </c>
      <c r="D36" s="38">
        <f ca="1">1-B36/C36</f>
        <v>0.020063077660523</v>
      </c>
      <c r="E36" s="39"/>
      <c r="F36" s="40" t="str">
        <f>VLOOKUP(A36,Соответствие!A:B,2,FALSE)</f>
        <v>open_home_page</v>
      </c>
      <c r="G36" s="41">
        <f ca="1">C36/3</f>
        <v>176.882133310705</v>
      </c>
      <c r="H36" s="42" t="e">
        <f>VLOOKUP(F36,SummaryReport!A:J,8,FALSE)</f>
        <v>#N/A</v>
      </c>
      <c r="I36" s="65" t="e">
        <f ca="1" t="shared" ref="I36:I47" si="10">1-G36/H36</f>
        <v>#N/A</v>
      </c>
    </row>
    <row r="37" ht="18" spans="1:12">
      <c r="A37" s="43" t="s">
        <v>20</v>
      </c>
      <c r="B37" s="36">
        <v>422</v>
      </c>
      <c r="C37" s="37">
        <f ca="1" t="shared" ref="C37:C47" si="11">GETPIVOTDATA("Итого",$K$37,"transaction rq",A37)*3</f>
        <v>433.349102634816</v>
      </c>
      <c r="D37" s="38">
        <f ca="1">1-B37/C37</f>
        <v>0.0261892838033173</v>
      </c>
      <c r="E37" s="39"/>
      <c r="F37" s="40" t="str">
        <f>VLOOKUP(A37,Соответствие!A:B,2,FALSE)</f>
        <v>login</v>
      </c>
      <c r="G37" s="41">
        <f ca="1" t="shared" ref="G37:G47" si="12">C37/3</f>
        <v>144.449700878272</v>
      </c>
      <c r="H37" s="42">
        <f>VLOOKUP(F37,SummaryReport!A:J,8,FALSE)</f>
        <v>136</v>
      </c>
      <c r="I37" s="65">
        <f ca="1" t="shared" si="10"/>
        <v>-0.062130153516706</v>
      </c>
      <c r="K37" t="s">
        <v>43</v>
      </c>
      <c r="L37" t="s">
        <v>44</v>
      </c>
    </row>
    <row r="38" ht="18" spans="1:12">
      <c r="A38" s="43" t="s">
        <v>22</v>
      </c>
      <c r="B38" s="36">
        <v>305</v>
      </c>
      <c r="C38" s="37">
        <f ca="1">GETPIVOTDATA("Итого",$K$37,"transaction rq",A38)*3</f>
        <v>313.72586872587</v>
      </c>
      <c r="D38" s="38">
        <f ca="1">1-B38/C38</f>
        <v>0.027813673004742</v>
      </c>
      <c r="E38" s="39"/>
      <c r="F38" s="40" t="str">
        <f>VLOOKUP(A38,Соответствие!A:B,2,FALSE)</f>
        <v>click_flights</v>
      </c>
      <c r="G38" s="41">
        <f ca="1" t="shared" si="12"/>
        <v>104.57528957529</v>
      </c>
      <c r="H38" s="42" t="e">
        <f>VLOOKUP(F38,SummaryReport!A:J,8,FALSE)</f>
        <v>#N/A</v>
      </c>
      <c r="I38" s="65"/>
      <c r="K38" s="66" t="s">
        <v>19</v>
      </c>
      <c r="L38" s="21">
        <v>176.882133310705</v>
      </c>
    </row>
    <row r="39" ht="18" spans="1:12">
      <c r="A39" s="43" t="s">
        <v>24</v>
      </c>
      <c r="B39" s="36">
        <v>282</v>
      </c>
      <c r="C39" s="37">
        <f ca="1" t="shared" si="11"/>
        <v>268.725868725869</v>
      </c>
      <c r="D39" s="44">
        <f ca="1" t="shared" ref="D39:D48" si="13">1-B39/C39</f>
        <v>-0.0493965517241388</v>
      </c>
      <c r="E39" s="39"/>
      <c r="F39" s="40" t="str">
        <f>VLOOKUP(A39,Соответствие!A:B,2,FALSE)</f>
        <v>find_flight</v>
      </c>
      <c r="G39" s="41">
        <f ca="1" t="shared" si="12"/>
        <v>89.5752895752895</v>
      </c>
      <c r="H39" s="42" t="e">
        <f>VLOOKUP(F39,SummaryReport!A:J,8,FALSE)</f>
        <v>#N/A</v>
      </c>
      <c r="I39" s="65" t="e">
        <f ca="1" t="shared" si="10"/>
        <v>#N/A</v>
      </c>
      <c r="K39" s="66" t="s">
        <v>20</v>
      </c>
      <c r="L39" s="21">
        <v>144.449700878272</v>
      </c>
    </row>
    <row r="40" ht="18" spans="1:12">
      <c r="A40" s="43" t="s">
        <v>26</v>
      </c>
      <c r="B40" s="36">
        <v>270</v>
      </c>
      <c r="C40" s="37">
        <f ca="1" t="shared" si="11"/>
        <v>268.725868725869</v>
      </c>
      <c r="D40" s="44">
        <f ca="1" t="shared" si="13"/>
        <v>-0.00474137931034568</v>
      </c>
      <c r="E40" s="39"/>
      <c r="F40" s="40">
        <f>VLOOKUP(A40,Соответствие!A:B,2,FALSE)</f>
        <v>0</v>
      </c>
      <c r="G40" s="41">
        <f ca="1" t="shared" si="12"/>
        <v>89.5752895752895</v>
      </c>
      <c r="H40" s="42" t="e">
        <f>VLOOKUP(F40,SummaryReport!A:J,8,FALSE)</f>
        <v>#N/A</v>
      </c>
      <c r="I40" s="65" t="e">
        <f ca="1" t="shared" si="10"/>
        <v>#N/A</v>
      </c>
      <c r="K40" s="66" t="s">
        <v>22</v>
      </c>
      <c r="L40" s="21">
        <v>104.57528957529</v>
      </c>
    </row>
    <row r="41" ht="18" spans="1:12">
      <c r="A41" s="43" t="s">
        <v>18</v>
      </c>
      <c r="B41" s="36">
        <v>175</v>
      </c>
      <c r="C41" s="37">
        <f ca="1" t="shared" si="11"/>
        <v>171.428571428571</v>
      </c>
      <c r="D41" s="44">
        <f ca="1" t="shared" si="13"/>
        <v>-0.0208333333333341</v>
      </c>
      <c r="E41" s="39"/>
      <c r="F41" s="40">
        <f>VLOOKUP(A41,Соответствие!A:B,2,FALSE)</f>
        <v>0</v>
      </c>
      <c r="G41" s="41">
        <f ca="1" t="shared" si="12"/>
        <v>57.1428571428571</v>
      </c>
      <c r="H41" s="42" t="e">
        <f>VLOOKUP(F41,SummaryReport!A:J,8,FALSE)</f>
        <v>#N/A</v>
      </c>
      <c r="I41" s="65" t="e">
        <f ca="1" t="shared" si="10"/>
        <v>#N/A</v>
      </c>
      <c r="K41" s="66" t="s">
        <v>24</v>
      </c>
      <c r="L41" s="21">
        <v>89.5752895752895</v>
      </c>
    </row>
    <row r="42" ht="18" spans="1:12">
      <c r="A42" s="43" t="s">
        <v>28</v>
      </c>
      <c r="B42" s="36">
        <v>280</v>
      </c>
      <c r="C42" s="37">
        <f ca="1" t="shared" si="11"/>
        <v>291.05180533752</v>
      </c>
      <c r="D42" s="44">
        <f ca="1" t="shared" si="13"/>
        <v>0.0379719525350595</v>
      </c>
      <c r="E42" s="45"/>
      <c r="F42" s="40">
        <f>VLOOKUP(A42,Соответствие!A:B,2,FALSE)</f>
        <v>0</v>
      </c>
      <c r="G42" s="41">
        <f ca="1" t="shared" si="12"/>
        <v>97.0172684458399</v>
      </c>
      <c r="H42" s="42" t="e">
        <f>VLOOKUP(F42,SummaryReport!A:J,8,FALSE)</f>
        <v>#N/A</v>
      </c>
      <c r="I42" s="65" t="e">
        <f ca="1" t="shared" si="10"/>
        <v>#N/A</v>
      </c>
      <c r="K42" s="66" t="s">
        <v>26</v>
      </c>
      <c r="L42" s="21">
        <v>89.5752895752895</v>
      </c>
    </row>
    <row r="43" ht="18" spans="1:12">
      <c r="A43" s="43" t="s">
        <v>29</v>
      </c>
      <c r="B43" s="36">
        <v>73</v>
      </c>
      <c r="C43" s="37">
        <f ca="1" t="shared" si="11"/>
        <v>73.4693877551022</v>
      </c>
      <c r="D43" s="44">
        <f ca="1" t="shared" si="13"/>
        <v>0.00638888888889089</v>
      </c>
      <c r="E43" s="39"/>
      <c r="F43" s="40">
        <f>VLOOKUP(A43,Соответствие!A:B,2,FALSE)</f>
        <v>0</v>
      </c>
      <c r="G43" s="41">
        <f ca="1" t="shared" si="12"/>
        <v>24.4897959183674</v>
      </c>
      <c r="H43" s="42" t="e">
        <f>VLOOKUP(F43,SummaryReport!A:J,8,FALSE)</f>
        <v>#N/A</v>
      </c>
      <c r="I43" s="65" t="e">
        <f ca="1" t="shared" si="10"/>
        <v>#N/A</v>
      </c>
      <c r="K43" s="66" t="s">
        <v>18</v>
      </c>
      <c r="L43" s="21">
        <v>57.1428571428571</v>
      </c>
    </row>
    <row r="44" ht="18" spans="1:12">
      <c r="A44" s="43" t="s">
        <v>30</v>
      </c>
      <c r="B44" s="36">
        <v>326</v>
      </c>
      <c r="C44" s="37">
        <f ca="1" t="shared" si="11"/>
        <v>314.217828503544</v>
      </c>
      <c r="D44" s="44">
        <f ca="1" t="shared" si="13"/>
        <v>-0.037496826811414</v>
      </c>
      <c r="E44" s="46">
        <f ca="1">C44-B44</f>
        <v>-11.782171496456</v>
      </c>
      <c r="F44" s="40">
        <f>VLOOKUP(A44,Соответствие!A:B,2,FALSE)</f>
        <v>0</v>
      </c>
      <c r="G44" s="41">
        <f ca="1" t="shared" si="12"/>
        <v>104.739276167848</v>
      </c>
      <c r="H44" s="42" t="e">
        <f>VLOOKUP(F44,SummaryReport!A:J,8,FALSE)</f>
        <v>#N/A</v>
      </c>
      <c r="I44" s="65" t="e">
        <f ca="1" t="shared" si="10"/>
        <v>#N/A</v>
      </c>
      <c r="K44" s="66" t="s">
        <v>28</v>
      </c>
      <c r="L44" s="21">
        <v>97.0172684458399</v>
      </c>
    </row>
    <row r="45" ht="18" spans="1:12">
      <c r="A45" s="43" t="s">
        <v>31</v>
      </c>
      <c r="B45" s="36">
        <v>97</v>
      </c>
      <c r="C45" s="37">
        <f ca="1" t="shared" si="11"/>
        <v>97.2972972972972</v>
      </c>
      <c r="D45" s="44">
        <f ca="1" t="shared" si="13"/>
        <v>0.00305555555555459</v>
      </c>
      <c r="E45" s="39"/>
      <c r="F45" s="40">
        <f>VLOOKUP(A45,Соответствие!A:B,2,FALSE)</f>
        <v>0</v>
      </c>
      <c r="G45" s="41">
        <f ca="1" t="shared" si="12"/>
        <v>32.4324324324324</v>
      </c>
      <c r="H45" s="42"/>
      <c r="I45" s="65" t="e">
        <f ca="1" t="shared" si="10"/>
        <v>#DIV/0!</v>
      </c>
      <c r="K45" s="66" t="s">
        <v>30</v>
      </c>
      <c r="L45" s="21">
        <v>104.739276167848</v>
      </c>
    </row>
    <row r="46" ht="18" spans="1:12">
      <c r="A46" s="43" t="s">
        <v>32</v>
      </c>
      <c r="B46" s="36">
        <v>97</v>
      </c>
      <c r="C46" s="37">
        <f ca="1" t="shared" si="11"/>
        <v>97.2972972972972</v>
      </c>
      <c r="D46" s="44">
        <f ca="1" t="shared" si="13"/>
        <v>0.00305555555555459</v>
      </c>
      <c r="E46" s="39"/>
      <c r="F46" s="40">
        <f>VLOOKUP(A46,Соответствие!A:B,2,FALSE)</f>
        <v>0</v>
      </c>
      <c r="G46" s="41">
        <f ca="1" t="shared" si="12"/>
        <v>32.4324324324324</v>
      </c>
      <c r="H46" s="42"/>
      <c r="I46" s="65" t="e">
        <f ca="1" t="shared" si="10"/>
        <v>#DIV/0!</v>
      </c>
      <c r="K46" s="66" t="s">
        <v>29</v>
      </c>
      <c r="L46" s="21">
        <v>24.4897959183674</v>
      </c>
    </row>
    <row r="47" ht="18" spans="1:12">
      <c r="A47" s="43" t="s">
        <v>33</v>
      </c>
      <c r="B47" s="36">
        <v>97</v>
      </c>
      <c r="C47" s="37">
        <f ca="1" t="shared" si="11"/>
        <v>97.2972972972972</v>
      </c>
      <c r="D47" s="44">
        <f ca="1" t="shared" si="13"/>
        <v>0.00305555555555459</v>
      </c>
      <c r="E47" s="39"/>
      <c r="F47" s="40">
        <f>VLOOKUP(A47,Соответствие!A:B,2,FALSE)</f>
        <v>0</v>
      </c>
      <c r="G47" s="41">
        <f ca="1" t="shared" si="12"/>
        <v>32.4324324324324</v>
      </c>
      <c r="H47" s="42"/>
      <c r="I47" s="65" t="e">
        <f ca="1" t="shared" si="10"/>
        <v>#DIV/0!</v>
      </c>
      <c r="K47" s="66" t="s">
        <v>31</v>
      </c>
      <c r="L47" s="21">
        <v>32.4324324324324</v>
      </c>
    </row>
    <row r="48" ht="18.75" spans="1:12">
      <c r="A48" s="47" t="s">
        <v>7</v>
      </c>
      <c r="B48" s="48">
        <f>SUM(B36:B47)</f>
        <v>2944</v>
      </c>
      <c r="C48" s="49">
        <f ca="1">SUM(C36:C47)</f>
        <v>2957.23259366117</v>
      </c>
      <c r="D48" s="50">
        <f ca="1" t="shared" si="13"/>
        <v>0.00447465434052452</v>
      </c>
      <c r="K48" s="66" t="s">
        <v>32</v>
      </c>
      <c r="L48" s="21">
        <v>32.4324324324324</v>
      </c>
    </row>
    <row r="49" spans="9:12">
      <c r="I49" s="51"/>
      <c r="K49" s="66" t="s">
        <v>33</v>
      </c>
      <c r="L49" s="21">
        <v>32.4324324324324</v>
      </c>
    </row>
    <row r="50" spans="3:12">
      <c r="C50" s="51" t="s">
        <v>45</v>
      </c>
      <c r="D50" s="51"/>
      <c r="E50" s="51"/>
      <c r="F50" s="51"/>
      <c r="G50" s="51"/>
      <c r="H50" s="51"/>
      <c r="K50" s="66" t="s">
        <v>46</v>
      </c>
      <c r="L50" s="21">
        <v>985.744197887055</v>
      </c>
    </row>
    <row r="51" spans="2:8">
      <c r="B51" t="s">
        <v>47</v>
      </c>
      <c r="C51" t="s">
        <v>48</v>
      </c>
      <c r="D51" t="s">
        <v>49</v>
      </c>
      <c r="E51" t="s">
        <v>50</v>
      </c>
      <c r="F51" t="s">
        <v>51</v>
      </c>
      <c r="G51" t="s">
        <v>52</v>
      </c>
      <c r="H51" t="s">
        <v>53</v>
      </c>
    </row>
    <row r="52" spans="1:9">
      <c r="A52" s="52" t="s">
        <v>18</v>
      </c>
      <c r="B52" s="53">
        <f>124/3</f>
        <v>41.3333333333333</v>
      </c>
      <c r="C52" s="54">
        <v>57</v>
      </c>
      <c r="D52" s="55">
        <f>60/C52</f>
        <v>1.05263157894737</v>
      </c>
      <c r="E52" s="56">
        <v>20</v>
      </c>
      <c r="F52" s="57">
        <f>B52/(D52*E52)</f>
        <v>1.96333333333333</v>
      </c>
      <c r="G52" s="21">
        <f>ROUND(F52,0)</f>
        <v>2</v>
      </c>
      <c r="H52" s="21">
        <f>G52*D52*E52</f>
        <v>42.1052631578947</v>
      </c>
      <c r="I52" s="67">
        <f>1-B52/H52</f>
        <v>0.0183333333333332</v>
      </c>
    </row>
    <row r="53" spans="1:9">
      <c r="A53" s="52" t="s">
        <v>54</v>
      </c>
      <c r="B53" s="53">
        <f>150/3</f>
        <v>50</v>
      </c>
      <c r="C53" s="54">
        <v>25</v>
      </c>
      <c r="D53" s="55">
        <f>60/C53</f>
        <v>2.4</v>
      </c>
      <c r="E53" s="56">
        <v>20</v>
      </c>
      <c r="F53" s="57">
        <f>B53/(D53*E53)</f>
        <v>1.04166666666667</v>
      </c>
      <c r="G53" s="21">
        <f>ROUND(F53,0)</f>
        <v>1</v>
      </c>
      <c r="H53" s="21">
        <f>G53*D53*E53</f>
        <v>48</v>
      </c>
      <c r="I53" s="67">
        <f>1-B53/H53</f>
        <v>-0.0416666666666667</v>
      </c>
    </row>
    <row r="54" spans="1:9">
      <c r="A54" s="52" t="s">
        <v>55</v>
      </c>
      <c r="B54" s="53">
        <f>30/3</f>
        <v>10</v>
      </c>
      <c r="C54" s="54">
        <v>115</v>
      </c>
      <c r="D54" s="55">
        <f>60/C54</f>
        <v>0.521739130434783</v>
      </c>
      <c r="E54" s="56">
        <v>20</v>
      </c>
      <c r="F54" s="57">
        <f>B54/(D54*E54)</f>
        <v>0.958333333333333</v>
      </c>
      <c r="G54" s="21">
        <v>1</v>
      </c>
      <c r="H54" s="21">
        <f>G54*D54*E54</f>
        <v>10.4347826086957</v>
      </c>
      <c r="I54" s="67">
        <f>1-B54/H54</f>
        <v>0.0416666666666666</v>
      </c>
    </row>
    <row r="55" spans="1:9">
      <c r="A55" s="52" t="s">
        <v>56</v>
      </c>
      <c r="B55" s="53">
        <f>20/3</f>
        <v>6.66666666666667</v>
      </c>
      <c r="C55" s="54">
        <v>180</v>
      </c>
      <c r="D55" s="55">
        <f>60/C55</f>
        <v>0.333333333333333</v>
      </c>
      <c r="E55" s="56">
        <v>20</v>
      </c>
      <c r="F55" s="57">
        <f>B55/(D55*E55)</f>
        <v>1</v>
      </c>
      <c r="G55" s="21">
        <v>1</v>
      </c>
      <c r="H55" s="21">
        <f>G55*D55*E55</f>
        <v>6.66666666666667</v>
      </c>
      <c r="I55" s="67">
        <f>1-B55/H55</f>
        <v>0</v>
      </c>
    </row>
    <row r="56" spans="1:9">
      <c r="A56" s="52" t="s">
        <v>57</v>
      </c>
      <c r="B56" s="53">
        <f>120/3</f>
        <v>40</v>
      </c>
      <c r="C56" s="54">
        <v>30</v>
      </c>
      <c r="D56" s="55">
        <f>60/C56</f>
        <v>2</v>
      </c>
      <c r="E56" s="56">
        <v>20</v>
      </c>
      <c r="F56" s="57">
        <f>B56/(D56*E56)</f>
        <v>1</v>
      </c>
      <c r="G56" s="21">
        <f>ROUND(F56,0)</f>
        <v>1</v>
      </c>
      <c r="H56" s="21">
        <f>G56*D56*E56</f>
        <v>40</v>
      </c>
      <c r="I56" s="67">
        <f>1-B56/H56</f>
        <v>0</v>
      </c>
    </row>
    <row r="57" spans="7:7">
      <c r="G57" s="21">
        <f>SUM(G52:G56)</f>
        <v>6</v>
      </c>
    </row>
    <row r="61" spans="3:10">
      <c r="C61" s="21"/>
      <c r="E61" s="21"/>
      <c r="G61" s="58"/>
      <c r="H61" s="59"/>
      <c r="I61" s="68"/>
      <c r="J61" s="58"/>
    </row>
    <row r="62" spans="3:10">
      <c r="C62" s="21"/>
      <c r="E62" s="21"/>
      <c r="G62" s="58"/>
      <c r="H62" s="59"/>
      <c r="I62" s="68"/>
      <c r="J62" s="58"/>
    </row>
    <row r="63" spans="3:10">
      <c r="C63" s="21"/>
      <c r="E63" s="21"/>
      <c r="G63" s="58"/>
      <c r="H63" s="59"/>
      <c r="I63" s="68"/>
      <c r="J63" s="58"/>
    </row>
    <row r="64" spans="3:10">
      <c r="C64" s="21"/>
      <c r="E64" s="21"/>
      <c r="G64" s="58"/>
      <c r="H64" s="59"/>
      <c r="I64" s="68"/>
      <c r="J64" s="58"/>
    </row>
    <row r="65" spans="3:10">
      <c r="C65" s="21"/>
      <c r="E65" s="21"/>
      <c r="G65" s="58"/>
      <c r="H65" s="59"/>
      <c r="I65" s="68"/>
      <c r="J65" s="58"/>
    </row>
    <row r="66" spans="3:10">
      <c r="C66" s="21"/>
      <c r="E66" s="21"/>
      <c r="G66" s="58"/>
      <c r="H66" s="59"/>
      <c r="I66" s="68"/>
      <c r="J66" s="58"/>
    </row>
    <row r="67" spans="3:10">
      <c r="C67" s="21"/>
      <c r="E67" s="21"/>
      <c r="G67" s="58"/>
      <c r="H67" s="59"/>
      <c r="I67" s="68"/>
      <c r="J67" s="58"/>
    </row>
    <row r="68" spans="3:10">
      <c r="C68" s="21"/>
      <c r="E68" s="21"/>
      <c r="G68" s="58"/>
      <c r="H68" s="59"/>
      <c r="I68" s="68"/>
      <c r="J68" s="58"/>
    </row>
    <row r="69" spans="3:10">
      <c r="C69" s="21"/>
      <c r="E69" s="21"/>
      <c r="G69" s="58"/>
      <c r="H69" s="59"/>
      <c r="I69" s="68"/>
      <c r="J69" s="58"/>
    </row>
    <row r="70" spans="3:10">
      <c r="C70" s="21"/>
      <c r="E70" s="21"/>
      <c r="G70" s="58"/>
      <c r="H70" s="59"/>
      <c r="I70" s="68"/>
      <c r="J70" s="76"/>
    </row>
    <row r="71" spans="3:10">
      <c r="C71" s="21"/>
      <c r="E71" s="21"/>
      <c r="G71" s="58"/>
      <c r="H71" s="59"/>
      <c r="I71" s="59"/>
      <c r="J71" s="59"/>
    </row>
    <row r="72" spans="3:10">
      <c r="C72" s="21"/>
      <c r="E72" s="21"/>
      <c r="G72" s="58"/>
      <c r="H72" s="59"/>
      <c r="I72" s="59"/>
      <c r="J72" s="59"/>
    </row>
    <row r="73" spans="3:10">
      <c r="C73" s="21"/>
      <c r="E73" s="21"/>
      <c r="G73" s="58"/>
      <c r="H73" s="59"/>
      <c r="I73" s="59"/>
      <c r="J73" s="59"/>
    </row>
    <row r="74" spans="3:10">
      <c r="C74" s="21"/>
      <c r="E74" s="21"/>
      <c r="G74" s="58"/>
      <c r="H74" s="59"/>
      <c r="I74" s="59"/>
      <c r="J74" s="59"/>
    </row>
    <row r="75" spans="3:10">
      <c r="C75" s="21"/>
      <c r="E75" s="21"/>
      <c r="G75" s="58"/>
      <c r="H75" s="59"/>
      <c r="I75" s="59"/>
      <c r="J75" s="59"/>
    </row>
    <row r="76" spans="3:7">
      <c r="C76" s="21"/>
      <c r="E76" s="21"/>
      <c r="G76" s="21"/>
    </row>
    <row r="77" spans="3:7">
      <c r="C77" s="21"/>
      <c r="E77" s="21"/>
      <c r="G77" s="21"/>
    </row>
    <row r="78" spans="3:7">
      <c r="C78" s="21"/>
      <c r="E78" s="21"/>
      <c r="G78" s="21"/>
    </row>
    <row r="79" spans="3:7">
      <c r="C79" s="21"/>
      <c r="E79" s="21"/>
      <c r="G79" s="21"/>
    </row>
    <row r="80" spans="3:7">
      <c r="C80" s="21"/>
      <c r="E80" s="21"/>
      <c r="G80" s="21"/>
    </row>
    <row r="81" spans="3:7">
      <c r="C81" s="21"/>
      <c r="E81" s="21"/>
      <c r="G81" s="21"/>
    </row>
    <row r="82" spans="3:7">
      <c r="C82" s="21"/>
      <c r="E82" s="21"/>
      <c r="G82" s="21"/>
    </row>
    <row r="83" spans="3:7">
      <c r="C83" s="21"/>
      <c r="E83" s="21"/>
      <c r="G83" s="21"/>
    </row>
    <row r="84" spans="3:7">
      <c r="C84" s="21"/>
      <c r="E84" s="21"/>
      <c r="G84" s="21"/>
    </row>
    <row r="85" spans="3:7">
      <c r="C85" s="21"/>
      <c r="E85" s="21"/>
      <c r="G85" s="21"/>
    </row>
    <row r="86" spans="3:7">
      <c r="C86" s="21"/>
      <c r="E86" s="21"/>
      <c r="G86" s="21"/>
    </row>
  </sheetData>
  <mergeCells count="1">
    <mergeCell ref="A34:B34"/>
  </mergeCells>
  <pageMargins left="0.7" right="0.7" top="0.75" bottom="0.75" header="0.3" footer="0.3"/>
  <pageSetup paperSize="9" orientation="portrait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11" sqref="B11"/>
    </sheetView>
  </sheetViews>
  <sheetFormatPr defaultColWidth="9" defaultRowHeight="14.4" outlineLevelCol="1"/>
  <cols>
    <col min="1" max="1" width="47.4259259259259" customWidth="1"/>
    <col min="2" max="2" width="14.1388888888889" customWidth="1"/>
  </cols>
  <sheetData>
    <row r="1" spans="1:2">
      <c r="A1" t="s">
        <v>58</v>
      </c>
      <c r="B1" t="s">
        <v>59</v>
      </c>
    </row>
    <row r="2" spans="1:2">
      <c r="A2" t="str">
        <f>'Автоматизированный расчет'!A36</f>
        <v>Домашняя страница</v>
      </c>
      <c r="B2" t="s">
        <v>60</v>
      </c>
    </row>
    <row r="3" spans="1:2">
      <c r="A3" t="str">
        <f>'Автоматизированный расчет'!A37</f>
        <v>Логин</v>
      </c>
      <c r="B3" t="s">
        <v>61</v>
      </c>
    </row>
    <row r="4" spans="1:2">
      <c r="A4" t="str">
        <f>'Автоматизированный расчет'!A38</f>
        <v>Вкладка билетов</v>
      </c>
      <c r="B4" t="s">
        <v>62</v>
      </c>
    </row>
    <row r="5" spans="1:2">
      <c r="A5" t="str">
        <f>'Автоматизированный расчет'!A39</f>
        <v>Выбор даты</v>
      </c>
      <c r="B5" t="s">
        <v>63</v>
      </c>
    </row>
    <row r="6" spans="1:1">
      <c r="A6" t="str">
        <f>'Автоматизированный расчет'!A40</f>
        <v>Выбор билета</v>
      </c>
    </row>
    <row r="7" spans="1:1">
      <c r="A7" t="str">
        <f>'Автоматизированный расчет'!A41</f>
        <v>Покупка билета</v>
      </c>
    </row>
    <row r="8" spans="1:1">
      <c r="A8" t="str">
        <f>'Автоматизированный расчет'!A42</f>
        <v>Список билетов</v>
      </c>
    </row>
    <row r="9" spans="1:1">
      <c r="A9" t="str">
        <f>'Автоматизированный расчет'!A43</f>
        <v>Удалить билет</v>
      </c>
    </row>
    <row r="10" spans="1:1">
      <c r="A10" t="str">
        <f>'Автоматизированный расчет'!A44</f>
        <v>Выход</v>
      </c>
    </row>
    <row r="11" spans="1:1">
      <c r="A11" t="str">
        <f>'Автоматизированный расчет'!A45</f>
        <v>Регистрация</v>
      </c>
    </row>
    <row r="12" spans="1:1">
      <c r="A12" t="str">
        <f>'Автоматизированный расчет'!A46</f>
        <v>Ввод данных пользователя</v>
      </c>
    </row>
    <row r="13" spans="1:1">
      <c r="A13" t="str">
        <f>'Автоматизированный расчет'!A47</f>
        <v>Переход в ЛК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4" sqref="A14"/>
    </sheetView>
  </sheetViews>
  <sheetFormatPr defaultColWidth="9" defaultRowHeight="14.4"/>
  <cols>
    <col min="1" max="1" width="36.4259259259259" customWidth="1"/>
  </cols>
  <sheetData>
    <row r="1" spans="1:10">
      <c r="A1" s="16" t="s">
        <v>64</v>
      </c>
      <c r="B1" s="16" t="s">
        <v>65</v>
      </c>
      <c r="C1" s="16" t="s">
        <v>66</v>
      </c>
      <c r="D1" s="16" t="s">
        <v>67</v>
      </c>
      <c r="E1" s="16" t="s">
        <v>68</v>
      </c>
      <c r="F1" s="16" t="s">
        <v>69</v>
      </c>
      <c r="G1" s="16" t="s">
        <v>70</v>
      </c>
      <c r="H1" s="16" t="s">
        <v>71</v>
      </c>
      <c r="I1" s="16" t="s">
        <v>72</v>
      </c>
      <c r="J1" s="16" t="s">
        <v>73</v>
      </c>
    </row>
    <row r="2" spans="1:10">
      <c r="A2" s="16" t="s">
        <v>74</v>
      </c>
      <c r="B2" s="16" t="s">
        <v>75</v>
      </c>
      <c r="C2" s="16">
        <v>0.188</v>
      </c>
      <c r="D2" s="16">
        <v>0.434</v>
      </c>
      <c r="E2" s="16">
        <v>0.728</v>
      </c>
      <c r="F2" s="16">
        <v>0.148</v>
      </c>
      <c r="G2" s="16">
        <v>0.633</v>
      </c>
      <c r="H2" s="16">
        <v>169</v>
      </c>
      <c r="I2" s="16">
        <v>0</v>
      </c>
      <c r="J2" s="16">
        <v>0</v>
      </c>
    </row>
    <row r="3" spans="1:10">
      <c r="A3" s="16" t="s">
        <v>76</v>
      </c>
      <c r="B3" s="16" t="s">
        <v>75</v>
      </c>
      <c r="C3" s="16">
        <v>0.072</v>
      </c>
      <c r="D3" s="16">
        <v>0.111</v>
      </c>
      <c r="E3" s="16">
        <v>0.156</v>
      </c>
      <c r="F3" s="16">
        <v>0.013</v>
      </c>
      <c r="G3" s="16">
        <v>0.128</v>
      </c>
      <c r="H3" s="16">
        <v>97</v>
      </c>
      <c r="I3" s="16">
        <v>0</v>
      </c>
      <c r="J3" s="16">
        <v>0</v>
      </c>
    </row>
    <row r="4" spans="1:10">
      <c r="A4" s="16" t="s">
        <v>77</v>
      </c>
      <c r="B4" s="16" t="s">
        <v>75</v>
      </c>
      <c r="C4" s="16">
        <v>0.033</v>
      </c>
      <c r="D4" s="16">
        <v>0.045</v>
      </c>
      <c r="E4" s="16">
        <v>0.063</v>
      </c>
      <c r="F4" s="16">
        <v>0.01</v>
      </c>
      <c r="G4" s="16">
        <v>0.059</v>
      </c>
      <c r="H4" s="16">
        <v>24</v>
      </c>
      <c r="I4" s="16">
        <v>0</v>
      </c>
      <c r="J4" s="16">
        <v>0</v>
      </c>
    </row>
    <row r="5" spans="1:10">
      <c r="A5" s="16" t="s">
        <v>78</v>
      </c>
      <c r="B5" s="16" t="s">
        <v>75</v>
      </c>
      <c r="C5" s="16">
        <v>0.033</v>
      </c>
      <c r="D5" s="16">
        <v>0.048</v>
      </c>
      <c r="E5" s="16">
        <v>0.072</v>
      </c>
      <c r="F5" s="16">
        <v>0.01</v>
      </c>
      <c r="G5" s="16">
        <v>0.063</v>
      </c>
      <c r="H5" s="16">
        <v>92</v>
      </c>
      <c r="I5" s="16">
        <v>0</v>
      </c>
      <c r="J5" s="16">
        <v>0</v>
      </c>
    </row>
    <row r="6" spans="1:10">
      <c r="A6" s="16" t="s">
        <v>79</v>
      </c>
      <c r="B6" s="16" t="s">
        <v>75</v>
      </c>
      <c r="C6" s="16">
        <v>0.072</v>
      </c>
      <c r="D6" s="16">
        <v>0.086</v>
      </c>
      <c r="E6" s="16">
        <v>0.123</v>
      </c>
      <c r="F6" s="16">
        <v>0.013</v>
      </c>
      <c r="G6" s="16">
        <v>0.102</v>
      </c>
      <c r="H6" s="16">
        <v>32</v>
      </c>
      <c r="I6" s="16">
        <v>0</v>
      </c>
      <c r="J6" s="16">
        <v>0</v>
      </c>
    </row>
    <row r="7" spans="1:10">
      <c r="A7" s="16" t="s">
        <v>80</v>
      </c>
      <c r="B7" s="16" t="s">
        <v>75</v>
      </c>
      <c r="C7" s="16">
        <v>0.093</v>
      </c>
      <c r="D7" s="16">
        <v>0.111</v>
      </c>
      <c r="E7" s="16">
        <v>0.134</v>
      </c>
      <c r="F7" s="16">
        <v>0.011</v>
      </c>
      <c r="G7" s="16">
        <v>0.128</v>
      </c>
      <c r="H7" s="16">
        <v>98</v>
      </c>
      <c r="I7" s="16">
        <v>0</v>
      </c>
      <c r="J7" s="16">
        <v>0</v>
      </c>
    </row>
    <row r="8" spans="1:10">
      <c r="A8" s="16" t="s">
        <v>61</v>
      </c>
      <c r="B8" s="16" t="s">
        <v>75</v>
      </c>
      <c r="C8" s="16">
        <v>0.073</v>
      </c>
      <c r="D8" s="16">
        <v>0.093</v>
      </c>
      <c r="E8" s="16">
        <v>0.144</v>
      </c>
      <c r="F8" s="16">
        <v>0.015</v>
      </c>
      <c r="G8" s="16">
        <v>0.107</v>
      </c>
      <c r="H8" s="16">
        <v>136</v>
      </c>
      <c r="I8" s="16">
        <v>0</v>
      </c>
      <c r="J8" s="16">
        <v>0</v>
      </c>
    </row>
    <row r="9" spans="1:10">
      <c r="A9" s="16" t="s">
        <v>81</v>
      </c>
      <c r="B9" s="16" t="s">
        <v>75</v>
      </c>
      <c r="C9" s="16">
        <v>0.051</v>
      </c>
      <c r="D9" s="16">
        <v>0.078</v>
      </c>
      <c r="E9" s="16">
        <v>0.133</v>
      </c>
      <c r="F9" s="16">
        <v>0.018</v>
      </c>
      <c r="G9" s="16">
        <v>0.1</v>
      </c>
      <c r="H9" s="16">
        <v>107</v>
      </c>
      <c r="I9" s="16">
        <v>0</v>
      </c>
      <c r="J9" s="16">
        <v>0</v>
      </c>
    </row>
    <row r="10" spans="1:10">
      <c r="A10" s="16" t="s">
        <v>82</v>
      </c>
      <c r="B10" s="16" t="s">
        <v>75</v>
      </c>
      <c r="C10" s="16">
        <v>0.03</v>
      </c>
      <c r="D10" s="16">
        <v>0.045</v>
      </c>
      <c r="E10" s="16">
        <v>0.066</v>
      </c>
      <c r="F10" s="16">
        <v>0.011</v>
      </c>
      <c r="G10" s="16">
        <v>0.063</v>
      </c>
      <c r="H10" s="16">
        <v>32</v>
      </c>
      <c r="I10" s="16">
        <v>0</v>
      </c>
      <c r="J10" s="16">
        <v>0</v>
      </c>
    </row>
    <row r="11" spans="1:10">
      <c r="A11" s="16" t="s">
        <v>83</v>
      </c>
      <c r="B11" s="16" t="s">
        <v>75</v>
      </c>
      <c r="C11" s="16">
        <v>0.053</v>
      </c>
      <c r="D11" s="16">
        <v>0.069</v>
      </c>
      <c r="E11" s="16">
        <v>0.105</v>
      </c>
      <c r="F11" s="16">
        <v>0.011</v>
      </c>
      <c r="G11" s="16">
        <v>0.084</v>
      </c>
      <c r="H11" s="16">
        <v>169</v>
      </c>
      <c r="I11" s="16">
        <v>0</v>
      </c>
      <c r="J11" s="16">
        <v>0</v>
      </c>
    </row>
    <row r="12" spans="1:10">
      <c r="A12" s="16" t="s">
        <v>84</v>
      </c>
      <c r="B12" s="16" t="s">
        <v>75</v>
      </c>
      <c r="C12" s="16">
        <v>0.033</v>
      </c>
      <c r="D12" s="16">
        <v>0.049</v>
      </c>
      <c r="E12" s="16">
        <v>0.084</v>
      </c>
      <c r="F12" s="16">
        <v>0.011</v>
      </c>
      <c r="G12" s="16">
        <v>0.062</v>
      </c>
      <c r="H12" s="16">
        <v>58</v>
      </c>
      <c r="I12" s="16">
        <v>0</v>
      </c>
      <c r="J12" s="16">
        <v>0</v>
      </c>
    </row>
    <row r="13" spans="1:10">
      <c r="A13" s="16" t="s">
        <v>85</v>
      </c>
      <c r="B13" s="16" t="s">
        <v>75</v>
      </c>
      <c r="C13" s="16">
        <v>0.028</v>
      </c>
      <c r="D13" s="16">
        <v>0.043</v>
      </c>
      <c r="E13" s="16">
        <v>0.059</v>
      </c>
      <c r="F13" s="16">
        <v>0.01</v>
      </c>
      <c r="G13" s="16">
        <v>0.056</v>
      </c>
      <c r="H13" s="16">
        <v>32</v>
      </c>
      <c r="I13" s="16">
        <v>0</v>
      </c>
      <c r="J13" s="16">
        <v>0</v>
      </c>
    </row>
    <row r="14" spans="1:10">
      <c r="A14" s="16" t="s">
        <v>86</v>
      </c>
      <c r="B14" s="16" t="s">
        <v>75</v>
      </c>
      <c r="C14" s="16">
        <v>0.032</v>
      </c>
      <c r="D14" s="16">
        <v>0.049</v>
      </c>
      <c r="E14" s="16">
        <v>0.154</v>
      </c>
      <c r="F14" s="16">
        <v>0.016</v>
      </c>
      <c r="G14" s="16">
        <v>0.064</v>
      </c>
      <c r="H14" s="16">
        <v>98</v>
      </c>
      <c r="I14" s="16">
        <v>0</v>
      </c>
      <c r="J14" s="16">
        <v>0</v>
      </c>
    </row>
    <row r="15" spans="1:10">
      <c r="A15" s="16" t="s">
        <v>87</v>
      </c>
      <c r="B15" s="16" t="s">
        <v>75</v>
      </c>
      <c r="C15" s="16">
        <v>0.288</v>
      </c>
      <c r="D15" s="16">
        <v>0.338</v>
      </c>
      <c r="E15" s="16">
        <v>0.385</v>
      </c>
      <c r="F15" s="16">
        <v>0.029</v>
      </c>
      <c r="G15" s="16">
        <v>0.383</v>
      </c>
      <c r="H15" s="16">
        <v>14</v>
      </c>
      <c r="I15" s="16">
        <v>0</v>
      </c>
      <c r="J15" s="16">
        <v>0</v>
      </c>
    </row>
    <row r="16" spans="1:10">
      <c r="A16" s="16" t="s">
        <v>88</v>
      </c>
      <c r="B16" s="16" t="s">
        <v>75</v>
      </c>
      <c r="C16" s="16">
        <v>0.263</v>
      </c>
      <c r="D16" s="16">
        <v>0.309</v>
      </c>
      <c r="E16" s="16">
        <v>0.337</v>
      </c>
      <c r="F16" s="16">
        <v>0.028</v>
      </c>
      <c r="G16" s="16">
        <v>0.337</v>
      </c>
      <c r="H16" s="16">
        <v>6</v>
      </c>
      <c r="I16" s="16">
        <v>0</v>
      </c>
      <c r="J16" s="16">
        <v>0</v>
      </c>
    </row>
    <row r="17" spans="1:10">
      <c r="A17" s="16" t="s">
        <v>89</v>
      </c>
      <c r="B17" s="16" t="s">
        <v>75</v>
      </c>
      <c r="C17" s="16">
        <v>0.519</v>
      </c>
      <c r="D17" s="16">
        <v>0.601</v>
      </c>
      <c r="E17" s="16">
        <v>0.728</v>
      </c>
      <c r="F17" s="16">
        <v>0.051</v>
      </c>
      <c r="G17" s="16">
        <v>0.684</v>
      </c>
      <c r="H17" s="16">
        <v>59</v>
      </c>
      <c r="I17" s="16">
        <v>0</v>
      </c>
      <c r="J17" s="16">
        <v>0</v>
      </c>
    </row>
    <row r="18" spans="1:10">
      <c r="A18" s="16" t="s">
        <v>90</v>
      </c>
      <c r="B18" s="16" t="s">
        <v>75</v>
      </c>
      <c r="C18" s="16">
        <v>0.236</v>
      </c>
      <c r="D18" s="16">
        <v>0.312</v>
      </c>
      <c r="E18" s="16">
        <v>0.369</v>
      </c>
      <c r="F18" s="16">
        <v>0.031</v>
      </c>
      <c r="G18" s="16">
        <v>0.36</v>
      </c>
      <c r="H18" s="16">
        <v>24</v>
      </c>
      <c r="I18" s="16">
        <v>0</v>
      </c>
      <c r="J18" s="16">
        <v>0</v>
      </c>
    </row>
    <row r="19" spans="1:10">
      <c r="A19" s="16" t="s">
        <v>91</v>
      </c>
      <c r="B19" s="16" t="s">
        <v>75</v>
      </c>
      <c r="C19" s="16">
        <v>0.188</v>
      </c>
      <c r="D19" s="16">
        <v>0.245</v>
      </c>
      <c r="E19" s="16">
        <v>0.33</v>
      </c>
      <c r="F19" s="16">
        <v>0.033</v>
      </c>
      <c r="G19" s="16">
        <v>0.293</v>
      </c>
      <c r="H19" s="16">
        <v>32</v>
      </c>
      <c r="I19" s="16">
        <v>0</v>
      </c>
      <c r="J19" s="16">
        <v>0</v>
      </c>
    </row>
    <row r="20" spans="1:10">
      <c r="A20" s="16" t="s">
        <v>92</v>
      </c>
      <c r="B20" s="16" t="s">
        <v>75</v>
      </c>
      <c r="C20" s="16">
        <v>0.395</v>
      </c>
      <c r="D20" s="16">
        <v>0.47</v>
      </c>
      <c r="E20" s="16">
        <v>0.598</v>
      </c>
      <c r="F20" s="16">
        <v>0.045</v>
      </c>
      <c r="G20" s="16">
        <v>0.532</v>
      </c>
      <c r="H20" s="16">
        <v>34</v>
      </c>
      <c r="I20" s="16">
        <v>0</v>
      </c>
      <c r="J20" s="16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:O44"/>
  <sheetViews>
    <sheetView topLeftCell="A22" workbookViewId="0">
      <selection activeCell="J46" sqref="J46"/>
    </sheetView>
  </sheetViews>
  <sheetFormatPr defaultColWidth="8.86111111111111" defaultRowHeight="14.4"/>
  <cols>
    <col min="2" max="2" width="4.42592592592593" customWidth="1"/>
    <col min="3" max="4" width="9.13888888888889" hidden="1" customWidth="1"/>
    <col min="5" max="5" width="20.4259259259259" customWidth="1"/>
    <col min="6" max="6" width="18.8611111111111" customWidth="1"/>
    <col min="7" max="7" width="15.287037037037" customWidth="1"/>
    <col min="8" max="8" width="15.1388888888889" customWidth="1"/>
    <col min="9" max="9" width="14" customWidth="1"/>
    <col min="11" max="11" width="1.42592592592593" customWidth="1"/>
    <col min="12" max="12" width="40.287037037037" customWidth="1"/>
    <col min="13" max="13" width="6" customWidth="1"/>
    <col min="14" max="14" width="4.13888888888889" customWidth="1"/>
    <col min="15" max="15" width="5" customWidth="1"/>
    <col min="16" max="16" width="14.1388888888889" customWidth="1"/>
    <col min="17" max="17" width="19.4259259259259" customWidth="1"/>
  </cols>
  <sheetData>
    <row r="9" spans="5:9">
      <c r="E9" s="1" t="s">
        <v>93</v>
      </c>
      <c r="F9" s="1"/>
      <c r="G9" s="1"/>
      <c r="H9" s="1"/>
      <c r="I9" s="1"/>
    </row>
    <row r="11" ht="27.6" spans="5:9">
      <c r="E11" s="2" t="s">
        <v>94</v>
      </c>
      <c r="F11" s="2" t="s">
        <v>95</v>
      </c>
      <c r="G11" s="2" t="s">
        <v>96</v>
      </c>
      <c r="H11" s="2" t="s">
        <v>97</v>
      </c>
      <c r="I11" s="2" t="s">
        <v>98</v>
      </c>
    </row>
    <row r="12" ht="15.6" spans="5:9">
      <c r="E12" s="3" t="s">
        <v>99</v>
      </c>
      <c r="F12" s="4" t="s">
        <v>61</v>
      </c>
      <c r="G12" s="5">
        <v>368</v>
      </c>
      <c r="H12" s="4">
        <f>121*3</f>
        <v>363</v>
      </c>
      <c r="I12" s="12">
        <f>1-G12/H12</f>
        <v>-0.0137741046831956</v>
      </c>
    </row>
    <row r="13" ht="31.2" spans="5:9">
      <c r="E13" s="3" t="s">
        <v>100</v>
      </c>
      <c r="F13" s="4" t="s">
        <v>101</v>
      </c>
      <c r="G13" s="5">
        <v>251</v>
      </c>
      <c r="H13" s="4">
        <f>82*3</f>
        <v>246</v>
      </c>
      <c r="I13" s="12">
        <f t="shared" ref="I13:I18" si="0">1-G13/H13</f>
        <v>-0.0203252032520325</v>
      </c>
    </row>
    <row r="14" ht="31.2" spans="5:9">
      <c r="E14" s="3" t="s">
        <v>102</v>
      </c>
      <c r="F14" s="4" t="s">
        <v>103</v>
      </c>
      <c r="G14" s="5">
        <v>251</v>
      </c>
      <c r="H14" s="4">
        <f>82*3</f>
        <v>246</v>
      </c>
      <c r="I14" s="12">
        <f t="shared" si="0"/>
        <v>-0.0203252032520325</v>
      </c>
    </row>
    <row r="15" ht="15.6" spans="5:9">
      <c r="E15" s="3" t="s">
        <v>104</v>
      </c>
      <c r="F15" s="4" t="s">
        <v>105</v>
      </c>
      <c r="G15" s="5">
        <v>175</v>
      </c>
      <c r="H15" s="4">
        <f>56*3</f>
        <v>168</v>
      </c>
      <c r="I15" s="13">
        <f t="shared" si="0"/>
        <v>-0.0416666666666667</v>
      </c>
    </row>
    <row r="16" ht="31.2" spans="5:9">
      <c r="E16" s="3" t="s">
        <v>106</v>
      </c>
      <c r="F16" s="4" t="s">
        <v>107</v>
      </c>
      <c r="G16" s="5">
        <v>159</v>
      </c>
      <c r="H16" s="5">
        <f>56*3</f>
        <v>168</v>
      </c>
      <c r="I16" s="12">
        <f t="shared" si="0"/>
        <v>0.0535714285714286</v>
      </c>
    </row>
    <row r="17" ht="46.8" spans="5:9">
      <c r="E17" s="3" t="s">
        <v>108</v>
      </c>
      <c r="F17" s="4" t="s">
        <v>109</v>
      </c>
      <c r="G17" s="5">
        <v>73</v>
      </c>
      <c r="H17" s="4">
        <f>25*3</f>
        <v>75</v>
      </c>
      <c r="I17" s="12">
        <f t="shared" si="0"/>
        <v>0.0266666666666666</v>
      </c>
    </row>
    <row r="18" ht="15.6" spans="5:9">
      <c r="E18" s="3" t="s">
        <v>110</v>
      </c>
      <c r="F18" s="4" t="s">
        <v>81</v>
      </c>
      <c r="G18" s="5">
        <v>326</v>
      </c>
      <c r="H18" s="4">
        <f>104*3</f>
        <v>312</v>
      </c>
      <c r="I18" s="12">
        <f t="shared" si="0"/>
        <v>-0.0448717948717949</v>
      </c>
    </row>
    <row r="23" spans="5:9">
      <c r="E23" s="1" t="s">
        <v>111</v>
      </c>
      <c r="F23" s="1"/>
      <c r="G23" s="1"/>
      <c r="H23" s="1"/>
      <c r="I23" s="1"/>
    </row>
    <row r="25" spans="5:9">
      <c r="E25" s="6" t="s">
        <v>94</v>
      </c>
      <c r="F25" s="6" t="s">
        <v>95</v>
      </c>
      <c r="G25" s="6" t="s">
        <v>96</v>
      </c>
      <c r="H25" s="6" t="s">
        <v>97</v>
      </c>
      <c r="I25" s="6" t="s">
        <v>98</v>
      </c>
    </row>
    <row r="26" ht="15.6" spans="5:9">
      <c r="E26" s="7" t="s">
        <v>99</v>
      </c>
      <c r="F26" s="8" t="s">
        <v>61</v>
      </c>
      <c r="G26" s="9">
        <f>5*368</f>
        <v>1840</v>
      </c>
      <c r="H26" s="10">
        <f>721*3</f>
        <v>2163</v>
      </c>
      <c r="I26" s="14">
        <f>1-G26/H26</f>
        <v>0.149329634766528</v>
      </c>
    </row>
    <row r="27" ht="15.6" spans="5:9">
      <c r="E27" s="7" t="s">
        <v>100</v>
      </c>
      <c r="F27" s="8" t="s">
        <v>101</v>
      </c>
      <c r="G27" s="9">
        <f>5*251</f>
        <v>1255</v>
      </c>
      <c r="H27" s="10">
        <f>3*464</f>
        <v>1392</v>
      </c>
      <c r="I27" s="14">
        <f t="shared" ref="I27:I32" si="1">1-G27/H27</f>
        <v>0.0984195402298851</v>
      </c>
    </row>
    <row r="28" ht="15.6" spans="5:9">
      <c r="E28" s="7" t="s">
        <v>102</v>
      </c>
      <c r="F28" s="8" t="s">
        <v>103</v>
      </c>
      <c r="G28" s="9">
        <f>5*251</f>
        <v>1255</v>
      </c>
      <c r="H28" s="10">
        <f>3*462</f>
        <v>1386</v>
      </c>
      <c r="I28" s="14">
        <f t="shared" si="1"/>
        <v>0.0945165945165946</v>
      </c>
    </row>
    <row r="29" ht="15.6" spans="5:9">
      <c r="E29" s="7" t="s">
        <v>104</v>
      </c>
      <c r="F29" s="8" t="s">
        <v>105</v>
      </c>
      <c r="G29" s="9">
        <f>5*175</f>
        <v>875</v>
      </c>
      <c r="H29" s="10">
        <f>3*314</f>
        <v>942</v>
      </c>
      <c r="I29" s="15">
        <f t="shared" si="1"/>
        <v>0.0711252653927813</v>
      </c>
    </row>
    <row r="30" ht="15.6" spans="5:9">
      <c r="E30" s="7" t="s">
        <v>106</v>
      </c>
      <c r="F30" s="8" t="s">
        <v>107</v>
      </c>
      <c r="G30" s="9">
        <f>5*159</f>
        <v>795</v>
      </c>
      <c r="H30" s="10">
        <f>3*330</f>
        <v>990</v>
      </c>
      <c r="I30" s="14">
        <f t="shared" si="1"/>
        <v>0.196969696969697</v>
      </c>
    </row>
    <row r="31" ht="15.6" spans="5:9">
      <c r="E31" s="7" t="s">
        <v>108</v>
      </c>
      <c r="F31" s="8" t="s">
        <v>109</v>
      </c>
      <c r="G31" s="9">
        <f>5*73</f>
        <v>365</v>
      </c>
      <c r="H31" s="10">
        <f>3*141</f>
        <v>423</v>
      </c>
      <c r="I31" s="14">
        <f t="shared" si="1"/>
        <v>0.137115839243499</v>
      </c>
    </row>
    <row r="32" ht="15.6" spans="5:9">
      <c r="E32" s="7" t="s">
        <v>110</v>
      </c>
      <c r="F32" s="8" t="s">
        <v>81</v>
      </c>
      <c r="G32" s="9">
        <f>5*326</f>
        <v>1630</v>
      </c>
      <c r="H32" s="10">
        <f>3*599</f>
        <v>1797</v>
      </c>
      <c r="I32" s="14">
        <f t="shared" si="1"/>
        <v>0.0929326655537006</v>
      </c>
    </row>
    <row r="35" spans="5:9">
      <c r="E35" s="1" t="s">
        <v>112</v>
      </c>
      <c r="F35" s="1"/>
      <c r="G35" s="1"/>
      <c r="H35" s="1"/>
      <c r="I35" s="1"/>
    </row>
    <row r="37" spans="5:15">
      <c r="E37" s="6" t="s">
        <v>94</v>
      </c>
      <c r="F37" s="6" t="s">
        <v>95</v>
      </c>
      <c r="G37" s="6" t="s">
        <v>96</v>
      </c>
      <c r="H37" s="6" t="s">
        <v>97</v>
      </c>
      <c r="I37" s="6" t="s">
        <v>98</v>
      </c>
      <c r="L37" s="11" t="s">
        <v>64</v>
      </c>
      <c r="M37" s="11" t="s">
        <v>71</v>
      </c>
      <c r="N37" s="11" t="s">
        <v>72</v>
      </c>
      <c r="O37" s="11" t="s">
        <v>73</v>
      </c>
    </row>
    <row r="38" ht="15.6" spans="5:15">
      <c r="E38" s="7" t="s">
        <v>99</v>
      </c>
      <c r="F38" s="8" t="s">
        <v>61</v>
      </c>
      <c r="G38" s="9">
        <f>5*368</f>
        <v>1840</v>
      </c>
      <c r="H38" s="10">
        <v>2109</v>
      </c>
      <c r="I38" s="14">
        <f>1-G38/H38</f>
        <v>0.127548601232812</v>
      </c>
      <c r="L38" s="11" t="s">
        <v>109</v>
      </c>
      <c r="M38" s="11">
        <v>377</v>
      </c>
      <c r="N38" s="11">
        <v>27</v>
      </c>
      <c r="O38" s="11">
        <v>0</v>
      </c>
    </row>
    <row r="39" ht="15.6" spans="5:15">
      <c r="E39" s="7" t="s">
        <v>100</v>
      </c>
      <c r="F39" s="8" t="s">
        <v>101</v>
      </c>
      <c r="G39" s="9">
        <f>5*251</f>
        <v>1255</v>
      </c>
      <c r="H39" s="11">
        <v>1315</v>
      </c>
      <c r="I39" s="14">
        <f t="shared" ref="I39:I44" si="2">1-G39/H39</f>
        <v>0.0456273764258555</v>
      </c>
      <c r="L39" s="11" t="s">
        <v>107</v>
      </c>
      <c r="M39" s="11">
        <v>998</v>
      </c>
      <c r="N39" s="11">
        <v>1</v>
      </c>
      <c r="O39" s="11">
        <v>0</v>
      </c>
    </row>
    <row r="40" ht="15.6" spans="5:15">
      <c r="E40" s="7" t="s">
        <v>102</v>
      </c>
      <c r="F40" s="8" t="s">
        <v>103</v>
      </c>
      <c r="G40" s="9">
        <f>5*251</f>
        <v>1255</v>
      </c>
      <c r="H40" s="10">
        <v>1315</v>
      </c>
      <c r="I40" s="14">
        <f t="shared" si="2"/>
        <v>0.0456273764258555</v>
      </c>
      <c r="L40" s="11" t="s">
        <v>101</v>
      </c>
      <c r="M40" s="11" t="s">
        <v>113</v>
      </c>
      <c r="N40" s="11">
        <v>0</v>
      </c>
      <c r="O40" s="11">
        <v>0</v>
      </c>
    </row>
    <row r="41" ht="15.6" spans="5:15">
      <c r="E41" s="7" t="s">
        <v>104</v>
      </c>
      <c r="F41" s="8" t="s">
        <v>105</v>
      </c>
      <c r="G41" s="9">
        <f>5*175</f>
        <v>875</v>
      </c>
      <c r="H41" s="11">
        <v>924</v>
      </c>
      <c r="I41" s="15">
        <f t="shared" si="2"/>
        <v>0.053030303030303</v>
      </c>
      <c r="L41" s="11" t="s">
        <v>61</v>
      </c>
      <c r="M41" s="11" t="s">
        <v>114</v>
      </c>
      <c r="N41" s="11">
        <v>139</v>
      </c>
      <c r="O41" s="11">
        <v>0</v>
      </c>
    </row>
    <row r="42" ht="15.6" spans="5:15">
      <c r="E42" s="7" t="s">
        <v>106</v>
      </c>
      <c r="F42" s="8" t="s">
        <v>107</v>
      </c>
      <c r="G42" s="9">
        <f>5*159</f>
        <v>795</v>
      </c>
      <c r="H42" s="11">
        <v>998</v>
      </c>
      <c r="I42" s="14">
        <f t="shared" si="2"/>
        <v>0.203406813627255</v>
      </c>
      <c r="L42" s="11" t="s">
        <v>81</v>
      </c>
      <c r="M42" s="11" t="s">
        <v>115</v>
      </c>
      <c r="N42" s="11">
        <v>1</v>
      </c>
      <c r="O42" s="11">
        <v>0</v>
      </c>
    </row>
    <row r="43" ht="15.6" spans="5:15">
      <c r="E43" s="7" t="s">
        <v>108</v>
      </c>
      <c r="F43" s="8" t="s">
        <v>109</v>
      </c>
      <c r="G43" s="9">
        <f>5*73</f>
        <v>365</v>
      </c>
      <c r="H43" s="11">
        <v>404</v>
      </c>
      <c r="I43" s="14">
        <f t="shared" si="2"/>
        <v>0.0965346534653465</v>
      </c>
      <c r="L43" s="11" t="s">
        <v>105</v>
      </c>
      <c r="M43" s="11">
        <v>924</v>
      </c>
      <c r="N43" s="11">
        <v>0</v>
      </c>
      <c r="O43" s="11">
        <v>0</v>
      </c>
    </row>
    <row r="44" ht="15.6" spans="5:15">
      <c r="E44" s="7" t="s">
        <v>110</v>
      </c>
      <c r="F44" s="8" t="s">
        <v>81</v>
      </c>
      <c r="G44" s="9">
        <f>5*326</f>
        <v>1630</v>
      </c>
      <c r="H44" s="10">
        <v>1675</v>
      </c>
      <c r="I44" s="14">
        <f t="shared" si="2"/>
        <v>0.0268656716417911</v>
      </c>
      <c r="L44" s="11" t="s">
        <v>103</v>
      </c>
      <c r="M44" s="11" t="s">
        <v>113</v>
      </c>
      <c r="N44" s="11">
        <v>0</v>
      </c>
      <c r="O44" s="11">
        <v>0</v>
      </c>
    </row>
  </sheetData>
  <mergeCells count="3">
    <mergeCell ref="E9:I9"/>
    <mergeCell ref="E23:I23"/>
    <mergeCell ref="E35:I3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Nastya</cp:lastModifiedBy>
  <dcterms:created xsi:type="dcterms:W3CDTF">2015-06-05T18:19:00Z</dcterms:created>
  <dcterms:modified xsi:type="dcterms:W3CDTF">2024-10-22T03:00:04Z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6623B34BDD6C4E6BAF8FF7401EEC41A5_13</vt:lpwstr>
  </property>
  <property fmtid="{D5CDD505-2E9C-101B-9397-08002B2CF9AE}" pid="3" name="KSOProductBuildVer">
    <vt:lpwstr>1049-12.2.0.18283</vt:lpwstr>
  </property>
</Properties>
</file>