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26" firstSheet="2" activeTab="8"/>
  </bookViews>
  <sheets>
    <sheet name="Задание 1" sheetId="1" r:id="rId1"/>
    <sheet name="Задание 2" sheetId="2" r:id="rId2"/>
    <sheet name="Задание 3" sheetId="3" r:id="rId3"/>
    <sheet name="Задание 4 Показательная " sheetId="8" r:id="rId4"/>
    <sheet name="Задание 4 Степенная" sheetId="7" r:id="rId5"/>
    <sheet name="Задание 5" sheetId="5" r:id="rId6"/>
    <sheet name="Задание 6" sheetId="6" r:id="rId7"/>
    <sheet name="Задание 7" sheetId="9" r:id="rId8"/>
    <sheet name="Задание 8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0" l="1"/>
  <c r="F13" i="10"/>
  <c r="F14" i="10" s="1"/>
  <c r="F15" i="10" s="1"/>
  <c r="F16" i="10" s="1"/>
  <c r="F17" i="10" s="1"/>
  <c r="F18" i="10" s="1"/>
  <c r="F19" i="10" s="1"/>
  <c r="F20" i="10" s="1"/>
  <c r="F11" i="10"/>
  <c r="S25" i="10" l="1"/>
  <c r="S24" i="10"/>
  <c r="B25" i="10" s="1"/>
  <c r="Q24" i="10"/>
  <c r="L24" i="10"/>
  <c r="N24" i="10"/>
  <c r="I24" i="10"/>
  <c r="G24" i="10"/>
  <c r="D24" i="10"/>
  <c r="P24" i="10"/>
  <c r="F24" i="10"/>
  <c r="O25" i="10"/>
  <c r="O26" i="10"/>
  <c r="O27" i="10"/>
  <c r="O28" i="10"/>
  <c r="O29" i="10"/>
  <c r="O30" i="10"/>
  <c r="O31" i="10"/>
  <c r="O32" i="10"/>
  <c r="O33" i="10"/>
  <c r="O24" i="10"/>
  <c r="J25" i="10"/>
  <c r="J26" i="10"/>
  <c r="J27" i="10"/>
  <c r="J28" i="10"/>
  <c r="J29" i="10"/>
  <c r="J30" i="10"/>
  <c r="J31" i="10"/>
  <c r="J32" i="10"/>
  <c r="J33" i="10"/>
  <c r="J24" i="10"/>
  <c r="E25" i="10"/>
  <c r="E26" i="10"/>
  <c r="E27" i="10"/>
  <c r="E28" i="10"/>
  <c r="E29" i="10"/>
  <c r="E30" i="10"/>
  <c r="E31" i="10"/>
  <c r="E32" i="10"/>
  <c r="E33" i="10"/>
  <c r="E24" i="10"/>
  <c r="R24" i="10"/>
  <c r="M24" i="10"/>
  <c r="H24" i="10"/>
  <c r="A25" i="10" s="1"/>
  <c r="C24" i="10"/>
  <c r="B24" i="10"/>
  <c r="A24" i="10"/>
  <c r="E12" i="10"/>
  <c r="E11" i="10"/>
  <c r="F10" i="10"/>
  <c r="E10" i="10"/>
  <c r="C10" i="10"/>
  <c r="B11" i="10"/>
  <c r="C11" i="10" s="1"/>
  <c r="B10" i="10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M8" i="9"/>
  <c r="H8" i="9"/>
  <c r="G8" i="9"/>
  <c r="J8" i="9" s="1"/>
  <c r="L8" i="9" s="1"/>
  <c r="N8" i="9" s="1"/>
  <c r="O8" i="9" s="1"/>
  <c r="I8" i="9"/>
  <c r="K8" i="9" s="1"/>
  <c r="F8" i="9"/>
  <c r="E8" i="9"/>
  <c r="D9" i="9"/>
  <c r="D8" i="9"/>
  <c r="C8" i="9"/>
  <c r="B9" i="9"/>
  <c r="G9" i="9" s="1"/>
  <c r="J9" i="9" s="1"/>
  <c r="B8" i="9"/>
  <c r="A18" i="9"/>
  <c r="A10" i="9"/>
  <c r="A11" i="9"/>
  <c r="A12" i="9"/>
  <c r="A13" i="9"/>
  <c r="A14" i="9" s="1"/>
  <c r="A15" i="9" s="1"/>
  <c r="A16" i="9" s="1"/>
  <c r="A17" i="9" s="1"/>
  <c r="A9" i="9"/>
  <c r="C25" i="10" l="1"/>
  <c r="D25" i="10"/>
  <c r="G25" i="10" s="1"/>
  <c r="K24" i="10"/>
  <c r="F25" i="10"/>
  <c r="E13" i="10"/>
  <c r="E14" i="10" s="1"/>
  <c r="E15" i="10" s="1"/>
  <c r="E16" i="10" s="1"/>
  <c r="E17" i="10" s="1"/>
  <c r="E18" i="10" s="1"/>
  <c r="E19" i="10" s="1"/>
  <c r="E20" i="10" s="1"/>
  <c r="B12" i="10"/>
  <c r="D10" i="9"/>
  <c r="M9" i="9"/>
  <c r="B10" i="9"/>
  <c r="C9" i="9"/>
  <c r="E9" i="9"/>
  <c r="J46" i="5"/>
  <c r="J35" i="6"/>
  <c r="H25" i="10" l="1"/>
  <c r="I25" i="10"/>
  <c r="L25" i="10" s="1"/>
  <c r="K25" i="10"/>
  <c r="B13" i="10"/>
  <c r="C12" i="10"/>
  <c r="B11" i="9"/>
  <c r="M10" i="9"/>
  <c r="C10" i="9"/>
  <c r="G10" i="9"/>
  <c r="J10" i="9" s="1"/>
  <c r="D11" i="9"/>
  <c r="D12" i="9" s="1"/>
  <c r="F9" i="9"/>
  <c r="H9" i="9" s="1"/>
  <c r="I9" i="9" s="1"/>
  <c r="K9" i="9" s="1"/>
  <c r="L9" i="9" s="1"/>
  <c r="N9" i="9" s="1"/>
  <c r="O9" i="9" s="1"/>
  <c r="K25" i="8"/>
  <c r="K26" i="8"/>
  <c r="K27" i="8"/>
  <c r="K28" i="8"/>
  <c r="K29" i="8"/>
  <c r="K30" i="8"/>
  <c r="K31" i="8"/>
  <c r="K32" i="8"/>
  <c r="K33" i="8"/>
  <c r="K24" i="8"/>
  <c r="F41" i="8"/>
  <c r="E25" i="8"/>
  <c r="E26" i="8"/>
  <c r="E27" i="8"/>
  <c r="E28" i="8"/>
  <c r="E29" i="8"/>
  <c r="E30" i="8"/>
  <c r="E31" i="8"/>
  <c r="E32" i="8"/>
  <c r="E33" i="8"/>
  <c r="E24" i="8"/>
  <c r="D24" i="8"/>
  <c r="D25" i="8"/>
  <c r="D26" i="8"/>
  <c r="D27" i="8"/>
  <c r="D28" i="8"/>
  <c r="D29" i="8"/>
  <c r="D30" i="8"/>
  <c r="D31" i="8"/>
  <c r="D32" i="8"/>
  <c r="F32" i="8" s="1"/>
  <c r="D33" i="8"/>
  <c r="F28" i="8"/>
  <c r="F24" i="8"/>
  <c r="C33" i="8"/>
  <c r="B33" i="8"/>
  <c r="C32" i="8"/>
  <c r="B32" i="8"/>
  <c r="C31" i="8"/>
  <c r="B31" i="8"/>
  <c r="F30" i="8"/>
  <c r="C30" i="8"/>
  <c r="B30" i="8"/>
  <c r="C29" i="8"/>
  <c r="B29" i="8"/>
  <c r="C28" i="8"/>
  <c r="B28" i="8"/>
  <c r="C27" i="8"/>
  <c r="B27" i="8"/>
  <c r="F26" i="8"/>
  <c r="C26" i="8"/>
  <c r="B26" i="8"/>
  <c r="C25" i="8"/>
  <c r="B25" i="8"/>
  <c r="A25" i="8"/>
  <c r="A26" i="8" s="1"/>
  <c r="A27" i="8" s="1"/>
  <c r="A28" i="8" s="1"/>
  <c r="A29" i="8" s="1"/>
  <c r="A30" i="8" s="1"/>
  <c r="A31" i="8" s="1"/>
  <c r="A32" i="8" s="1"/>
  <c r="A33" i="8" s="1"/>
  <c r="C24" i="8"/>
  <c r="B24" i="8"/>
  <c r="M25" i="7"/>
  <c r="M26" i="7"/>
  <c r="M27" i="7"/>
  <c r="M28" i="7"/>
  <c r="M29" i="7"/>
  <c r="M30" i="7"/>
  <c r="M31" i="7"/>
  <c r="M32" i="7"/>
  <c r="M33" i="7"/>
  <c r="M24" i="7"/>
  <c r="K25" i="7"/>
  <c r="K26" i="7"/>
  <c r="K27" i="7"/>
  <c r="K28" i="7"/>
  <c r="K29" i="7"/>
  <c r="K30" i="7"/>
  <c r="K31" i="7"/>
  <c r="K32" i="7"/>
  <c r="K33" i="7"/>
  <c r="I24" i="7"/>
  <c r="K24" i="7"/>
  <c r="E25" i="7"/>
  <c r="E26" i="7"/>
  <c r="E27" i="7"/>
  <c r="E28" i="7"/>
  <c r="E29" i="7"/>
  <c r="E30" i="7"/>
  <c r="E31" i="7"/>
  <c r="E32" i="7"/>
  <c r="E33" i="7"/>
  <c r="E24" i="7"/>
  <c r="J44" i="1"/>
  <c r="I44" i="1"/>
  <c r="H43" i="1"/>
  <c r="H44" i="1"/>
  <c r="G42" i="1"/>
  <c r="G43" i="1"/>
  <c r="G44" i="1"/>
  <c r="F41" i="1"/>
  <c r="F42" i="1"/>
  <c r="F43" i="1"/>
  <c r="F44" i="1"/>
  <c r="E40" i="1"/>
  <c r="E41" i="1"/>
  <c r="E42" i="1"/>
  <c r="E43" i="1"/>
  <c r="E44" i="1"/>
  <c r="E68" i="1"/>
  <c r="G41" i="1"/>
  <c r="F40" i="1"/>
  <c r="E39" i="1"/>
  <c r="E29" i="1"/>
  <c r="D28" i="1"/>
  <c r="M25" i="10" l="1"/>
  <c r="P25" i="10" s="1"/>
  <c r="N25" i="10"/>
  <c r="Q25" i="10" s="1"/>
  <c r="R25" i="10" s="1"/>
  <c r="A26" i="10"/>
  <c r="B26" i="10"/>
  <c r="B14" i="10"/>
  <c r="C13" i="10"/>
  <c r="B12" i="9"/>
  <c r="C11" i="9"/>
  <c r="M11" i="9"/>
  <c r="G11" i="9"/>
  <c r="J11" i="9" s="1"/>
  <c r="E10" i="9"/>
  <c r="F25" i="8"/>
  <c r="G25" i="8"/>
  <c r="F29" i="8"/>
  <c r="G29" i="8"/>
  <c r="G33" i="8"/>
  <c r="F33" i="8"/>
  <c r="G27" i="8"/>
  <c r="F27" i="8"/>
  <c r="F34" i="8" s="1"/>
  <c r="B39" i="8" s="1"/>
  <c r="G31" i="8"/>
  <c r="F31" i="8"/>
  <c r="G26" i="8"/>
  <c r="G28" i="8"/>
  <c r="G30" i="8"/>
  <c r="G32" i="8"/>
  <c r="D34" i="8"/>
  <c r="H42" i="1"/>
  <c r="K37" i="1"/>
  <c r="I61" i="1"/>
  <c r="I21" i="1"/>
  <c r="C61" i="2"/>
  <c r="C46" i="2"/>
  <c r="B55" i="2"/>
  <c r="F46" i="2"/>
  <c r="D26" i="10" l="1"/>
  <c r="G26" i="10" s="1"/>
  <c r="H26" i="10" s="1"/>
  <c r="K26" i="10" s="1"/>
  <c r="C26" i="10"/>
  <c r="F26" i="10" s="1"/>
  <c r="C14" i="10"/>
  <c r="B15" i="10"/>
  <c r="B13" i="9"/>
  <c r="M12" i="9"/>
  <c r="C12" i="9"/>
  <c r="G12" i="9"/>
  <c r="J12" i="9" s="1"/>
  <c r="D13" i="9"/>
  <c r="D14" i="9" s="1"/>
  <c r="F10" i="9"/>
  <c r="H10" i="9" s="1"/>
  <c r="I10" i="9" s="1"/>
  <c r="K10" i="9" s="1"/>
  <c r="L10" i="9" s="1"/>
  <c r="N10" i="9" s="1"/>
  <c r="O10" i="9" s="1"/>
  <c r="A39" i="8"/>
  <c r="B38" i="8"/>
  <c r="G24" i="8"/>
  <c r="G34" i="8" s="1"/>
  <c r="C39" i="8" s="1"/>
  <c r="E34" i="8"/>
  <c r="C38" i="8" s="1"/>
  <c r="I43" i="1"/>
  <c r="B24" i="7"/>
  <c r="C18" i="6"/>
  <c r="E34" i="7"/>
  <c r="I26" i="10" l="1"/>
  <c r="L26" i="10" s="1"/>
  <c r="B16" i="10"/>
  <c r="C15" i="10"/>
  <c r="B14" i="9"/>
  <c r="G13" i="9"/>
  <c r="J13" i="9" s="1"/>
  <c r="M13" i="9"/>
  <c r="C13" i="9"/>
  <c r="E11" i="9"/>
  <c r="F11" i="9"/>
  <c r="H11" i="9" s="1"/>
  <c r="I11" i="9" s="1"/>
  <c r="F38" i="8" a="1"/>
  <c r="F38" i="8" s="1"/>
  <c r="M26" i="10" l="1"/>
  <c r="P26" i="10" s="1"/>
  <c r="N26" i="10"/>
  <c r="B17" i="10"/>
  <c r="C16" i="10"/>
  <c r="B15" i="9"/>
  <c r="M14" i="9"/>
  <c r="C14" i="9"/>
  <c r="G14" i="9"/>
  <c r="J14" i="9" s="1"/>
  <c r="D15" i="9"/>
  <c r="D16" i="9" s="1"/>
  <c r="K11" i="9"/>
  <c r="L11" i="9" s="1"/>
  <c r="N11" i="9" s="1"/>
  <c r="O11" i="9" s="1"/>
  <c r="E12" i="9" s="1"/>
  <c r="F39" i="8"/>
  <c r="F42" i="8" s="1"/>
  <c r="K38" i="8" s="1"/>
  <c r="I33" i="8"/>
  <c r="I31" i="8"/>
  <c r="I29" i="8"/>
  <c r="I27" i="8"/>
  <c r="I25" i="8"/>
  <c r="I28" i="8"/>
  <c r="I24" i="8"/>
  <c r="I32" i="8"/>
  <c r="I30" i="8"/>
  <c r="I26" i="8"/>
  <c r="Q26" i="10" l="1"/>
  <c r="B18" i="10"/>
  <c r="C17" i="10"/>
  <c r="B16" i="9"/>
  <c r="M15" i="9"/>
  <c r="C15" i="9"/>
  <c r="G15" i="9"/>
  <c r="J15" i="9" s="1"/>
  <c r="F12" i="9"/>
  <c r="K41" i="8"/>
  <c r="M27" i="8"/>
  <c r="M31" i="8"/>
  <c r="M24" i="8"/>
  <c r="M28" i="8"/>
  <c r="M32" i="8"/>
  <c r="M25" i="8"/>
  <c r="M29" i="8"/>
  <c r="M33" i="8"/>
  <c r="M26" i="8"/>
  <c r="M30" i="8"/>
  <c r="I38" i="8"/>
  <c r="I41" i="8"/>
  <c r="C33" i="7"/>
  <c r="B33" i="7"/>
  <c r="D33" i="7" s="1"/>
  <c r="D32" i="7"/>
  <c r="C32" i="7"/>
  <c r="B32" i="7"/>
  <c r="C31" i="7"/>
  <c r="B31" i="7"/>
  <c r="D31" i="7" s="1"/>
  <c r="D30" i="7"/>
  <c r="C30" i="7"/>
  <c r="B30" i="7"/>
  <c r="C29" i="7"/>
  <c r="B29" i="7"/>
  <c r="D29" i="7" s="1"/>
  <c r="D28" i="7"/>
  <c r="C28" i="7"/>
  <c r="B28" i="7"/>
  <c r="C27" i="7"/>
  <c r="B27" i="7"/>
  <c r="D27" i="7" s="1"/>
  <c r="D26" i="7"/>
  <c r="C26" i="7"/>
  <c r="B26" i="7"/>
  <c r="C25" i="7"/>
  <c r="B25" i="7"/>
  <c r="D25" i="7" s="1"/>
  <c r="A25" i="7"/>
  <c r="A26" i="7" s="1"/>
  <c r="A27" i="7" s="1"/>
  <c r="A28" i="7" s="1"/>
  <c r="A29" i="7" s="1"/>
  <c r="A30" i="7" s="1"/>
  <c r="A31" i="7" s="1"/>
  <c r="A32" i="7" s="1"/>
  <c r="A33" i="7" s="1"/>
  <c r="D24" i="7"/>
  <c r="D34" i="7" s="1"/>
  <c r="C24" i="7"/>
  <c r="R26" i="10" l="1"/>
  <c r="A27" i="10" s="1"/>
  <c r="S26" i="10"/>
  <c r="B27" i="10" s="1"/>
  <c r="B19" i="10"/>
  <c r="C18" i="10"/>
  <c r="B17" i="9"/>
  <c r="G16" i="9"/>
  <c r="J16" i="9" s="1"/>
  <c r="M16" i="9"/>
  <c r="C16" i="9"/>
  <c r="D17" i="9"/>
  <c r="D18" i="9" s="1"/>
  <c r="H12" i="9"/>
  <c r="I12" i="9" s="1"/>
  <c r="L43" i="8"/>
  <c r="G25" i="7"/>
  <c r="F25" i="7"/>
  <c r="G29" i="7"/>
  <c r="F29" i="7"/>
  <c r="F33" i="7"/>
  <c r="G33" i="7"/>
  <c r="G24" i="7"/>
  <c r="F27" i="7"/>
  <c r="G27" i="7"/>
  <c r="F31" i="7"/>
  <c r="G31" i="7"/>
  <c r="C38" i="7"/>
  <c r="G26" i="7"/>
  <c r="G28" i="7"/>
  <c r="G30" i="7"/>
  <c r="G32" i="7"/>
  <c r="F24" i="7"/>
  <c r="F26" i="7"/>
  <c r="F28" i="7"/>
  <c r="F30" i="7"/>
  <c r="F32" i="7"/>
  <c r="D27" i="10" l="1"/>
  <c r="G27" i="10" s="1"/>
  <c r="C27" i="10"/>
  <c r="F27" i="10" s="1"/>
  <c r="B20" i="10"/>
  <c r="C20" i="10" s="1"/>
  <c r="C19" i="10"/>
  <c r="B18" i="9"/>
  <c r="G17" i="9"/>
  <c r="J17" i="9" s="1"/>
  <c r="C17" i="9"/>
  <c r="M17" i="9"/>
  <c r="K12" i="9"/>
  <c r="L12" i="9" s="1"/>
  <c r="G34" i="7"/>
  <c r="F34" i="7"/>
  <c r="B39" i="7" s="1"/>
  <c r="A39" i="7"/>
  <c r="B38" i="7"/>
  <c r="C39" i="7"/>
  <c r="I27" i="10" l="1"/>
  <c r="L27" i="10" s="1"/>
  <c r="H27" i="10"/>
  <c r="K27" i="10" s="1"/>
  <c r="M18" i="9"/>
  <c r="C18" i="9"/>
  <c r="G18" i="9"/>
  <c r="J18" i="9" s="1"/>
  <c r="N12" i="9"/>
  <c r="O12" i="9" s="1"/>
  <c r="E13" i="9" s="1"/>
  <c r="F38" i="7" a="1"/>
  <c r="F38" i="7" s="1"/>
  <c r="F41" i="7" s="1"/>
  <c r="N27" i="10" l="1"/>
  <c r="Q27" i="10" s="1"/>
  <c r="M27" i="10"/>
  <c r="F13" i="9"/>
  <c r="H13" i="9" s="1"/>
  <c r="I13" i="9" s="1"/>
  <c r="K13" i="9"/>
  <c r="L13" i="9" s="1"/>
  <c r="F39" i="7"/>
  <c r="F42" i="7" s="1"/>
  <c r="K41" i="7" s="1"/>
  <c r="I38" i="7"/>
  <c r="I41" i="7"/>
  <c r="P27" i="10" l="1"/>
  <c r="R27" i="10"/>
  <c r="A28" i="10" s="1"/>
  <c r="S27" i="10"/>
  <c r="B28" i="10" s="1"/>
  <c r="N13" i="9"/>
  <c r="O13" i="9" s="1"/>
  <c r="E14" i="9" s="1"/>
  <c r="I27" i="7"/>
  <c r="I26" i="7"/>
  <c r="I33" i="7"/>
  <c r="I28" i="7"/>
  <c r="I25" i="7"/>
  <c r="K38" i="7"/>
  <c r="I30" i="7"/>
  <c r="I29" i="7"/>
  <c r="I32" i="7"/>
  <c r="I31" i="7"/>
  <c r="D28" i="10" l="1"/>
  <c r="C28" i="10"/>
  <c r="F28" i="10" s="1"/>
  <c r="G28" i="10"/>
  <c r="F14" i="9"/>
  <c r="H14" i="9" s="1"/>
  <c r="I14" i="9" s="1"/>
  <c r="K14" i="9"/>
  <c r="L14" i="9" s="1"/>
  <c r="L43" i="7"/>
  <c r="H53" i="6"/>
  <c r="I48" i="6"/>
  <c r="J40" i="6"/>
  <c r="G43" i="6"/>
  <c r="J37" i="6"/>
  <c r="J34" i="6"/>
  <c r="J33" i="6"/>
  <c r="D34" i="6"/>
  <c r="D46" i="6"/>
  <c r="D39" i="6"/>
  <c r="D40" i="6"/>
  <c r="D41" i="6"/>
  <c r="D42" i="6"/>
  <c r="D43" i="6"/>
  <c r="D44" i="6"/>
  <c r="D45" i="6"/>
  <c r="D47" i="6"/>
  <c r="D48" i="6"/>
  <c r="D49" i="6"/>
  <c r="D50" i="6"/>
  <c r="D51" i="6"/>
  <c r="D52" i="6"/>
  <c r="D53" i="6"/>
  <c r="D54" i="6"/>
  <c r="D55" i="6"/>
  <c r="D56" i="6"/>
  <c r="D57" i="6"/>
  <c r="D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38" i="6"/>
  <c r="A51" i="6"/>
  <c r="A52" i="6" s="1"/>
  <c r="A53" i="6" s="1"/>
  <c r="A54" i="6" s="1"/>
  <c r="A55" i="6" s="1"/>
  <c r="A56" i="6" s="1"/>
  <c r="A57" i="6" s="1"/>
  <c r="A58" i="6" s="1"/>
  <c r="A40" i="6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39" i="6"/>
  <c r="A38" i="6"/>
  <c r="B31" i="6"/>
  <c r="B30" i="6"/>
  <c r="H28" i="10" l="1"/>
  <c r="K28" i="10" s="1"/>
  <c r="I28" i="10"/>
  <c r="L28" i="10" s="1"/>
  <c r="N14" i="9"/>
  <c r="O14" i="9" s="1"/>
  <c r="E15" i="9" s="1"/>
  <c r="I55" i="6"/>
  <c r="C19" i="6"/>
  <c r="C20" i="6"/>
  <c r="C21" i="6"/>
  <c r="C22" i="6"/>
  <c r="C23" i="6"/>
  <c r="C24" i="6"/>
  <c r="C25" i="6"/>
  <c r="C26" i="6"/>
  <c r="C27" i="6"/>
  <c r="C17" i="6"/>
  <c r="B18" i="6"/>
  <c r="B19" i="6"/>
  <c r="B20" i="6"/>
  <c r="B21" i="6"/>
  <c r="B22" i="6"/>
  <c r="B23" i="6"/>
  <c r="B24" i="6"/>
  <c r="B25" i="6"/>
  <c r="B26" i="6"/>
  <c r="B27" i="6"/>
  <c r="B17" i="6"/>
  <c r="A27" i="6"/>
  <c r="A19" i="6"/>
  <c r="A20" i="6"/>
  <c r="A21" i="6" s="1"/>
  <c r="A22" i="6" s="1"/>
  <c r="A23" i="6" s="1"/>
  <c r="A24" i="6" s="1"/>
  <c r="A25" i="6" s="1"/>
  <c r="A26" i="6" s="1"/>
  <c r="A18" i="6"/>
  <c r="F17" i="6"/>
  <c r="M28" i="10" l="1"/>
  <c r="P28" i="10" s="1"/>
  <c r="N28" i="10"/>
  <c r="Q28" i="10" s="1"/>
  <c r="F15" i="9"/>
  <c r="H15" i="9" s="1"/>
  <c r="I15" i="9" s="1"/>
  <c r="K15" i="9"/>
  <c r="L15" i="9" s="1"/>
  <c r="H58" i="6"/>
  <c r="I57" i="6"/>
  <c r="J58" i="6" s="1"/>
  <c r="C28" i="6"/>
  <c r="E83" i="5"/>
  <c r="E82" i="5"/>
  <c r="D83" i="5"/>
  <c r="D82" i="5"/>
  <c r="C83" i="5"/>
  <c r="C84" i="5" s="1"/>
  <c r="D64" i="5"/>
  <c r="F64" i="5" s="1"/>
  <c r="M61" i="5"/>
  <c r="E64" i="5" s="1"/>
  <c r="F50" i="5"/>
  <c r="E50" i="5"/>
  <c r="G50" i="5" s="1"/>
  <c r="C65" i="5"/>
  <c r="C66" i="5" s="1"/>
  <c r="C67" i="5" s="1"/>
  <c r="J60" i="5"/>
  <c r="J59" i="5"/>
  <c r="J47" i="5"/>
  <c r="C52" i="5"/>
  <c r="C51" i="5"/>
  <c r="I47" i="5"/>
  <c r="I46" i="5"/>
  <c r="J31" i="5"/>
  <c r="C33" i="5"/>
  <c r="C34" i="5" s="1"/>
  <c r="C35" i="5" s="1"/>
  <c r="C36" i="5" s="1"/>
  <c r="C37" i="5" s="1"/>
  <c r="C38" i="5" s="1"/>
  <c r="C39" i="5" s="1"/>
  <c r="C32" i="5"/>
  <c r="H31" i="5"/>
  <c r="I31" i="5"/>
  <c r="F32" i="5"/>
  <c r="G31" i="5"/>
  <c r="E31" i="5"/>
  <c r="D32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R28" i="10" l="1"/>
  <c r="A29" i="10" s="1"/>
  <c r="S28" i="10"/>
  <c r="B29" i="10" s="1"/>
  <c r="N15" i="9"/>
  <c r="O15" i="9" s="1"/>
  <c r="E16" i="9" s="1"/>
  <c r="I61" i="5"/>
  <c r="J61" i="5" s="1"/>
  <c r="H50" i="5"/>
  <c r="D51" i="5"/>
  <c r="J32" i="5"/>
  <c r="E84" i="5"/>
  <c r="C85" i="5"/>
  <c r="D84" i="5"/>
  <c r="G32" i="5"/>
  <c r="E32" i="5"/>
  <c r="G64" i="5"/>
  <c r="H64" i="5" s="1"/>
  <c r="E65" i="5" s="1"/>
  <c r="D65" i="5"/>
  <c r="F65" i="5" s="1"/>
  <c r="F33" i="5"/>
  <c r="I32" i="5"/>
  <c r="C29" i="10" l="1"/>
  <c r="D29" i="10"/>
  <c r="G29" i="10" s="1"/>
  <c r="F29" i="10"/>
  <c r="F16" i="9"/>
  <c r="H16" i="9" s="1"/>
  <c r="I16" i="9" s="1"/>
  <c r="K16" i="9" s="1"/>
  <c r="L16" i="9" s="1"/>
  <c r="I64" i="5"/>
  <c r="F51" i="5"/>
  <c r="E51" i="5"/>
  <c r="D66" i="5"/>
  <c r="F66" i="5" s="1"/>
  <c r="G65" i="5"/>
  <c r="H65" i="5" s="1"/>
  <c r="I65" i="5" s="1"/>
  <c r="D85" i="5"/>
  <c r="E85" i="5"/>
  <c r="C86" i="5"/>
  <c r="I33" i="5"/>
  <c r="D33" i="5"/>
  <c r="H32" i="5"/>
  <c r="I29" i="10" l="1"/>
  <c r="L29" i="10" s="1"/>
  <c r="H29" i="10"/>
  <c r="N16" i="9"/>
  <c r="O16" i="9" s="1"/>
  <c r="E17" i="9" s="1"/>
  <c r="E66" i="5"/>
  <c r="G66" i="5" s="1"/>
  <c r="D34" i="5"/>
  <c r="G33" i="5"/>
  <c r="E33" i="5"/>
  <c r="G51" i="5"/>
  <c r="J33" i="5"/>
  <c r="C87" i="5"/>
  <c r="D86" i="5"/>
  <c r="E86" i="5"/>
  <c r="K29" i="10" l="1"/>
  <c r="M29" i="10"/>
  <c r="P29" i="10" s="1"/>
  <c r="N29" i="10"/>
  <c r="F17" i="9"/>
  <c r="H17" i="9" s="1"/>
  <c r="I17" i="9" s="1"/>
  <c r="K17" i="9" s="1"/>
  <c r="L17" i="9" s="1"/>
  <c r="H66" i="5"/>
  <c r="I66" i="5" s="1"/>
  <c r="D67" i="5"/>
  <c r="F67" i="5" s="1"/>
  <c r="H51" i="5"/>
  <c r="D52" i="5"/>
  <c r="C88" i="5"/>
  <c r="D87" i="5"/>
  <c r="E87" i="5"/>
  <c r="H33" i="5"/>
  <c r="F34" i="5"/>
  <c r="G34" i="5"/>
  <c r="E67" i="5"/>
  <c r="Q29" i="10" l="1"/>
  <c r="N17" i="9"/>
  <c r="O17" i="9" s="1"/>
  <c r="E18" i="9" s="1"/>
  <c r="C89" i="5"/>
  <c r="E88" i="5"/>
  <c r="D88" i="5"/>
  <c r="I34" i="5"/>
  <c r="F35" i="5"/>
  <c r="J34" i="5"/>
  <c r="E52" i="5"/>
  <c r="F52" i="5"/>
  <c r="E34" i="5"/>
  <c r="G67" i="5"/>
  <c r="H67" i="5" s="1"/>
  <c r="H69" i="5" s="1"/>
  <c r="R29" i="10" l="1"/>
  <c r="A30" i="10" s="1"/>
  <c r="S29" i="10"/>
  <c r="B30" i="10" s="1"/>
  <c r="F18" i="9"/>
  <c r="H18" i="9" s="1"/>
  <c r="I18" i="9" s="1"/>
  <c r="K18" i="9" s="1"/>
  <c r="L18" i="9" s="1"/>
  <c r="N18" i="9" s="1"/>
  <c r="O18" i="9" s="1"/>
  <c r="I67" i="5"/>
  <c r="G52" i="5"/>
  <c r="H34" i="5"/>
  <c r="D35" i="5"/>
  <c r="I35" i="5"/>
  <c r="C90" i="5"/>
  <c r="D89" i="5"/>
  <c r="E89" i="5"/>
  <c r="B7" i="5"/>
  <c r="N20" i="3"/>
  <c r="N21" i="3"/>
  <c r="N22" i="3"/>
  <c r="N23" i="3"/>
  <c r="N24" i="3"/>
  <c r="N25" i="3"/>
  <c r="N26" i="3"/>
  <c r="N27" i="3"/>
  <c r="N19" i="3"/>
  <c r="D30" i="3"/>
  <c r="F33" i="3" s="1"/>
  <c r="J19" i="3"/>
  <c r="I19" i="3"/>
  <c r="H19" i="3"/>
  <c r="G19" i="3"/>
  <c r="F19" i="3"/>
  <c r="E19" i="3"/>
  <c r="C20" i="3"/>
  <c r="B26" i="3"/>
  <c r="B27" i="3" s="1"/>
  <c r="B21" i="3"/>
  <c r="B22" i="3" s="1"/>
  <c r="B23" i="3" s="1"/>
  <c r="B24" i="3" s="1"/>
  <c r="B25" i="3" s="1"/>
  <c r="B20" i="3"/>
  <c r="D30" i="10" l="1"/>
  <c r="G30" i="10" s="1"/>
  <c r="C30" i="10"/>
  <c r="E35" i="5"/>
  <c r="G35" i="5"/>
  <c r="D36" i="5"/>
  <c r="C91" i="5"/>
  <c r="D90" i="5"/>
  <c r="E90" i="5"/>
  <c r="J35" i="5"/>
  <c r="H52" i="5"/>
  <c r="G54" i="5"/>
  <c r="B9" i="5"/>
  <c r="B8" i="5"/>
  <c r="G20" i="3"/>
  <c r="K19" i="3"/>
  <c r="F20" i="3"/>
  <c r="L20" i="3" s="1"/>
  <c r="J20" i="3"/>
  <c r="C21" i="3"/>
  <c r="H20" i="3"/>
  <c r="L19" i="3"/>
  <c r="E20" i="3"/>
  <c r="K20" i="3" s="1"/>
  <c r="I20" i="3"/>
  <c r="F30" i="10" l="1"/>
  <c r="H30" i="10"/>
  <c r="K30" i="10" s="1"/>
  <c r="I30" i="10"/>
  <c r="C92" i="5"/>
  <c r="D91" i="5"/>
  <c r="E91" i="5"/>
  <c r="G36" i="5"/>
  <c r="E36" i="5"/>
  <c r="D37" i="5"/>
  <c r="I95" i="5"/>
  <c r="D98" i="5"/>
  <c r="H35" i="5"/>
  <c r="F36" i="5"/>
  <c r="B10" i="5"/>
  <c r="J21" i="3"/>
  <c r="F21" i="3"/>
  <c r="L21" i="3" s="1"/>
  <c r="I21" i="3"/>
  <c r="E21" i="3"/>
  <c r="G21" i="3"/>
  <c r="H21" i="3"/>
  <c r="C22" i="3"/>
  <c r="L30" i="10" l="1"/>
  <c r="J36" i="5"/>
  <c r="I36" i="5"/>
  <c r="D38" i="5"/>
  <c r="G37" i="5"/>
  <c r="H36" i="5"/>
  <c r="F37" i="5"/>
  <c r="E92" i="5"/>
  <c r="E94" i="5" s="1"/>
  <c r="D92" i="5"/>
  <c r="D94" i="5" s="1"/>
  <c r="D102" i="5" s="1"/>
  <c r="B11" i="5"/>
  <c r="K21" i="3"/>
  <c r="C23" i="3"/>
  <c r="G22" i="3"/>
  <c r="J22" i="3"/>
  <c r="F22" i="3"/>
  <c r="H22" i="3"/>
  <c r="I22" i="3"/>
  <c r="E22" i="3"/>
  <c r="K22" i="3" s="1"/>
  <c r="N30" i="10" l="1"/>
  <c r="M30" i="10"/>
  <c r="I37" i="5"/>
  <c r="J37" i="5"/>
  <c r="D39" i="5"/>
  <c r="G39" i="5" s="1"/>
  <c r="G38" i="5"/>
  <c r="E37" i="5"/>
  <c r="D103" i="5"/>
  <c r="B12" i="5"/>
  <c r="C24" i="3"/>
  <c r="H23" i="3"/>
  <c r="G23" i="3"/>
  <c r="I23" i="3"/>
  <c r="E23" i="3"/>
  <c r="K23" i="3" s="1"/>
  <c r="J23" i="3"/>
  <c r="F23" i="3"/>
  <c r="L23" i="3" s="1"/>
  <c r="L22" i="3"/>
  <c r="P30" i="10" l="1"/>
  <c r="Q30" i="10"/>
  <c r="H37" i="5"/>
  <c r="F38" i="5"/>
  <c r="B13" i="5"/>
  <c r="C25" i="3"/>
  <c r="I24" i="3"/>
  <c r="E24" i="3"/>
  <c r="H24" i="3"/>
  <c r="J24" i="3"/>
  <c r="F24" i="3"/>
  <c r="G24" i="3"/>
  <c r="E57" i="2"/>
  <c r="E56" i="2"/>
  <c r="E55" i="2"/>
  <c r="E54" i="2"/>
  <c r="E53" i="2"/>
  <c r="E51" i="2"/>
  <c r="E52" i="2"/>
  <c r="B38" i="2"/>
  <c r="F47" i="2" s="1"/>
  <c r="B53" i="2"/>
  <c r="E41" i="2"/>
  <c r="E40" i="2"/>
  <c r="E39" i="2"/>
  <c r="E38" i="2"/>
  <c r="E37" i="2"/>
  <c r="E36" i="2"/>
  <c r="E35" i="2"/>
  <c r="B22" i="2"/>
  <c r="E13" i="2"/>
  <c r="F12" i="2" s="1"/>
  <c r="E11" i="2"/>
  <c r="D18" i="2"/>
  <c r="E17" i="2" s="1"/>
  <c r="F16" i="2" s="1"/>
  <c r="G15" i="2" s="1"/>
  <c r="H14" i="2" s="1"/>
  <c r="D16" i="2"/>
  <c r="E15" i="2" s="1"/>
  <c r="F14" i="2" s="1"/>
  <c r="G13" i="2" s="1"/>
  <c r="D14" i="2"/>
  <c r="D12" i="2"/>
  <c r="D10" i="2"/>
  <c r="E9" i="2" s="1"/>
  <c r="F8" i="2" s="1"/>
  <c r="D8" i="2"/>
  <c r="E7" i="2" s="1"/>
  <c r="D6" i="2"/>
  <c r="R30" i="10" l="1"/>
  <c r="A31" i="10" s="1"/>
  <c r="S30" i="10"/>
  <c r="B31" i="10" s="1"/>
  <c r="F61" i="2"/>
  <c r="F62" i="2" s="1"/>
  <c r="I38" i="5"/>
  <c r="E38" i="5"/>
  <c r="J38" i="5"/>
  <c r="B14" i="5"/>
  <c r="L24" i="3"/>
  <c r="C26" i="3"/>
  <c r="J25" i="3"/>
  <c r="F25" i="3"/>
  <c r="L25" i="3" s="1"/>
  <c r="I25" i="3"/>
  <c r="E25" i="3"/>
  <c r="K25" i="3" s="1"/>
  <c r="G25" i="3"/>
  <c r="H25" i="3"/>
  <c r="K24" i="3"/>
  <c r="F10" i="2"/>
  <c r="G9" i="2" s="1"/>
  <c r="G11" i="2"/>
  <c r="H10" i="2" s="1"/>
  <c r="C77" i="1"/>
  <c r="C78" i="1"/>
  <c r="C79" i="1"/>
  <c r="C80" i="1"/>
  <c r="C81" i="1"/>
  <c r="C82" i="1"/>
  <c r="C83" i="1"/>
  <c r="C76" i="1"/>
  <c r="B77" i="1"/>
  <c r="B78" i="1" s="1"/>
  <c r="B79" i="1" s="1"/>
  <c r="B80" i="1" s="1"/>
  <c r="B81" i="1" s="1"/>
  <c r="B82" i="1" s="1"/>
  <c r="B83" i="1" s="1"/>
  <c r="D68" i="1"/>
  <c r="F68" i="1"/>
  <c r="F66" i="1"/>
  <c r="C67" i="1"/>
  <c r="D67" i="1" s="1"/>
  <c r="C68" i="1"/>
  <c r="C66" i="1"/>
  <c r="B67" i="1"/>
  <c r="F67" i="1" s="1"/>
  <c r="B68" i="1"/>
  <c r="B66" i="1"/>
  <c r="A67" i="1"/>
  <c r="A68" i="1" s="1"/>
  <c r="C58" i="1"/>
  <c r="C57" i="1"/>
  <c r="B58" i="1"/>
  <c r="B57" i="1"/>
  <c r="D58" i="1"/>
  <c r="B61" i="1" s="1"/>
  <c r="I60" i="1" s="1"/>
  <c r="F53" i="1"/>
  <c r="F13" i="1"/>
  <c r="C38" i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37" i="1"/>
  <c r="B38" i="1"/>
  <c r="K38" i="1" s="1"/>
  <c r="B39" i="1"/>
  <c r="K39" i="1" s="1"/>
  <c r="B40" i="1"/>
  <c r="K40" i="1" s="1"/>
  <c r="B41" i="1"/>
  <c r="K41" i="1" s="1"/>
  <c r="B42" i="1"/>
  <c r="K42" i="1" s="1"/>
  <c r="B43" i="1"/>
  <c r="K43" i="1" s="1"/>
  <c r="B44" i="1"/>
  <c r="K44" i="1" s="1"/>
  <c r="B37" i="1"/>
  <c r="A38" i="1"/>
  <c r="A39" i="1" s="1"/>
  <c r="A40" i="1" s="1"/>
  <c r="A41" i="1" s="1"/>
  <c r="A42" i="1" s="1"/>
  <c r="A43" i="1" s="1"/>
  <c r="A44" i="1" s="1"/>
  <c r="D31" i="10" l="1"/>
  <c r="G31" i="10" s="1"/>
  <c r="C31" i="10"/>
  <c r="F31" i="10"/>
  <c r="B71" i="1"/>
  <c r="J70" i="1" s="1"/>
  <c r="J71" i="1" s="1"/>
  <c r="D38" i="1"/>
  <c r="H38" i="5"/>
  <c r="F39" i="5"/>
  <c r="B15" i="5"/>
  <c r="C27" i="3"/>
  <c r="G26" i="3"/>
  <c r="J26" i="3"/>
  <c r="F26" i="3"/>
  <c r="L26" i="3" s="1"/>
  <c r="H26" i="3"/>
  <c r="I26" i="3"/>
  <c r="E26" i="3"/>
  <c r="K26" i="3" s="1"/>
  <c r="H12" i="2"/>
  <c r="H31" i="10" l="1"/>
  <c r="I31" i="10"/>
  <c r="E39" i="5"/>
  <c r="J39" i="5"/>
  <c r="I39" i="5"/>
  <c r="B16" i="5"/>
  <c r="H27" i="3"/>
  <c r="H30" i="3" s="1"/>
  <c r="G27" i="3"/>
  <c r="G30" i="3" s="1"/>
  <c r="I27" i="3"/>
  <c r="I30" i="3" s="1"/>
  <c r="D36" i="3" s="1"/>
  <c r="E27" i="3"/>
  <c r="J27" i="3"/>
  <c r="J30" i="3" s="1"/>
  <c r="F34" i="3" s="1"/>
  <c r="F27" i="3"/>
  <c r="C30" i="3"/>
  <c r="I11" i="2"/>
  <c r="I13" i="2"/>
  <c r="J12" i="2" s="1"/>
  <c r="C28" i="1"/>
  <c r="C29" i="1"/>
  <c r="C27" i="1"/>
  <c r="B28" i="1"/>
  <c r="G28" i="1" s="1"/>
  <c r="B29" i="1"/>
  <c r="B27" i="1"/>
  <c r="G27" i="1" s="1"/>
  <c r="C18" i="1"/>
  <c r="C17" i="1"/>
  <c r="B18" i="1"/>
  <c r="B17" i="1"/>
  <c r="A3" i="1"/>
  <c r="A4" i="1" s="1"/>
  <c r="A5" i="1" s="1"/>
  <c r="A6" i="1" s="1"/>
  <c r="A7" i="1" s="1"/>
  <c r="A8" i="1" s="1"/>
  <c r="A9" i="1" s="1"/>
  <c r="L31" i="10" l="1"/>
  <c r="K31" i="10"/>
  <c r="H39" i="5"/>
  <c r="G40" i="5"/>
  <c r="B17" i="5"/>
  <c r="K27" i="3"/>
  <c r="K30" i="3" s="1"/>
  <c r="F35" i="3" s="1"/>
  <c r="E30" i="3"/>
  <c r="A34" i="3"/>
  <c r="B33" i="3"/>
  <c r="L27" i="3"/>
  <c r="L30" i="3" s="1"/>
  <c r="F36" i="3" s="1"/>
  <c r="F30" i="3"/>
  <c r="C35" i="3"/>
  <c r="D34" i="3"/>
  <c r="B36" i="3"/>
  <c r="C36" i="3"/>
  <c r="D35" i="3"/>
  <c r="D18" i="1"/>
  <c r="B21" i="1" s="1"/>
  <c r="I20" i="1" s="1"/>
  <c r="D29" i="1"/>
  <c r="N31" i="10" l="1"/>
  <c r="M31" i="10"/>
  <c r="B18" i="5"/>
  <c r="C34" i="3"/>
  <c r="D33" i="3"/>
  <c r="B35" i="3"/>
  <c r="A36" i="3"/>
  <c r="C33" i="3"/>
  <c r="B34" i="3"/>
  <c r="A35" i="3"/>
  <c r="K33" i="3" a="1"/>
  <c r="B32" i="1"/>
  <c r="K31" i="1" s="1"/>
  <c r="K32" i="1" s="1"/>
  <c r="P31" i="10" l="1"/>
  <c r="Q31" i="10"/>
  <c r="B19" i="5"/>
  <c r="K33" i="3"/>
  <c r="K34" i="3"/>
  <c r="H38" i="3" s="1"/>
  <c r="K36" i="3"/>
  <c r="N38" i="3" s="1"/>
  <c r="K35" i="3"/>
  <c r="K38" i="3" s="1"/>
  <c r="R31" i="10" l="1"/>
  <c r="A32" i="10" s="1"/>
  <c r="S31" i="10"/>
  <c r="B32" i="10" s="1"/>
  <c r="B50" i="1"/>
  <c r="G50" i="1" s="1"/>
  <c r="G51" i="1" s="1"/>
  <c r="B89" i="1"/>
  <c r="J89" i="1" s="1"/>
  <c r="J90" i="1" s="1"/>
  <c r="B20" i="5"/>
  <c r="P22" i="3"/>
  <c r="P26" i="3"/>
  <c r="P23" i="3"/>
  <c r="P27" i="3"/>
  <c r="P20" i="3"/>
  <c r="P24" i="3"/>
  <c r="P19" i="3"/>
  <c r="F38" i="3"/>
  <c r="P21" i="3"/>
  <c r="P25" i="3"/>
  <c r="D32" i="10" l="1"/>
  <c r="G32" i="10" s="1"/>
  <c r="C32" i="10"/>
  <c r="F32" i="10" s="1"/>
  <c r="B21" i="5"/>
  <c r="E40" i="3"/>
  <c r="H32" i="10" l="1"/>
  <c r="K32" i="10" s="1"/>
  <c r="I32" i="10"/>
  <c r="B22" i="5"/>
  <c r="L32" i="10" l="1"/>
  <c r="B23" i="5"/>
  <c r="M32" i="10" l="1"/>
  <c r="P32" i="10" s="1"/>
  <c r="N32" i="10"/>
  <c r="B24" i="5"/>
  <c r="Q32" i="10" l="1"/>
  <c r="B25" i="5"/>
  <c r="R32" i="10" l="1"/>
  <c r="A33" i="10" s="1"/>
  <c r="S32" i="10"/>
  <c r="B33" i="10" s="1"/>
  <c r="B27" i="5"/>
  <c r="B26" i="5"/>
  <c r="D33" i="10" l="1"/>
  <c r="G33" i="10" s="1"/>
  <c r="C33" i="10"/>
  <c r="F33" i="10" s="1"/>
  <c r="H33" i="10" l="1"/>
  <c r="K33" i="10" s="1"/>
  <c r="I33" i="10"/>
  <c r="L33" i="10" s="1"/>
  <c r="N33" i="10" l="1"/>
  <c r="Q33" i="10" s="1"/>
  <c r="M33" i="10"/>
  <c r="P33" i="10" s="1"/>
  <c r="R33" i="10" l="1"/>
  <c r="S33" i="10"/>
</calcChain>
</file>

<file path=xl/sharedStrings.xml><?xml version="1.0" encoding="utf-8"?>
<sst xmlns="http://schemas.openxmlformats.org/spreadsheetml/2006/main" count="463" uniqueCount="305">
  <si>
    <t>k</t>
  </si>
  <si>
    <t>xk</t>
  </si>
  <si>
    <t>yk</t>
  </si>
  <si>
    <t>x1 =</t>
  </si>
  <si>
    <t xml:space="preserve">f(0.47) = </t>
  </si>
  <si>
    <t>a)по формуле кусочно-линейной интерполяции</t>
  </si>
  <si>
    <t>Bk</t>
  </si>
  <si>
    <t xml:space="preserve">L1(x) = </t>
  </si>
  <si>
    <t>1,9582 + 1,3443(x - 0,45)</t>
  </si>
  <si>
    <t>для [0,45;0,52]</t>
  </si>
  <si>
    <t xml:space="preserve">L1(0,47) = </t>
  </si>
  <si>
    <t xml:space="preserve">Δ = </t>
  </si>
  <si>
    <t xml:space="preserve">δ = </t>
  </si>
  <si>
    <t>&lt;1/2 * 10^(-3)</t>
  </si>
  <si>
    <t>б)по формуле кусочно-квадратичной интерполяции</t>
  </si>
  <si>
    <t>Ck</t>
  </si>
  <si>
    <t xml:space="preserve">L2(x) = </t>
  </si>
  <si>
    <t>1,9582 + 1,3443(x - 0,45) + 0,1830(x-0.45)(x-0.52)</t>
  </si>
  <si>
    <t>для [0.45;0.67]</t>
  </si>
  <si>
    <t xml:space="preserve">L2(0.47) = 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</si>
  <si>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=</t>
    </r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</si>
  <si>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=</t>
    </r>
  </si>
  <si>
    <t>&lt;1/2*10^(-4)</t>
  </si>
  <si>
    <t>в)Используя многочлен максимальной степени</t>
  </si>
  <si>
    <t>Dk</t>
  </si>
  <si>
    <t>Fk</t>
  </si>
  <si>
    <t>Gk</t>
  </si>
  <si>
    <t>Hk</t>
  </si>
  <si>
    <t>Ek</t>
  </si>
  <si>
    <t>x -xk</t>
  </si>
  <si>
    <t>1,9582 + 1,3443(x-0,45) + 0,1830(x-0,45)(x-0,52) + 0,3826(x-0,45)(x-0,52)(x-0,67) -</t>
  </si>
  <si>
    <t xml:space="preserve"> -3,0115(x-0,45)(x-0,52)(x-0,67)(x-0,74) + 47,8082(x-0,45)(x-0,52)(x-0,67)(x-0,74)(x-0,79) -</t>
  </si>
  <si>
    <t>- 115,2655(x-0,45)(x-0,52)(x-0,67)(x-0,74)(x-0,79)(x-0,84) + 33,4345(x-0,45)(x-0,52)(x-0,67)(x-0,74)(x-0,79)(x-0,84)(x-0,88)</t>
  </si>
  <si>
    <t>L7(0,47)=</t>
  </si>
  <si>
    <t>&lt;1/2*10^(-2)</t>
  </si>
  <si>
    <t xml:space="preserve">x2 = </t>
  </si>
  <si>
    <t xml:space="preserve">f(0,87)= </t>
  </si>
  <si>
    <t>a)По формуле кусочно-линейной интерполяции</t>
  </si>
  <si>
    <t>L1(x) =</t>
  </si>
  <si>
    <t>2,5192+1,6(x - 0,84)</t>
  </si>
  <si>
    <t>для [0,84;0,88]</t>
  </si>
  <si>
    <t>L1(0,87)=</t>
  </si>
  <si>
    <t>x-xk</t>
  </si>
  <si>
    <t>L2(x) =</t>
  </si>
  <si>
    <t>2,1592+1,6(x-0,84)+0,2834(x-0,84)(x-0,88)</t>
  </si>
  <si>
    <t>для [0,84;0,94]</t>
  </si>
  <si>
    <t>L2(0,87)=</t>
  </si>
  <si>
    <t>в)используя многочлен максимальной степени</t>
  </si>
  <si>
    <t>x - xk</t>
  </si>
  <si>
    <t xml:space="preserve">L7(x) = </t>
  </si>
  <si>
    <t>L7(0,87)=</t>
  </si>
  <si>
    <t>Δy</t>
  </si>
  <si>
    <t>Δ^2y</t>
  </si>
  <si>
    <t>Δ^3y</t>
  </si>
  <si>
    <t>Δ^4y</t>
  </si>
  <si>
    <t>Δ^5y</t>
  </si>
  <si>
    <t>Δ^6y</t>
  </si>
  <si>
    <t>Δ^7y</t>
  </si>
  <si>
    <t>Первый интерполяционный многочлен Ньютона</t>
  </si>
  <si>
    <t>х0=</t>
  </si>
  <si>
    <t>h =</t>
  </si>
  <si>
    <t>N7(0,61+0.23t) = 2,1768 + 0,3424t + 0,0479t(t-1)/2! + 0,0184t(t-1)(t-2)/3! + 0,0036t(t-1)(t-2)(t-3)/4! +</t>
  </si>
  <si>
    <t>+ 0,0013t(t-1)(t-2)(t-3)(t-4)/5! + 0t(t-1)(t-2)(t-3)(t-4)(t-5)/6! + 0,0003t(t-1)(t-2)(t-3)(t-4)(t-5)(t-6)/7!</t>
  </si>
  <si>
    <t>для [0,61;0,84]</t>
  </si>
  <si>
    <t>Второй интерполяционный многочлен Ньютона</t>
  </si>
  <si>
    <t>xn=</t>
  </si>
  <si>
    <t xml:space="preserve">h = </t>
  </si>
  <si>
    <t>N7(2,22 + 0,23t) = 6,3771 + 0,9976t + 0,1892t(t+1)/2! + 0,0409t(t+1)(t+2)/3! +0,0078t(t+1)(t+2)(t+3)/4! +</t>
  </si>
  <si>
    <t>+ 0,0016t(t+1)(t+2)(t+3)(t+4)/5! + 0,0003t(t+1)(t+2)(t+3)(t+4)(t+5)/6! + 0,0003t(t+1)(t+2)(t+3)(t+4)(t+5)(t+6)/7!</t>
  </si>
  <si>
    <t>для [1,99;2,22]</t>
  </si>
  <si>
    <t xml:space="preserve">x = </t>
  </si>
  <si>
    <t>f(0.69)=</t>
  </si>
  <si>
    <t>x0 =</t>
  </si>
  <si>
    <t>t</t>
  </si>
  <si>
    <t>t - 1</t>
  </si>
  <si>
    <t>t - 2</t>
  </si>
  <si>
    <t>t - 3</t>
  </si>
  <si>
    <t>t - 4</t>
  </si>
  <si>
    <t>t - 5</t>
  </si>
  <si>
    <t>t - 6</t>
  </si>
  <si>
    <t>N7(0.69)=</t>
  </si>
  <si>
    <t>&lt;1/2*10^(-5)</t>
  </si>
  <si>
    <t>f(1,48)=</t>
  </si>
  <si>
    <t>t+1</t>
  </si>
  <si>
    <t>t+2</t>
  </si>
  <si>
    <t>t+3</t>
  </si>
  <si>
    <t>t+4</t>
  </si>
  <si>
    <t>t+5</t>
  </si>
  <si>
    <t>t+6</t>
  </si>
  <si>
    <t>&lt;1/2*10^(-6)</t>
  </si>
  <si>
    <t>Исходные данные</t>
  </si>
  <si>
    <t>xi</t>
  </si>
  <si>
    <t>yi</t>
  </si>
  <si>
    <t xml:space="preserve">a) </t>
  </si>
  <si>
    <t>m=</t>
  </si>
  <si>
    <t>б)</t>
  </si>
  <si>
    <t>Определяем вид апроксимирующей кривой</t>
  </si>
  <si>
    <t>Линеаризация</t>
  </si>
  <si>
    <t>Xk</t>
  </si>
  <si>
    <t>Yk</t>
  </si>
  <si>
    <t>Сумма</t>
  </si>
  <si>
    <t>Xk^2</t>
  </si>
  <si>
    <t>Xk*Yk</t>
  </si>
  <si>
    <t xml:space="preserve">Линейная </t>
  </si>
  <si>
    <t>аппроксимация</t>
  </si>
  <si>
    <t>Нелинейная аппроксимация</t>
  </si>
  <si>
    <t xml:space="preserve">Нелинейная </t>
  </si>
  <si>
    <t>Ошибка</t>
  </si>
  <si>
    <t>Система</t>
  </si>
  <si>
    <t>А0 =</t>
  </si>
  <si>
    <t xml:space="preserve">А1 = </t>
  </si>
  <si>
    <t>a=</t>
  </si>
  <si>
    <t>b=</t>
  </si>
  <si>
    <t>Возврат к исходным данным</t>
  </si>
  <si>
    <t>Линейная аппроксимация</t>
  </si>
  <si>
    <t xml:space="preserve">Y = </t>
  </si>
  <si>
    <t>+</t>
  </si>
  <si>
    <t>X</t>
  </si>
  <si>
    <t>y =</t>
  </si>
  <si>
    <t xml:space="preserve">Квадратичная аппроксимация: </t>
  </si>
  <si>
    <t>в)</t>
  </si>
  <si>
    <t>xk^2</t>
  </si>
  <si>
    <t>xk^3</t>
  </si>
  <si>
    <t>xk^4</t>
  </si>
  <si>
    <t>xk^5</t>
  </si>
  <si>
    <t>xk^6</t>
  </si>
  <si>
    <t>Аппроксимация</t>
  </si>
  <si>
    <t>xk*yk</t>
  </si>
  <si>
    <t>xk^2*yk</t>
  </si>
  <si>
    <t>xk^3*yk</t>
  </si>
  <si>
    <t>c0</t>
  </si>
  <si>
    <t>c1</t>
  </si>
  <si>
    <t>b0</t>
  </si>
  <si>
    <t>c2</t>
  </si>
  <si>
    <t>c3</t>
  </si>
  <si>
    <t>c4</t>
  </si>
  <si>
    <t>c5</t>
  </si>
  <si>
    <t>c6</t>
  </si>
  <si>
    <t>b1</t>
  </si>
  <si>
    <t>b2</t>
  </si>
  <si>
    <t>b3</t>
  </si>
  <si>
    <t>Основная матрица</t>
  </si>
  <si>
    <t>Матрица свободных членов</t>
  </si>
  <si>
    <t>а0=</t>
  </si>
  <si>
    <t>а1=</t>
  </si>
  <si>
    <t>а2=</t>
  </si>
  <si>
    <t>а3=</t>
  </si>
  <si>
    <t>г)Квадратичная аппроксимация</t>
  </si>
  <si>
    <t>y=</t>
  </si>
  <si>
    <t>x</t>
  </si>
  <si>
    <t>x^2</t>
  </si>
  <si>
    <t>x^3</t>
  </si>
  <si>
    <t>д)Средняя ошибка аппроксимации</t>
  </si>
  <si>
    <t>yk - Экспериментальные данные</t>
  </si>
  <si>
    <t>Аппроксимация - Квадрат. Аппроксимация</t>
  </si>
  <si>
    <t>Полиномиальная(yk) - Квадрат. Аппроксимация</t>
  </si>
  <si>
    <t>Средняя ошибка аппроксимации</t>
  </si>
  <si>
    <t>f(x) = sinx - e^x</t>
  </si>
  <si>
    <t>Отделение корней</t>
  </si>
  <si>
    <t>f(x)</t>
  </si>
  <si>
    <t>h = 1</t>
  </si>
  <si>
    <t>a =</t>
  </si>
  <si>
    <t xml:space="preserve">b = </t>
  </si>
  <si>
    <t>a)Метод половинного деления</t>
  </si>
  <si>
    <t>i</t>
  </si>
  <si>
    <t>ai</t>
  </si>
  <si>
    <t>ci=(a+b)/2</t>
  </si>
  <si>
    <t>bi</t>
  </si>
  <si>
    <t>f(ai)</t>
  </si>
  <si>
    <t>f(ci)</t>
  </si>
  <si>
    <t>f(bi)</t>
  </si>
  <si>
    <t>bi - ai</t>
  </si>
  <si>
    <t>&lt;e/2</t>
  </si>
  <si>
    <t>x =</t>
  </si>
  <si>
    <t>±</t>
  </si>
  <si>
    <t>б)Метод касательных(Ньютона)</t>
  </si>
  <si>
    <t>Производные</t>
  </si>
  <si>
    <t xml:space="preserve">f'(x) = </t>
  </si>
  <si>
    <t>cos(x) - e^x</t>
  </si>
  <si>
    <t xml:space="preserve">f''(x) = </t>
  </si>
  <si>
    <t>-sinx - e^x</t>
  </si>
  <si>
    <t>Выбор начального приближения</t>
  </si>
  <si>
    <t>f''(x)</t>
  </si>
  <si>
    <t>x i-1</t>
  </si>
  <si>
    <t>f(x i-1)</t>
  </si>
  <si>
    <t>f'(x i-1)</t>
  </si>
  <si>
    <t>x i</t>
  </si>
  <si>
    <t>Оценка</t>
  </si>
  <si>
    <t>в)Метод секущих</t>
  </si>
  <si>
    <t>c =</t>
  </si>
  <si>
    <t>b =</t>
  </si>
  <si>
    <t>x i-2</t>
  </si>
  <si>
    <t>f(x i-2)</t>
  </si>
  <si>
    <t xml:space="preserve">x0 = </t>
  </si>
  <si>
    <t>x1=</t>
  </si>
  <si>
    <t>x=</t>
  </si>
  <si>
    <t>Реально достигнутая точность оценивается следующими неравенствами:</t>
  </si>
  <si>
    <t>Оцениваем производные ПО МОДУЛЮ</t>
  </si>
  <si>
    <t>f'(x)</t>
  </si>
  <si>
    <t>min =</t>
  </si>
  <si>
    <t>max =</t>
  </si>
  <si>
    <t>Значение функции в xn метода Ньютона</t>
  </si>
  <si>
    <t>Оценки</t>
  </si>
  <si>
    <t>xn =</t>
  </si>
  <si>
    <t>f(xn)=</t>
  </si>
  <si>
    <t>|Xn - ξ| =</t>
  </si>
  <si>
    <t>xn - 1 =</t>
  </si>
  <si>
    <t>№ 6. Найдите число отрезков, на которые нужно разбить область интегрирования,</t>
  </si>
  <si>
    <t>чтобы вычислить интеграл с точностью  ≤ 10-4 методом прямоугольников.</t>
  </si>
  <si>
    <t>Вычислите интеграл при разбиении на 20 отрезков методами</t>
  </si>
  <si>
    <t>а) прямоугольников;</t>
  </si>
  <si>
    <t>б) трапеций;</t>
  </si>
  <si>
    <t>в) Симпсона.</t>
  </si>
  <si>
    <t>Оцените реально достигнутую точность при использовании метода Симпсона. Получите</t>
  </si>
  <si>
    <t>значение интеграла с полученной точностью</t>
  </si>
  <si>
    <t>f(x) = sh(x^2)</t>
  </si>
  <si>
    <t>f'(x) = 2x ch(x^2)</t>
  </si>
  <si>
    <t>f''(x) = 2(2x^2sh(x^2) + ch(x^2))</t>
  </si>
  <si>
    <t xml:space="preserve">Определим кол-во отрезков разбиения n для вычисления интеграла методом прямоугольников с заданной точностью </t>
  </si>
  <si>
    <t>e =</t>
  </si>
  <si>
    <t>(априорная оценка)</t>
  </si>
  <si>
    <t>Оцениваемые производные ПО МОДУЛЮ</t>
  </si>
  <si>
    <t>M2 =</t>
  </si>
  <si>
    <t>n =</t>
  </si>
  <si>
    <t xml:space="preserve"> число интервалов</t>
  </si>
  <si>
    <t xml:space="preserve"> - шаг</t>
  </si>
  <si>
    <t>Вычисляем интеграл при разбиении на 20 интервалов</t>
  </si>
  <si>
    <t xml:space="preserve">n = </t>
  </si>
  <si>
    <t>Заполняем вспомогательную таблицу</t>
  </si>
  <si>
    <t>(xi + xi+1)/2</t>
  </si>
  <si>
    <t>f((xi + xi+1)/2)</t>
  </si>
  <si>
    <t>а)Метод прямоугольников</t>
  </si>
  <si>
    <t>I лев.прям.=</t>
  </si>
  <si>
    <t>I пр.прям.=</t>
  </si>
  <si>
    <t>I ср.прям =</t>
  </si>
  <si>
    <t>б)Метод трапеций</t>
  </si>
  <si>
    <t>в)Метод Симпсона</t>
  </si>
  <si>
    <t>n=</t>
  </si>
  <si>
    <t>h=</t>
  </si>
  <si>
    <t>I Симпс. =</t>
  </si>
  <si>
    <t>I трапец. =</t>
  </si>
  <si>
    <t>Оценим реально достигнутую точность для метода Симпсона</t>
  </si>
  <si>
    <t>(апостериорная оценка)</t>
  </si>
  <si>
    <t>для h</t>
  </si>
  <si>
    <t>для h/2</t>
  </si>
  <si>
    <t xml:space="preserve">I Симпсон = </t>
  </si>
  <si>
    <t>Достигнутая точность</t>
  </si>
  <si>
    <t>I=</t>
  </si>
  <si>
    <t>X = lnx</t>
  </si>
  <si>
    <t>ln(x)</t>
  </si>
  <si>
    <t>Y = ln(y)</t>
  </si>
  <si>
    <t>X = 1/x</t>
  </si>
  <si>
    <t>Показательная функция</t>
  </si>
  <si>
    <t>f(b)*f(c) &lt; 0</t>
  </si>
  <si>
    <t>N5(1,48)=</t>
  </si>
  <si>
    <t>1,9582 + 1,3443(x-0,45) + 0,1830(x-0,45)(x-0,52) + 0,3826(x-0,45)(x-0,52)(x-0,67) +</t>
  </si>
  <si>
    <t xml:space="preserve"> + -3,0115(x-0,45)(x-0,52)(x-0,67)(x-0,74) + 47,8082(x-0,45)(x-0,52)(x-0,67)(x-0,74)(x-0,79) +</t>
  </si>
  <si>
    <t xml:space="preserve"> +- 115,2655(x-0,45)(x-0,52)(x-0,67)(x-0,74)(x-0,79)(x-0,84) + 33,4345(x-0,45)(x-0,52)(x-0,67)(x-0,74)(x-0,79)(x-0,84)(x-0,88)</t>
  </si>
  <si>
    <t>Таким образом, реально достигнутая точность 10^(-15)</t>
  </si>
  <si>
    <t>/x</t>
  </si>
  <si>
    <t>Степенная функция</t>
  </si>
  <si>
    <t>y = a * x^b</t>
  </si>
  <si>
    <t>Таким образом, степенная аппроксимация является более точной</t>
  </si>
  <si>
    <t>y = a*e^(b/x)</t>
  </si>
  <si>
    <t>*e^</t>
  </si>
  <si>
    <t>f(a)*f''(a) &lt; 0 - условие не выполняется, выберем произвольную точку x0 = -3</t>
  </si>
  <si>
    <t xml:space="preserve">Исходные данные </t>
  </si>
  <si>
    <t>y(1) = -1</t>
  </si>
  <si>
    <t>y0 =</t>
  </si>
  <si>
    <t xml:space="preserve">Точное решение: </t>
  </si>
  <si>
    <t xml:space="preserve"> -1/х</t>
  </si>
  <si>
    <t>y</t>
  </si>
  <si>
    <t>Эйлер</t>
  </si>
  <si>
    <t>k1</t>
  </si>
  <si>
    <t>xi + h/2</t>
  </si>
  <si>
    <t>k2</t>
  </si>
  <si>
    <t>yi + k1*h/2</t>
  </si>
  <si>
    <t>yi+k2*h/2</t>
  </si>
  <si>
    <t>k3</t>
  </si>
  <si>
    <t>xi+h</t>
  </si>
  <si>
    <t>yi+k3*h</t>
  </si>
  <si>
    <t>k4</t>
  </si>
  <si>
    <t>Рунге-Кутт</t>
  </si>
  <si>
    <t>Точное Решение</t>
  </si>
  <si>
    <t>xi+h/2</t>
  </si>
  <si>
    <t>x0=</t>
  </si>
  <si>
    <t>y0=</t>
  </si>
  <si>
    <t>z0=</t>
  </si>
  <si>
    <t xml:space="preserve">fi = </t>
  </si>
  <si>
    <t>psi =</t>
  </si>
  <si>
    <t>z</t>
  </si>
  <si>
    <t>6x^2 + 2x + 1 - 2z</t>
  </si>
  <si>
    <t xml:space="preserve">Точное решение задачи </t>
  </si>
  <si>
    <t>y(x)</t>
  </si>
  <si>
    <t>Точное значение</t>
  </si>
  <si>
    <t>zi</t>
  </si>
  <si>
    <t>Рунге -Кутта</t>
  </si>
  <si>
    <t>l1</t>
  </si>
  <si>
    <t>yi+k1*h/2</t>
  </si>
  <si>
    <t>zi+l1*h/2</t>
  </si>
  <si>
    <t>l2</t>
  </si>
  <si>
    <t>zi+l2*h/2</t>
  </si>
  <si>
    <t>l3</t>
  </si>
  <si>
    <t>zi+l3*h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</si>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</sst>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E+00"/>
    <numFmt numFmtId="166" formatCode="0.000000"/>
    <numFmt numFmtId="167" formatCode="0.00000000"/>
    <numFmt numFmtId="168" formatCode="0.0000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64" fontId="0" fillId="3" borderId="0" xfId="0" applyNumberForma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3" borderId="0" xfId="0" applyFill="1"/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7" xfId="0" applyNumberFormat="1" applyBorder="1"/>
    <xf numFmtId="164" fontId="0" fillId="0" borderId="6" xfId="0" applyNumberForma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/>
    <xf numFmtId="0" fontId="0" fillId="4" borderId="0" xfId="0" applyFill="1"/>
    <xf numFmtId="2" fontId="0" fillId="0" borderId="1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1" fillId="0" borderId="11" xfId="0" applyFont="1" applyBorder="1"/>
    <xf numFmtId="0" fontId="0" fillId="0" borderId="0" xfId="0" quotePrefix="1" applyBorder="1"/>
    <xf numFmtId="164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0" fontId="0" fillId="0" borderId="15" xfId="0" applyBorder="1"/>
    <xf numFmtId="0" fontId="3" fillId="0" borderId="0" xfId="0" applyFont="1"/>
    <xf numFmtId="0" fontId="0" fillId="0" borderId="11" xfId="0" applyFill="1" applyBorder="1"/>
    <xf numFmtId="0" fontId="0" fillId="0" borderId="1" xfId="0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quotePrefix="1"/>
    <xf numFmtId="0" fontId="0" fillId="0" borderId="11" xfId="0" quotePrefix="1" applyBorder="1"/>
    <xf numFmtId="0" fontId="4" fillId="0" borderId="0" xfId="0" applyFont="1"/>
    <xf numFmtId="2" fontId="0" fillId="3" borderId="0" xfId="0" applyNumberFormat="1" applyFill="1"/>
    <xf numFmtId="0" fontId="1" fillId="3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3" borderId="14" xfId="0" applyNumberFormat="1" applyFill="1" applyBorder="1"/>
    <xf numFmtId="0" fontId="1" fillId="3" borderId="14" xfId="0" applyFont="1" applyFill="1" applyBorder="1"/>
    <xf numFmtId="0" fontId="0" fillId="3" borderId="6" xfId="0" applyFill="1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68" fontId="0" fillId="0" borderId="0" xfId="0" applyNumberFormat="1"/>
    <xf numFmtId="10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5" fontId="0" fillId="3" borderId="0" xfId="0" applyNumberFormat="1" applyFill="1"/>
    <xf numFmtId="166" fontId="0" fillId="0" borderId="3" xfId="0" applyNumberFormat="1" applyBorder="1"/>
    <xf numFmtId="10" fontId="0" fillId="3" borderId="0" xfId="0" applyNumberFormat="1" applyFill="1"/>
    <xf numFmtId="10" fontId="0" fillId="0" borderId="0" xfId="0" applyNumberFormat="1" applyAlignment="1">
      <alignment horizontal="center"/>
    </xf>
    <xf numFmtId="9" fontId="0" fillId="0" borderId="0" xfId="1" applyFont="1"/>
    <xf numFmtId="10" fontId="0" fillId="3" borderId="0" xfId="1" applyNumberFormat="1" applyFont="1" applyFill="1"/>
    <xf numFmtId="0" fontId="0" fillId="3" borderId="0" xfId="0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Точечная диаграмма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3'!$A$3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3'!$B$2:$J$2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3'!$B$3:$J$3</c:f>
              <c:numCache>
                <c:formatCode>General</c:formatCode>
                <c:ptCount val="9"/>
                <c:pt idx="0">
                  <c:v>-8.52</c:v>
                </c:pt>
                <c:pt idx="1">
                  <c:v>-3.54</c:v>
                </c:pt>
                <c:pt idx="2">
                  <c:v>0.5</c:v>
                </c:pt>
                <c:pt idx="3">
                  <c:v>2.2999999999999998</c:v>
                </c:pt>
                <c:pt idx="4">
                  <c:v>-1</c:v>
                </c:pt>
                <c:pt idx="5">
                  <c:v>-3.9</c:v>
                </c:pt>
                <c:pt idx="6">
                  <c:v>-5.0999999999999996</c:v>
                </c:pt>
                <c:pt idx="7">
                  <c:v>-4.2</c:v>
                </c:pt>
                <c:pt idx="8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C-4724-A6B2-97ABE1325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06384"/>
        <c:axId val="109203056"/>
      </c:scatterChart>
      <c:valAx>
        <c:axId val="10920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03056"/>
        <c:crosses val="autoZero"/>
        <c:crossBetween val="midCat"/>
      </c:valAx>
      <c:valAx>
        <c:axId val="1092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0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'Задание 3'!$N$18</c:f>
              <c:strCache>
                <c:ptCount val="1"/>
                <c:pt idx="0">
                  <c:v>Аппроксимация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3'!$C$19:$C$27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3'!$N$19:$N$27</c:f>
              <c:numCache>
                <c:formatCode>General</c:formatCode>
                <c:ptCount val="9"/>
                <c:pt idx="0">
                  <c:v>-9.6264646464646475</c:v>
                </c:pt>
                <c:pt idx="1">
                  <c:v>-1.6713131313131306</c:v>
                </c:pt>
                <c:pt idx="2">
                  <c:v>1.233535353535355</c:v>
                </c:pt>
                <c:pt idx="3">
                  <c:v>0.72393939393939499</c:v>
                </c:pt>
                <c:pt idx="4">
                  <c:v>-1.5642424242424244</c:v>
                </c:pt>
                <c:pt idx="5">
                  <c:v>-3.9951515151515169</c:v>
                </c:pt>
                <c:pt idx="6">
                  <c:v>-4.9329292929292965</c:v>
                </c:pt>
                <c:pt idx="7">
                  <c:v>-2.7417171717171742</c:v>
                </c:pt>
                <c:pt idx="8">
                  <c:v>4.2143434343434336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0D-4F8F-8D1E-7891B5182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743839"/>
        <c:axId val="1746318159"/>
      </c:scatterChart>
      <c:scatterChart>
        <c:scatterStyle val="lineMarker"/>
        <c:varyColors val="0"/>
        <c:ser>
          <c:idx val="0"/>
          <c:order val="0"/>
          <c:tx>
            <c:strRef>
              <c:f>'Задание 3'!$D$18</c:f>
              <c:strCache>
                <c:ptCount val="1"/>
                <c:pt idx="0">
                  <c:v>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47384142607174101"/>
                  <c:y val="0.467415204678362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0,2726x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- 0,0714x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</a:t>
                    </a:r>
                    <a:r>
                      <a:rPr lang="ru-RU" baseline="0"/>
                      <a:t> </a:t>
                    </a:r>
                    <a:r>
                      <a:rPr lang="en-US" baseline="0"/>
                      <a:t>2,6322x </a:t>
                    </a:r>
                    <a:r>
                      <a:rPr lang="ru-RU" baseline="0"/>
                      <a:t>- </a:t>
                    </a:r>
                    <a:br>
                      <a:rPr lang="ru-RU" baseline="0"/>
                    </a:br>
                    <a:r>
                      <a:rPr lang="en-US" baseline="0"/>
                      <a:t>- 1,5642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3'!$C$19:$C$27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3'!$D$19:$D$27</c:f>
              <c:numCache>
                <c:formatCode>General</c:formatCode>
                <c:ptCount val="9"/>
                <c:pt idx="0">
                  <c:v>-8.52</c:v>
                </c:pt>
                <c:pt idx="1">
                  <c:v>-3.54</c:v>
                </c:pt>
                <c:pt idx="2">
                  <c:v>0.5</c:v>
                </c:pt>
                <c:pt idx="3">
                  <c:v>2.2999999999999998</c:v>
                </c:pt>
                <c:pt idx="4">
                  <c:v>-1</c:v>
                </c:pt>
                <c:pt idx="5">
                  <c:v>-3.9</c:v>
                </c:pt>
                <c:pt idx="6">
                  <c:v>-5.0999999999999996</c:v>
                </c:pt>
                <c:pt idx="7">
                  <c:v>-4.2</c:v>
                </c:pt>
                <c:pt idx="8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D-4F8F-8D1E-7891B5182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743839"/>
        <c:axId val="1746318159"/>
      </c:scatterChart>
      <c:valAx>
        <c:axId val="167974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318159"/>
        <c:crosses val="autoZero"/>
        <c:crossBetween val="midCat"/>
      </c:valAx>
      <c:valAx>
        <c:axId val="17463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9743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51377952755904"/>
          <c:y val="0.3922790901137358"/>
          <c:w val="0.3638195538057743"/>
          <c:h val="0.252895158938466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Исходные</a:t>
            </a:r>
            <a:r>
              <a:rPr lang="ru-RU" baseline="0"/>
              <a:t> данные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803149606299204E-2"/>
          <c:y val="0.18097222222222226"/>
          <c:w val="0.8997454068241469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'Задание 4 Показательная '!$A$3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'Задание 4 Показательная '!$B$2:$K$2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Показательная '!$B$3:$K$3</c:f>
              <c:numCache>
                <c:formatCode>General</c:formatCode>
                <c:ptCount val="10"/>
                <c:pt idx="0">
                  <c:v>8.18</c:v>
                </c:pt>
                <c:pt idx="1">
                  <c:v>3.41</c:v>
                </c:pt>
                <c:pt idx="2">
                  <c:v>2.21</c:v>
                </c:pt>
                <c:pt idx="3">
                  <c:v>1.36</c:v>
                </c:pt>
                <c:pt idx="4">
                  <c:v>0.9</c:v>
                </c:pt>
                <c:pt idx="5">
                  <c:v>0.63</c:v>
                </c:pt>
                <c:pt idx="6">
                  <c:v>0.56000000000000005</c:v>
                </c:pt>
                <c:pt idx="7">
                  <c:v>0.35</c:v>
                </c:pt>
                <c:pt idx="8">
                  <c:v>0.3</c:v>
                </c:pt>
                <c:pt idx="9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3-4BAB-9AC9-161AC3BE3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79744"/>
        <c:axId val="261689312"/>
      </c:scatterChart>
      <c:valAx>
        <c:axId val="2616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689312"/>
        <c:crosses val="autoZero"/>
        <c:crossBetween val="midCat"/>
      </c:valAx>
      <c:valAx>
        <c:axId val="2616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6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Нелинейная аппроксимация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41009426946631672"/>
                  <c:y val="-3.15587634878973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4 Показательная '!$B$24:$B$33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Показательная '!$C$24:$C$33</c:f>
              <c:numCache>
                <c:formatCode>General</c:formatCode>
                <c:ptCount val="10"/>
                <c:pt idx="0">
                  <c:v>8.18</c:v>
                </c:pt>
                <c:pt idx="1">
                  <c:v>3.41</c:v>
                </c:pt>
                <c:pt idx="2">
                  <c:v>2.21</c:v>
                </c:pt>
                <c:pt idx="3">
                  <c:v>1.36</c:v>
                </c:pt>
                <c:pt idx="4">
                  <c:v>0.9</c:v>
                </c:pt>
                <c:pt idx="5">
                  <c:v>0.63</c:v>
                </c:pt>
                <c:pt idx="6">
                  <c:v>0.56000000000000005</c:v>
                </c:pt>
                <c:pt idx="7">
                  <c:v>0.35</c:v>
                </c:pt>
                <c:pt idx="8">
                  <c:v>0.3</c:v>
                </c:pt>
                <c:pt idx="9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2-4283-91DF-CA8319E01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5072"/>
        <c:axId val="1316074656"/>
      </c:scatterChart>
      <c:scatterChart>
        <c:scatterStyle val="smoothMarker"/>
        <c:varyColors val="0"/>
        <c:ser>
          <c:idx val="0"/>
          <c:order val="0"/>
          <c:tx>
            <c:v>Аппроксимация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4 Показательная '!$B$24:$B$33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Показательная '!$K$24:$K$33</c:f>
              <c:numCache>
                <c:formatCode>General</c:formatCode>
                <c:ptCount val="10"/>
                <c:pt idx="0">
                  <c:v>10.304514515295287</c:v>
                </c:pt>
                <c:pt idx="1">
                  <c:v>3.5493791296832233</c:v>
                </c:pt>
                <c:pt idx="2">
                  <c:v>1.7824419446880326</c:v>
                </c:pt>
                <c:pt idx="3">
                  <c:v>1.0839120562214637</c:v>
                </c:pt>
                <c:pt idx="4">
                  <c:v>0.7622526419352682</c:v>
                </c:pt>
                <c:pt idx="5">
                  <c:v>0.58127712858518532</c:v>
                </c:pt>
                <c:pt idx="6">
                  <c:v>0.46876812592040512</c:v>
                </c:pt>
                <c:pt idx="7">
                  <c:v>0.39355743626039352</c:v>
                </c:pt>
                <c:pt idx="8">
                  <c:v>0.33872128638146071</c:v>
                </c:pt>
                <c:pt idx="9">
                  <c:v>0.30001178648647187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A2-4283-91DF-CA8319E01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5072"/>
        <c:axId val="1316074656"/>
      </c:scatterChart>
      <c:valAx>
        <c:axId val="131607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6074656"/>
        <c:crosses val="autoZero"/>
        <c:crossBetween val="midCat"/>
      </c:valAx>
      <c:valAx>
        <c:axId val="13160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607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Исходные</a:t>
            </a:r>
            <a:r>
              <a:rPr lang="ru-RU" baseline="0"/>
              <a:t> данные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803149606299204E-2"/>
          <c:y val="0.18097222222222226"/>
          <c:w val="0.8997454068241469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'Задание 4 Степенная'!$A$3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4 Степенная'!$B$2:$K$2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Степенная'!$B$3:$K$3</c:f>
              <c:numCache>
                <c:formatCode>General</c:formatCode>
                <c:ptCount val="10"/>
                <c:pt idx="0">
                  <c:v>8.18</c:v>
                </c:pt>
                <c:pt idx="1">
                  <c:v>3.41</c:v>
                </c:pt>
                <c:pt idx="2">
                  <c:v>2.21</c:v>
                </c:pt>
                <c:pt idx="3">
                  <c:v>1.36</c:v>
                </c:pt>
                <c:pt idx="4">
                  <c:v>0.9</c:v>
                </c:pt>
                <c:pt idx="5">
                  <c:v>0.63</c:v>
                </c:pt>
                <c:pt idx="6">
                  <c:v>0.56000000000000005</c:v>
                </c:pt>
                <c:pt idx="7">
                  <c:v>0.35</c:v>
                </c:pt>
                <c:pt idx="8">
                  <c:v>0.3</c:v>
                </c:pt>
                <c:pt idx="9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F-4AAA-AFDD-368964338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79744"/>
        <c:axId val="261689312"/>
      </c:scatterChart>
      <c:valAx>
        <c:axId val="2616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689312"/>
        <c:crosses val="autoZero"/>
        <c:crossBetween val="midCat"/>
      </c:valAx>
      <c:valAx>
        <c:axId val="2616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6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Исходные данные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4 Степенная'!$B$24:$B$33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Степенная'!$C$24:$C$33</c:f>
              <c:numCache>
                <c:formatCode>General</c:formatCode>
                <c:ptCount val="10"/>
                <c:pt idx="0">
                  <c:v>8.18</c:v>
                </c:pt>
                <c:pt idx="1">
                  <c:v>3.41</c:v>
                </c:pt>
                <c:pt idx="2">
                  <c:v>2.21</c:v>
                </c:pt>
                <c:pt idx="3">
                  <c:v>1.36</c:v>
                </c:pt>
                <c:pt idx="4">
                  <c:v>0.9</c:v>
                </c:pt>
                <c:pt idx="5">
                  <c:v>0.63</c:v>
                </c:pt>
                <c:pt idx="6">
                  <c:v>0.56000000000000005</c:v>
                </c:pt>
                <c:pt idx="7">
                  <c:v>0.35</c:v>
                </c:pt>
                <c:pt idx="8">
                  <c:v>0.3</c:v>
                </c:pt>
                <c:pt idx="9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4-4BBD-8182-69254A5BE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15776"/>
        <c:axId val="1351223680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35756211723534559"/>
                  <c:y val="-0.10563283756197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4 Степенная'!$B$24:$B$33</c:f>
              <c:numCache>
                <c:formatCode>General</c:formatCode>
                <c:ptCount val="10"/>
                <c:pt idx="0">
                  <c:v>0.95</c:v>
                </c:pt>
                <c:pt idx="1">
                  <c:v>1.21</c:v>
                </c:pt>
                <c:pt idx="2">
                  <c:v>1.47</c:v>
                </c:pt>
                <c:pt idx="3">
                  <c:v>1.74</c:v>
                </c:pt>
                <c:pt idx="4">
                  <c:v>2</c:v>
                </c:pt>
                <c:pt idx="5">
                  <c:v>2.2599999999999998</c:v>
                </c:pt>
                <c:pt idx="6">
                  <c:v>2.52</c:v>
                </c:pt>
                <c:pt idx="7">
                  <c:v>2.78</c:v>
                </c:pt>
                <c:pt idx="8">
                  <c:v>3.05</c:v>
                </c:pt>
                <c:pt idx="9">
                  <c:v>3.31</c:v>
                </c:pt>
              </c:numCache>
            </c:numRef>
          </c:xVal>
          <c:yVal>
            <c:numRef>
              <c:f>'Задание 4 Степенная'!$K$24:$K$33</c:f>
              <c:numCache>
                <c:formatCode>General</c:formatCode>
                <c:ptCount val="10"/>
                <c:pt idx="0">
                  <c:v>7.5223749853157393</c:v>
                </c:pt>
                <c:pt idx="1">
                  <c:v>3.8076041691411087</c:v>
                </c:pt>
                <c:pt idx="2">
                  <c:v>2.2015627593422908</c:v>
                </c:pt>
                <c:pt idx="3">
                  <c:v>1.3696672661896312</c:v>
                </c:pt>
                <c:pt idx="4">
                  <c:v>0.92552482296977578</c:v>
                </c:pt>
                <c:pt idx="5">
                  <c:v>0.65613821462237631</c:v>
                </c:pt>
                <c:pt idx="6">
                  <c:v>0.48293494304100204</c:v>
                </c:pt>
                <c:pt idx="7">
                  <c:v>0.36632250022909801</c:v>
                </c:pt>
                <c:pt idx="8">
                  <c:v>0.28220399093727294</c:v>
                </c:pt>
                <c:pt idx="9">
                  <c:v>0.22416450450708897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4-4BBD-8182-69254A5BE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15776"/>
        <c:axId val="1351223680"/>
      </c:scatterChart>
      <c:valAx>
        <c:axId val="135121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223680"/>
        <c:crosses val="autoZero"/>
        <c:crossBetween val="midCat"/>
      </c:valAx>
      <c:valAx>
        <c:axId val="13512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21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5'!$A$11:$A$17</c:f>
              <c:numCache>
                <c:formatCode>General</c:formatCode>
                <c:ptCount val="7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</c:numCache>
            </c:numRef>
          </c:xVal>
          <c:yVal>
            <c:numRef>
              <c:f>'Задание 5'!$B$11:$B$17</c:f>
              <c:numCache>
                <c:formatCode>General</c:formatCode>
                <c:ptCount val="7"/>
                <c:pt idx="0">
                  <c:v>0.27693674602225948</c:v>
                </c:pt>
                <c:pt idx="1">
                  <c:v>0.95218632766405298</c:v>
                </c:pt>
                <c:pt idx="2">
                  <c:v>0.73848685641919398</c:v>
                </c:pt>
                <c:pt idx="3">
                  <c:v>-0.19090707642773116</c:v>
                </c:pt>
                <c:pt idx="4">
                  <c:v>-1.0446327100622943</c:v>
                </c:pt>
                <c:pt idx="5">
                  <c:v>-1.2093504259793388</c:v>
                </c:pt>
                <c:pt idx="6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8-404A-AB03-69259C82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201343"/>
        <c:axId val="1750207167"/>
      </c:scatterChart>
      <c:valAx>
        <c:axId val="175020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207167"/>
        <c:crosses val="autoZero"/>
        <c:crossBetween val="midCat"/>
      </c:valAx>
      <c:valAx>
        <c:axId val="175020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20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7'!$C$6</c:f>
              <c:strCache>
                <c:ptCount val="1"/>
                <c:pt idx="0">
                  <c:v>Точное Решение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'Задание 7'!$B$7:$B$18</c:f>
              <c:strCache>
                <c:ptCount val="12"/>
                <c:pt idx="0">
                  <c:v>xi</c:v>
                </c:pt>
                <c:pt idx="1">
                  <c:v>1</c:v>
                </c:pt>
                <c:pt idx="2">
                  <c:v>1,1</c:v>
                </c:pt>
                <c:pt idx="3">
                  <c:v>1,2</c:v>
                </c:pt>
                <c:pt idx="4">
                  <c:v>1,3</c:v>
                </c:pt>
                <c:pt idx="5">
                  <c:v>1,4</c:v>
                </c:pt>
                <c:pt idx="6">
                  <c:v>1,5</c:v>
                </c:pt>
                <c:pt idx="7">
                  <c:v>1,6</c:v>
                </c:pt>
                <c:pt idx="8">
                  <c:v>1,7</c:v>
                </c:pt>
                <c:pt idx="9">
                  <c:v>1,8</c:v>
                </c:pt>
                <c:pt idx="10">
                  <c:v>1,9</c:v>
                </c:pt>
                <c:pt idx="11">
                  <c:v>2</c:v>
                </c:pt>
              </c:strCache>
            </c:strRef>
          </c:xVal>
          <c:yVal>
            <c:numRef>
              <c:f>'Задание 7'!$C$7:$C$18</c:f>
              <c:numCache>
                <c:formatCode>General</c:formatCode>
                <c:ptCount val="12"/>
                <c:pt idx="0">
                  <c:v>0</c:v>
                </c:pt>
                <c:pt idx="1">
                  <c:v>-1</c:v>
                </c:pt>
                <c:pt idx="2">
                  <c:v>-0.90909090909090906</c:v>
                </c:pt>
                <c:pt idx="3">
                  <c:v>-0.83333333333333326</c:v>
                </c:pt>
                <c:pt idx="4">
                  <c:v>-0.76923076923076905</c:v>
                </c:pt>
                <c:pt idx="5">
                  <c:v>-0.71428571428571408</c:v>
                </c:pt>
                <c:pt idx="6">
                  <c:v>-0.66666666666666652</c:v>
                </c:pt>
                <c:pt idx="7">
                  <c:v>-0.62499999999999978</c:v>
                </c:pt>
                <c:pt idx="8">
                  <c:v>-0.58823529411764686</c:v>
                </c:pt>
                <c:pt idx="9">
                  <c:v>-0.55555555555555536</c:v>
                </c:pt>
                <c:pt idx="10">
                  <c:v>-0.52631578947368396</c:v>
                </c:pt>
                <c:pt idx="11">
                  <c:v>-0.49999999999999978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FF-4CF6-88FC-0D8F6A66CCA5}"/>
            </c:ext>
          </c:extLst>
        </c:ser>
        <c:ser>
          <c:idx val="1"/>
          <c:order val="1"/>
          <c:tx>
            <c:strRef>
              <c:f>'Задание 7'!$D$6</c:f>
              <c:strCache>
                <c:ptCount val="1"/>
                <c:pt idx="0">
                  <c:v>Эйлер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'Задание 7'!$B$7:$B$18</c:f>
              <c:strCache>
                <c:ptCount val="12"/>
                <c:pt idx="0">
                  <c:v>xi</c:v>
                </c:pt>
                <c:pt idx="1">
                  <c:v>1</c:v>
                </c:pt>
                <c:pt idx="2">
                  <c:v>1,1</c:v>
                </c:pt>
                <c:pt idx="3">
                  <c:v>1,2</c:v>
                </c:pt>
                <c:pt idx="4">
                  <c:v>1,3</c:v>
                </c:pt>
                <c:pt idx="5">
                  <c:v>1,4</c:v>
                </c:pt>
                <c:pt idx="6">
                  <c:v>1,5</c:v>
                </c:pt>
                <c:pt idx="7">
                  <c:v>1,6</c:v>
                </c:pt>
                <c:pt idx="8">
                  <c:v>1,7</c:v>
                </c:pt>
                <c:pt idx="9">
                  <c:v>1,8</c:v>
                </c:pt>
                <c:pt idx="10">
                  <c:v>1,9</c:v>
                </c:pt>
                <c:pt idx="11">
                  <c:v>2</c:v>
                </c:pt>
              </c:strCache>
            </c:strRef>
          </c:xVal>
          <c:yVal>
            <c:numRef>
              <c:f>'Задание 7'!$D$7:$D$18</c:f>
              <c:numCache>
                <c:formatCode>General</c:formatCode>
                <c:ptCount val="12"/>
                <c:pt idx="0">
                  <c:v>0</c:v>
                </c:pt>
                <c:pt idx="1">
                  <c:v>-1</c:v>
                </c:pt>
                <c:pt idx="2">
                  <c:v>-0.9</c:v>
                </c:pt>
                <c:pt idx="3">
                  <c:v>-0.81570247933884299</c:v>
                </c:pt>
                <c:pt idx="4">
                  <c:v>-0.74331955922865023</c:v>
                </c:pt>
                <c:pt idx="5">
                  <c:v>-0.68016162159518823</c:v>
                </c:pt>
                <c:pt idx="6">
                  <c:v>-0.62426634304756212</c:v>
                </c:pt>
                <c:pt idx="7">
                  <c:v>-0.57416852212057046</c:v>
                </c:pt>
                <c:pt idx="8">
                  <c:v>-0.52875208738564183</c:v>
                </c:pt>
                <c:pt idx="9">
                  <c:v>-0.487151986939662</c:v>
                </c:pt>
                <c:pt idx="10">
                  <c:v>-0.4486873928959208</c:v>
                </c:pt>
                <c:pt idx="11">
                  <c:v>-0.41281515170490973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FF-4CF6-88FC-0D8F6A66CCA5}"/>
            </c:ext>
          </c:extLst>
        </c:ser>
        <c:ser>
          <c:idx val="2"/>
          <c:order val="2"/>
          <c:tx>
            <c:strRef>
              <c:f>'Задание 7'!$E$6</c:f>
              <c:strCache>
                <c:ptCount val="1"/>
                <c:pt idx="0">
                  <c:v>Рунге-Кутт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'Задание 7'!$B$7:$B$18</c:f>
              <c:strCache>
                <c:ptCount val="12"/>
                <c:pt idx="0">
                  <c:v>xi</c:v>
                </c:pt>
                <c:pt idx="1">
                  <c:v>1</c:v>
                </c:pt>
                <c:pt idx="2">
                  <c:v>1,1</c:v>
                </c:pt>
                <c:pt idx="3">
                  <c:v>1,2</c:v>
                </c:pt>
                <c:pt idx="4">
                  <c:v>1,3</c:v>
                </c:pt>
                <c:pt idx="5">
                  <c:v>1,4</c:v>
                </c:pt>
                <c:pt idx="6">
                  <c:v>1,5</c:v>
                </c:pt>
                <c:pt idx="7">
                  <c:v>1,6</c:v>
                </c:pt>
                <c:pt idx="8">
                  <c:v>1,7</c:v>
                </c:pt>
                <c:pt idx="9">
                  <c:v>1,8</c:v>
                </c:pt>
                <c:pt idx="10">
                  <c:v>1,9</c:v>
                </c:pt>
                <c:pt idx="11">
                  <c:v>2</c:v>
                </c:pt>
              </c:strCache>
            </c:strRef>
          </c:xVal>
          <c:yVal>
            <c:numRef>
              <c:f>'Задание 7'!$E$7:$E$18</c:f>
              <c:numCache>
                <c:formatCode>General</c:formatCode>
                <c:ptCount val="12"/>
                <c:pt idx="0">
                  <c:v>0</c:v>
                </c:pt>
                <c:pt idx="1">
                  <c:v>-1</c:v>
                </c:pt>
                <c:pt idx="2">
                  <c:v>-0.90908702717608103</c:v>
                </c:pt>
                <c:pt idx="3">
                  <c:v>-0.83332647294971784</c:v>
                </c:pt>
                <c:pt idx="4">
                  <c:v>-0.76922136344207159</c:v>
                </c:pt>
                <c:pt idx="5">
                  <c:v>-0.71427395454899245</c:v>
                </c:pt>
                <c:pt idx="6">
                  <c:v>-0.66665261377083895</c:v>
                </c:pt>
                <c:pt idx="7">
                  <c:v>-0.62498364087657488</c:v>
                </c:pt>
                <c:pt idx="8">
                  <c:v>-0.58821657232695945</c:v>
                </c:pt>
                <c:pt idx="9">
                  <c:v>-0.55553438832490754</c:v>
                </c:pt>
                <c:pt idx="10">
                  <c:v>-0.52629207756482499</c:v>
                </c:pt>
                <c:pt idx="11">
                  <c:v>-0.49997363360651198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FF-4CF6-88FC-0D8F6A66C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240319"/>
        <c:axId val="1613241567"/>
      </c:scatterChart>
      <c:valAx>
        <c:axId val="161324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241567"/>
        <c:crosses val="autoZero"/>
        <c:crossBetween val="midCat"/>
      </c:valAx>
      <c:valAx>
        <c:axId val="161324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240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9026684164479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8'!$C$8</c:f>
              <c:strCache>
                <c:ptCount val="1"/>
                <c:pt idx="0">
                  <c:v>Точное значение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'Задание 8'!$B$9:$B$20</c:f>
              <c:strCache>
                <c:ptCount val="12"/>
                <c:pt idx="0">
                  <c:v>xi</c:v>
                </c:pt>
                <c:pt idx="1">
                  <c:v>0</c:v>
                </c:pt>
                <c:pt idx="2">
                  <c:v>0,1</c:v>
                </c:pt>
                <c:pt idx="3">
                  <c:v>0,2</c:v>
                </c:pt>
                <c:pt idx="4">
                  <c:v>0,3</c:v>
                </c:pt>
                <c:pt idx="5">
                  <c:v>0,4</c:v>
                </c:pt>
                <c:pt idx="6">
                  <c:v>0,5</c:v>
                </c:pt>
                <c:pt idx="7">
                  <c:v>0,6</c:v>
                </c:pt>
                <c:pt idx="8">
                  <c:v>0,7</c:v>
                </c:pt>
                <c:pt idx="9">
                  <c:v>0,8</c:v>
                </c:pt>
                <c:pt idx="10">
                  <c:v>0,9</c:v>
                </c:pt>
                <c:pt idx="11">
                  <c:v>1</c:v>
                </c:pt>
              </c:strCache>
            </c:strRef>
          </c:xVal>
          <c:yVal>
            <c:numRef>
              <c:f>'Задание 8'!$C$9:$C$20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2.1863173117305044</c:v>
                </c:pt>
                <c:pt idx="3">
                  <c:v>2.3504199884910904</c:v>
                </c:pt>
                <c:pt idx="4">
                  <c:v>2.4997970909764935</c:v>
                </c:pt>
                <c:pt idx="5">
                  <c:v>2.6416677589706947</c:v>
                </c:pt>
                <c:pt idx="6">
                  <c:v>2.7830301397071393</c:v>
                </c:pt>
                <c:pt idx="7">
                  <c:v>2.9307014470219492</c:v>
                </c:pt>
                <c:pt idx="8">
                  <c:v>3.0913507590145981</c:v>
                </c:pt>
                <c:pt idx="9">
                  <c:v>3.2715258705013364</c:v>
                </c:pt>
                <c:pt idx="10">
                  <c:v>3.477675277944603</c:v>
                </c:pt>
                <c:pt idx="11">
                  <c:v>3.7161661791908465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2D-4A15-AA28-DA72D3F4DA6B}"/>
            </c:ext>
          </c:extLst>
        </c:ser>
        <c:ser>
          <c:idx val="1"/>
          <c:order val="1"/>
          <c:tx>
            <c:strRef>
              <c:f>'Задание 8'!$E$8</c:f>
              <c:strCache>
                <c:ptCount val="1"/>
                <c:pt idx="0">
                  <c:v>Эйлер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'Задание 8'!$B$9:$B$20</c:f>
              <c:strCache>
                <c:ptCount val="12"/>
                <c:pt idx="0">
                  <c:v>xi</c:v>
                </c:pt>
                <c:pt idx="1">
                  <c:v>0</c:v>
                </c:pt>
                <c:pt idx="2">
                  <c:v>0,1</c:v>
                </c:pt>
                <c:pt idx="3">
                  <c:v>0,2</c:v>
                </c:pt>
                <c:pt idx="4">
                  <c:v>0,3</c:v>
                </c:pt>
                <c:pt idx="5">
                  <c:v>0,4</c:v>
                </c:pt>
                <c:pt idx="6">
                  <c:v>0,5</c:v>
                </c:pt>
                <c:pt idx="7">
                  <c:v>0,6</c:v>
                </c:pt>
                <c:pt idx="8">
                  <c:v>0,7</c:v>
                </c:pt>
                <c:pt idx="9">
                  <c:v>0,8</c:v>
                </c:pt>
                <c:pt idx="10">
                  <c:v>0,9</c:v>
                </c:pt>
                <c:pt idx="11">
                  <c:v>1</c:v>
                </c:pt>
              </c:strCache>
            </c:strRef>
          </c:xVal>
          <c:yVal>
            <c:numRef>
              <c:f>'Задание 8'!$E$9:$E$20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2.2000000000000002</c:v>
                </c:pt>
                <c:pt idx="3">
                  <c:v>2.37</c:v>
                </c:pt>
                <c:pt idx="4">
                  <c:v>2.5186000000000002</c:v>
                </c:pt>
                <c:pt idx="5">
                  <c:v>2.65388</c:v>
                </c:pt>
                <c:pt idx="6">
                  <c:v>2.7835040000000002</c:v>
                </c:pt>
                <c:pt idx="7">
                  <c:v>2.9148032000000001</c:v>
                </c:pt>
                <c:pt idx="8">
                  <c:v>3.05484256</c:v>
                </c:pt>
                <c:pt idx="9">
                  <c:v>3.210474048</c:v>
                </c:pt>
                <c:pt idx="10">
                  <c:v>3.3883792384000002</c:v>
                </c:pt>
                <c:pt idx="11">
                  <c:v>3.5951033907200003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2D-4A15-AA28-DA72D3F4DA6B}"/>
            </c:ext>
          </c:extLst>
        </c:ser>
        <c:ser>
          <c:idx val="2"/>
          <c:order val="2"/>
          <c:tx>
            <c:strRef>
              <c:f>'Задание 8'!$A$22</c:f>
              <c:strCache>
                <c:ptCount val="1"/>
                <c:pt idx="0">
                  <c:v>Рунге -Кутта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'Задание 8'!$B$9:$B$20</c:f>
              <c:strCache>
                <c:ptCount val="12"/>
                <c:pt idx="0">
                  <c:v>xi</c:v>
                </c:pt>
                <c:pt idx="1">
                  <c:v>0</c:v>
                </c:pt>
                <c:pt idx="2">
                  <c:v>0,1</c:v>
                </c:pt>
                <c:pt idx="3">
                  <c:v>0,2</c:v>
                </c:pt>
                <c:pt idx="4">
                  <c:v>0,3</c:v>
                </c:pt>
                <c:pt idx="5">
                  <c:v>0,4</c:v>
                </c:pt>
                <c:pt idx="6">
                  <c:v>0,5</c:v>
                </c:pt>
                <c:pt idx="7">
                  <c:v>0,6</c:v>
                </c:pt>
                <c:pt idx="8">
                  <c:v>0,7</c:v>
                </c:pt>
                <c:pt idx="9">
                  <c:v>0,8</c:v>
                </c:pt>
                <c:pt idx="10">
                  <c:v>0,9</c:v>
                </c:pt>
                <c:pt idx="11">
                  <c:v>1</c:v>
                </c:pt>
              </c:strCache>
            </c:strRef>
          </c:xVal>
          <c:yVal>
            <c:numRef>
              <c:f>'Задание 8'!$A$23:$A$33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2.1863141666666666</c:v>
                </c:pt>
                <c:pt idx="3">
                  <c:v>2.3504143853888886</c:v>
                </c:pt>
                <c:pt idx="4">
                  <c:v>2.4997895711307292</c:v>
                </c:pt>
                <c:pt idx="5">
                  <c:v>2.6416587482037657</c:v>
                </c:pt>
                <c:pt idx="6">
                  <c:v>2.7830199724460298</c:v>
                </c:pt>
                <c:pt idx="7">
                  <c:v>2.9306903854406463</c:v>
                </c:pt>
                <c:pt idx="8">
                  <c:v>3.091339008239772</c:v>
                </c:pt>
                <c:pt idx="9">
                  <c:v>3.2715135906795094</c:v>
                </c:pt>
                <c:pt idx="10">
                  <c:v>3.4776625938090038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2D-4A15-AA28-DA72D3F4D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251967"/>
        <c:axId val="1613252383"/>
      </c:scatterChart>
      <c:valAx>
        <c:axId val="16132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252383"/>
        <c:crosses val="autoZero"/>
        <c:crossBetween val="midCat"/>
      </c:valAx>
      <c:valAx>
        <c:axId val="161325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25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19050</xdr:rowOff>
    </xdr:from>
    <xdr:ext cx="1494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0" y="1847850"/>
              <a:ext cx="1494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  </a:t>
              </a:r>
              <a14:m>
                <m:oMath xmlns:m="http://schemas.openxmlformats.org/officeDocument/2006/math">
                  <m:r>
                    <a:rPr lang="en-US" sz="1100" i="1" baseline="0">
                      <a:latin typeface="Cambria Math" panose="02040503050406030204" pitchFamily="18" charset="0"/>
                    </a:rPr>
                    <m:t>𝑓</m:t>
                  </m:r>
                  <m:d>
                    <m:d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100" i="1" baseline="0">
                      <a:latin typeface="Cambria Math" panose="02040503050406030204" pitchFamily="18" charset="0"/>
                    </a:rPr>
                    <m:t>=</m:t>
                  </m:r>
                  <m:func>
                    <m:func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1100" i="1" baseline="0">
                          <a:latin typeface="Cambria Math" panose="02040503050406030204" pitchFamily="18" charset="0"/>
                        </a:rPr>
                        <m:t>sh</m:t>
                      </m:r>
                    </m:fName>
                    <m:e>
                      <m:r>
                        <a:rPr lang="en-US" sz="110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func>
                  <m:r>
                    <a:rPr lang="en-US" sz="1100" i="1" baseline="0">
                      <a:latin typeface="Cambria Math" panose="02040503050406030204" pitchFamily="18" charset="0"/>
                    </a:rPr>
                    <m:t>+</m:t>
                  </m:r>
                  <m:func>
                    <m:func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1100" i="1" baseline="0">
                          <a:latin typeface="Cambria Math" panose="02040503050406030204" pitchFamily="18" charset="0"/>
                        </a:rPr>
                        <m:t>ln</m:t>
                      </m:r>
                    </m:fName>
                    <m:e>
                      <m:d>
                        <m:dPr>
                          <m:ctrlPr>
                            <a:rPr lang="en-US" sz="1100" i="1" baseline="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i="1" baseline="0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i="1" baseline="0">
                              <a:latin typeface="Cambria Math" panose="02040503050406030204" pitchFamily="18" charset="0"/>
                            </a:rPr>
                            <m:t>+4</m:t>
                          </m:r>
                        </m:e>
                      </m:d>
                    </m:e>
                  </m:func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0" y="1847850"/>
              <a:ext cx="1494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  </a:t>
              </a:r>
              <a:r>
                <a:rPr lang="en-US" sz="1100" i="0" baseline="0">
                  <a:latin typeface="Cambria Math" panose="02040503050406030204" pitchFamily="18" charset="0"/>
                </a:rPr>
                <a:t>𝑓(𝑥)=sh⁡𝑥+ln⁡(𝑥+4)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1453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0" y="201930"/>
              <a:ext cx="145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𝑆h𝑥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+4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0" y="201930"/>
              <a:ext cx="145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</a:t>
              </a:r>
              <a:r>
                <a:rPr lang="ru-RU" sz="1100" i="0">
                  <a:latin typeface="Cambria Math" panose="02040503050406030204" pitchFamily="18" charset="0"/>
                </a:rPr>
                <a:t>𝑆ℎ𝑥+ln⁡(𝑥+4)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53340</xdr:colOff>
      <xdr:row>45</xdr:row>
      <xdr:rowOff>156210</xdr:rowOff>
    </xdr:from>
    <xdr:ext cx="65" cy="172227"/>
    <xdr:sp macro="" textlink="">
      <xdr:nvSpPr>
        <xdr:cNvPr id="3" name="TextBox 2"/>
        <xdr:cNvSpPr txBox="1"/>
      </xdr:nvSpPr>
      <xdr:spPr>
        <a:xfrm>
          <a:off x="6758940" y="8385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327660</xdr:colOff>
      <xdr:row>0</xdr:row>
      <xdr:rowOff>26670</xdr:rowOff>
    </xdr:from>
    <xdr:to>
      <xdr:col>23</xdr:col>
      <xdr:colOff>22860</xdr:colOff>
      <xdr:row>15</xdr:row>
      <xdr:rowOff>26670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228600</xdr:colOff>
      <xdr:row>5</xdr:row>
      <xdr:rowOff>110490</xdr:rowOff>
    </xdr:from>
    <xdr:ext cx="3637342" cy="1747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28600" y="1024890"/>
              <a:ext cx="3637342" cy="1747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0+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nary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 = + 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𝑥𝑦</m:t>
                                    </m:r>
                                  </m:e>
                                </m:nary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 = 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nary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28600" y="1024890"/>
              <a:ext cx="3637342" cy="1747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en-US" sz="1100" b="0" i="0">
                  <a:latin typeface="Cambria Math" panose="02040503050406030204" pitchFamily="18" charset="0"/>
                </a:rPr>
                <a:t>(𝑛+1)𝑎0+∑▒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𝑥𝑎1</a:t>
              </a:r>
              <a:r>
                <a:rPr lang="en-US" sz="1100" b="0" i="0">
                  <a:latin typeface="Cambria Math" panose="02040503050406030204" pitchFamily="18" charset="0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∑▒𝑥𝑎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∑▒〖𝑥^2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〗+ ∑▒〖𝑥^3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∑▒〖𝑥^2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〗+ ∑▒〖𝑥^3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∑▒〖𝑥^3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〗+ ∑▒〖𝑥^4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〗+ 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〗+ 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12</xdr:row>
      <xdr:rowOff>171450</xdr:rowOff>
    </xdr:from>
    <xdr:ext cx="175003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324600" y="2366010"/>
              <a:ext cx="17500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sz="110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10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324600" y="2366010"/>
              <a:ext cx="17500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𝑦=𝑎_0+𝑎_1 𝑥+𝑎_2 𝑥^2+𝑎_3 𝑥^3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360045</xdr:colOff>
      <xdr:row>41</xdr:row>
      <xdr:rowOff>30480</xdr:rowOff>
    </xdr:from>
    <xdr:to>
      <xdr:col>8</xdr:col>
      <xdr:colOff>55245</xdr:colOff>
      <xdr:row>56</xdr:row>
      <xdr:rowOff>30480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5</xdr:row>
      <xdr:rowOff>118110</xdr:rowOff>
    </xdr:from>
    <xdr:to>
      <xdr:col>8</xdr:col>
      <xdr:colOff>144780</xdr:colOff>
      <xdr:row>20</xdr:row>
      <xdr:rowOff>118110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32</xdr:row>
      <xdr:rowOff>163830</xdr:rowOff>
    </xdr:from>
    <xdr:to>
      <xdr:col>21</xdr:col>
      <xdr:colOff>457200</xdr:colOff>
      <xdr:row>47</xdr:row>
      <xdr:rowOff>163830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5</xdr:row>
      <xdr:rowOff>118110</xdr:rowOff>
    </xdr:from>
    <xdr:to>
      <xdr:col>8</xdr:col>
      <xdr:colOff>144780</xdr:colOff>
      <xdr:row>20</xdr:row>
      <xdr:rowOff>118110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327660</xdr:colOff>
      <xdr:row>25</xdr:row>
      <xdr:rowOff>87630</xdr:rowOff>
    </xdr:from>
    <xdr:to>
      <xdr:col>21</xdr:col>
      <xdr:colOff>22860</xdr:colOff>
      <xdr:row>40</xdr:row>
      <xdr:rowOff>87630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186690</xdr:colOff>
      <xdr:row>2</xdr:row>
      <xdr:rowOff>19050</xdr:rowOff>
    </xdr:from>
    <xdr:ext cx="6472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6690" y="384810"/>
              <a:ext cx="6472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  <m:r>
                      <a:rPr lang="ru-RU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6690" y="384810"/>
              <a:ext cx="6472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sin⁡𝑥=ⅇ^𝑥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430530</xdr:colOff>
      <xdr:row>7</xdr:row>
      <xdr:rowOff>95250</xdr:rowOff>
    </xdr:from>
    <xdr:to>
      <xdr:col>10</xdr:col>
      <xdr:colOff>121920</xdr:colOff>
      <xdr:row>22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0</xdr:colOff>
      <xdr:row>73</xdr:row>
      <xdr:rowOff>64770</xdr:rowOff>
    </xdr:from>
    <xdr:ext cx="1114792" cy="3561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19200" y="14146530"/>
              <a:ext cx="1114792" cy="3561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ξ</m:t>
                        </m:r>
                      </m:e>
                    </m:d>
                    <m:r>
                      <a:rPr lang="ru-RU" sz="1100" i="1">
                        <a:latin typeface="Cambria Math" panose="02040503050406030204" pitchFamily="18" charset="0"/>
                      </a:rPr>
                      <m:t>≤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19200" y="14146530"/>
              <a:ext cx="1114792" cy="3561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|𝑥_𝑛−</a:t>
              </a:r>
              <a:r>
                <a:rPr lang="el-GR" sz="1100" i="0">
                  <a:latin typeface="Cambria Math" panose="02040503050406030204" pitchFamily="18" charset="0"/>
                </a:rPr>
                <a:t>ξ|</a:t>
              </a:r>
              <a:r>
                <a:rPr lang="ru-RU" sz="1100" i="0">
                  <a:latin typeface="Cambria Math" panose="02040503050406030204" pitchFamily="18" charset="0"/>
                </a:rPr>
                <a:t>≤|𝑓(𝑥_𝑛 )|/𝑚_1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73</xdr:row>
      <xdr:rowOff>64770</xdr:rowOff>
    </xdr:from>
    <xdr:ext cx="1758110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51760" y="14146530"/>
              <a:ext cx="1758110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</m:d>
                    <m:r>
                      <a:rPr lang="ru-RU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51760" y="14146530"/>
              <a:ext cx="1758110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|𝑥_𝑛−𝜉|=𝑀_2/(2𝑚_1 ) (𝑥_𝑛−𝑥_(𝑛−1) )^2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541020</xdr:colOff>
      <xdr:row>73</xdr:row>
      <xdr:rowOff>49530</xdr:rowOff>
    </xdr:from>
    <xdr:ext cx="1243097" cy="220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808220" y="14131290"/>
              <a:ext cx="1243097" cy="220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1"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min</m:t>
                        </m:r>
                      </m:e>
                      <m:li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≥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𝑏</m:t>
                        </m:r>
                      </m:lim>
                    </m:limLow>
                    <m:d>
                      <m:dPr>
                        <m:begChr m:val="{"/>
                        <m:endChr m:val="}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p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d>
                              <m:d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808220" y="14131290"/>
              <a:ext cx="1243097" cy="220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𝑚_1=min┬(𝑎≥𝑥≤𝑏) {|𝑓^′ (𝑥)|}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457200</xdr:colOff>
      <xdr:row>75</xdr:row>
      <xdr:rowOff>41911</xdr:rowOff>
    </xdr:from>
    <xdr:ext cx="1424940" cy="221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724400" y="14489431"/>
              <a:ext cx="1424940" cy="221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e>
                          <m:li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lim>
                        </m:limLow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{|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|}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724400" y="14489431"/>
              <a:ext cx="1424940" cy="221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2=   max┬(𝑎≤𝑥≤𝑏)⁡〖{|𝑓′′(𝑥|}〗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281940</xdr:colOff>
      <xdr:row>1</xdr:row>
      <xdr:rowOff>118110</xdr:rowOff>
    </xdr:from>
    <xdr:ext cx="801309" cy="5114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81940" y="300990"/>
              <a:ext cx="801309" cy="51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1,5</m:t>
                        </m:r>
                      </m:sup>
                      <m:e>
                        <m:func>
                          <m:func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ru-RU" sz="1100" i="1">
                                <a:latin typeface="Cambria Math" panose="02040503050406030204" pitchFamily="18" charset="0"/>
                              </a:rPr>
                              <m:t>sh</m:t>
                            </m:r>
                          </m:fName>
                          <m:e>
                            <m:d>
                              <m:d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func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81940" y="300990"/>
              <a:ext cx="801309" cy="51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∫129_1^1,5▒〖sh⁡(𝑥^2 )ⅆ𝑥〗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2</xdr:row>
      <xdr:rowOff>3810</xdr:rowOff>
    </xdr:from>
    <xdr:ext cx="97302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0960" y="369570"/>
              <a:ext cx="9730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ru-RU" sz="11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𝑥𝑦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+3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0960" y="369570"/>
              <a:ext cx="9730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𝑥^2 𝑦^′=2𝑥𝑦+3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541020</xdr:colOff>
      <xdr:row>18</xdr:row>
      <xdr:rowOff>102870</xdr:rowOff>
    </xdr:from>
    <xdr:to>
      <xdr:col>7</xdr:col>
      <xdr:colOff>320040</xdr:colOff>
      <xdr:row>33</xdr:row>
      <xdr:rowOff>102870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179070</xdr:rowOff>
    </xdr:from>
    <xdr:ext cx="2811667" cy="347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0" y="361950"/>
              <a:ext cx="2811667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=6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+1, 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=2,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100" b="0"/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0" y="361950"/>
              <a:ext cx="2811667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′′+2𝑦^′=6𝑥^2+2𝑥+1, 𝑦(0)=2, 𝑦^′ (0)=2</a:t>
              </a:r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502920</xdr:colOff>
      <xdr:row>3</xdr:row>
      <xdr:rowOff>171450</xdr:rowOff>
    </xdr:from>
    <xdr:ext cx="1655838" cy="3693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598920" y="720090"/>
              <a:ext cx="1655838" cy="369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ru-RU" sz="120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2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ru-RU" sz="120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200" i="1">
                                <a:latin typeface="Cambria Math" panose="02040503050406030204" pitchFamily="18" charset="0"/>
                              </a:rPr>
                              <m:t>ⅇ</m:t>
                            </m:r>
                          </m:e>
                          <m:sup>
                            <m:r>
                              <a:rPr lang="ru-RU" sz="120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r>
                              <a:rPr lang="ru-RU" sz="12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ru-RU" sz="12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9</m:t>
                        </m:r>
                      </m:num>
                      <m:den>
                        <m:r>
                          <a:rPr lang="ru-RU" sz="120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598920" y="720090"/>
              <a:ext cx="1655838" cy="369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200" i="0">
                  <a:latin typeface="Cambria Math" panose="02040503050406030204" pitchFamily="18" charset="0"/>
                </a:rPr>
                <a:t>𝑥^3−𝑥^2+3𝑥/2−ⅇ^(−2𝑥)/4+9/4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8</xdr:col>
      <xdr:colOff>289560</xdr:colOff>
      <xdr:row>6</xdr:row>
      <xdr:rowOff>110490</xdr:rowOff>
    </xdr:from>
    <xdr:to>
      <xdr:col>15</xdr:col>
      <xdr:colOff>594360</xdr:colOff>
      <xdr:row>21</xdr:row>
      <xdr:rowOff>110490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67" workbookViewId="0">
      <selection activeCell="E68" sqref="E68"/>
    </sheetView>
  </sheetViews>
  <sheetFormatPr defaultRowHeight="14.4" x14ac:dyDescent="0.3"/>
  <cols>
    <col min="4" max="4" width="10.44140625" bestFit="1" customWidth="1"/>
    <col min="5" max="8" width="9" bestFit="1" customWidth="1"/>
    <col min="9" max="11" width="12" bestFit="1" customWidth="1"/>
  </cols>
  <sheetData>
    <row r="1" spans="1:6" x14ac:dyDescent="0.3">
      <c r="A1" s="8" t="s">
        <v>0</v>
      </c>
      <c r="B1" s="8" t="s">
        <v>1</v>
      </c>
      <c r="C1" s="8" t="s">
        <v>2</v>
      </c>
    </row>
    <row r="2" spans="1:6" x14ac:dyDescent="0.3">
      <c r="A2" s="1">
        <v>0</v>
      </c>
      <c r="B2" s="2">
        <v>0.45</v>
      </c>
      <c r="C2" s="2">
        <v>1.9581999999999999</v>
      </c>
    </row>
    <row r="3" spans="1:6" x14ac:dyDescent="0.3">
      <c r="A3" s="3">
        <f t="shared" ref="A3:A9" si="0">A2+1</f>
        <v>1</v>
      </c>
      <c r="B3" s="4">
        <v>0.52</v>
      </c>
      <c r="C3" s="4">
        <v>2.0522999999999998</v>
      </c>
    </row>
    <row r="4" spans="1:6" x14ac:dyDescent="0.3">
      <c r="A4" s="3">
        <f t="shared" si="0"/>
        <v>2</v>
      </c>
      <c r="B4" s="4">
        <v>0.67</v>
      </c>
      <c r="C4" s="4">
        <v>2.2624</v>
      </c>
    </row>
    <row r="5" spans="1:6" x14ac:dyDescent="0.3">
      <c r="A5" s="3">
        <f t="shared" si="0"/>
        <v>3</v>
      </c>
      <c r="B5" s="4">
        <v>0.74</v>
      </c>
      <c r="C5" s="4">
        <v>2.3654000000000002</v>
      </c>
    </row>
    <row r="6" spans="1:6" x14ac:dyDescent="0.3">
      <c r="A6" s="3">
        <f t="shared" si="0"/>
        <v>4</v>
      </c>
      <c r="B6" s="4">
        <v>0.79</v>
      </c>
      <c r="C6" s="4">
        <v>2.4413</v>
      </c>
    </row>
    <row r="7" spans="1:6" x14ac:dyDescent="0.3">
      <c r="A7" s="3">
        <f t="shared" si="0"/>
        <v>5</v>
      </c>
      <c r="B7" s="4">
        <v>0.84</v>
      </c>
      <c r="C7" s="4">
        <v>2.5192000000000001</v>
      </c>
    </row>
    <row r="8" spans="1:6" x14ac:dyDescent="0.3">
      <c r="A8" s="3">
        <f t="shared" si="0"/>
        <v>6</v>
      </c>
      <c r="B8" s="4">
        <v>0.88</v>
      </c>
      <c r="C8" s="4">
        <v>2.5832000000000002</v>
      </c>
    </row>
    <row r="9" spans="1:6" x14ac:dyDescent="0.3">
      <c r="A9" s="5">
        <f t="shared" si="0"/>
        <v>7</v>
      </c>
      <c r="B9" s="6">
        <v>0.94</v>
      </c>
      <c r="C9" s="23">
        <v>2.6819999999999999</v>
      </c>
    </row>
    <row r="13" spans="1:6" x14ac:dyDescent="0.3">
      <c r="A13" s="9" t="s">
        <v>3</v>
      </c>
      <c r="B13" s="7">
        <v>0.47</v>
      </c>
      <c r="E13" s="9" t="s">
        <v>4</v>
      </c>
      <c r="F13" s="7">
        <f>SINH($B$13) + LN($B$13 + 4)</f>
        <v>1.984884371092807</v>
      </c>
    </row>
    <row r="15" spans="1:6" x14ac:dyDescent="0.3">
      <c r="A15" t="s">
        <v>5</v>
      </c>
    </row>
    <row r="16" spans="1:6" x14ac:dyDescent="0.3">
      <c r="A16" s="8" t="s">
        <v>0</v>
      </c>
      <c r="B16" t="s">
        <v>1</v>
      </c>
      <c r="C16" t="s">
        <v>2</v>
      </c>
      <c r="D16" t="s">
        <v>6</v>
      </c>
    </row>
    <row r="17" spans="1:12" x14ac:dyDescent="0.3">
      <c r="A17">
        <v>0</v>
      </c>
      <c r="B17" s="13">
        <f>B2</f>
        <v>0.45</v>
      </c>
      <c r="C17" s="1">
        <f>C2</f>
        <v>1.9581999999999999</v>
      </c>
    </row>
    <row r="18" spans="1:12" x14ac:dyDescent="0.3">
      <c r="A18">
        <v>1</v>
      </c>
      <c r="B18" s="14">
        <f>B3</f>
        <v>0.52</v>
      </c>
      <c r="C18" s="5">
        <f>C3</f>
        <v>2.0522999999999998</v>
      </c>
      <c r="D18" s="10">
        <f>($C$18-$C$17)/($B$18-$B$17)</f>
        <v>1.3442857142857121</v>
      </c>
    </row>
    <row r="20" spans="1:12" x14ac:dyDescent="0.3">
      <c r="A20" s="15" t="s">
        <v>7</v>
      </c>
      <c r="B20" s="16" t="s">
        <v>8</v>
      </c>
      <c r="C20" s="16"/>
      <c r="D20" s="16"/>
      <c r="E20" s="16" t="s">
        <v>9</v>
      </c>
      <c r="F20" s="17"/>
      <c r="H20" s="11" t="s">
        <v>11</v>
      </c>
      <c r="I20" s="21">
        <f>$B$21-$F$13</f>
        <v>2.0134319290709968E-4</v>
      </c>
      <c r="J20" t="s">
        <v>13</v>
      </c>
    </row>
    <row r="21" spans="1:12" x14ac:dyDescent="0.3">
      <c r="A21" t="s">
        <v>10</v>
      </c>
      <c r="B21" s="12">
        <f>$C$17+$D$18*($B$13-$B$17)</f>
        <v>1.9850857142857141</v>
      </c>
      <c r="H21" s="11" t="s">
        <v>12</v>
      </c>
      <c r="I21" s="72">
        <f>$I$20/$F$13</f>
        <v>1.0143824790974965E-4</v>
      </c>
    </row>
    <row r="25" spans="1:12" x14ac:dyDescent="0.3">
      <c r="A25" t="s">
        <v>14</v>
      </c>
    </row>
    <row r="26" spans="1:12" x14ac:dyDescent="0.3">
      <c r="A26" t="s">
        <v>0</v>
      </c>
      <c r="B26" t="s">
        <v>1</v>
      </c>
      <c r="C26" t="s">
        <v>2</v>
      </c>
      <c r="D26" t="s">
        <v>6</v>
      </c>
      <c r="E26" t="s">
        <v>15</v>
      </c>
      <c r="G26" t="s">
        <v>42</v>
      </c>
    </row>
    <row r="27" spans="1:12" x14ac:dyDescent="0.3">
      <c r="A27">
        <v>0</v>
      </c>
      <c r="B27" s="13">
        <f t="shared" ref="B27:C29" si="1">B2</f>
        <v>0.45</v>
      </c>
      <c r="C27" s="1">
        <f t="shared" si="1"/>
        <v>1.9581999999999999</v>
      </c>
      <c r="G27">
        <f>$B$13 - B27</f>
        <v>1.9999999999999962E-2</v>
      </c>
    </row>
    <row r="28" spans="1:12" x14ac:dyDescent="0.3">
      <c r="A28">
        <v>1</v>
      </c>
      <c r="B28" s="18">
        <f t="shared" si="1"/>
        <v>0.52</v>
      </c>
      <c r="C28" s="3">
        <f t="shared" si="1"/>
        <v>2.0522999999999998</v>
      </c>
      <c r="D28" s="10">
        <f>(C28-$C$27)/(B28-$B$27)</f>
        <v>1.3442857142857121</v>
      </c>
      <c r="G28">
        <f>$B$13 - B28</f>
        <v>-5.0000000000000044E-2</v>
      </c>
    </row>
    <row r="29" spans="1:12" x14ac:dyDescent="0.3">
      <c r="A29">
        <v>2</v>
      </c>
      <c r="B29" s="14">
        <f t="shared" si="1"/>
        <v>0.67</v>
      </c>
      <c r="C29" s="5">
        <f t="shared" si="1"/>
        <v>2.2624</v>
      </c>
      <c r="D29" s="10">
        <f>(C29-$C$27)/(B29-$B$27)</f>
        <v>1.3827272727272726</v>
      </c>
      <c r="E29" s="10">
        <f>(D29-$D$28)/(B29-$B$28)</f>
        <v>0.25627705627706993</v>
      </c>
    </row>
    <row r="31" spans="1:12" x14ac:dyDescent="0.3">
      <c r="A31" s="15" t="s">
        <v>16</v>
      </c>
      <c r="B31" s="16" t="s">
        <v>17</v>
      </c>
      <c r="C31" s="16"/>
      <c r="D31" s="16"/>
      <c r="E31" s="16"/>
      <c r="F31" s="16"/>
      <c r="G31" s="16" t="s">
        <v>18</v>
      </c>
      <c r="H31" s="17"/>
      <c r="J31" s="11" t="s">
        <v>20</v>
      </c>
      <c r="K31" s="22">
        <f>ABS($B$32-$F$13)</f>
        <v>5.4933863369965863E-5</v>
      </c>
      <c r="L31" t="s">
        <v>22</v>
      </c>
    </row>
    <row r="32" spans="1:12" x14ac:dyDescent="0.3">
      <c r="A32" t="s">
        <v>19</v>
      </c>
      <c r="B32" s="19">
        <f>$C$27+$D$28*G27 +$E$29*$G$27*$G$28</f>
        <v>1.9848294372294371</v>
      </c>
      <c r="J32" s="11" t="s">
        <v>21</v>
      </c>
      <c r="K32" s="73">
        <f>($K$31/$F$13)</f>
        <v>2.767610253272397E-5</v>
      </c>
    </row>
    <row r="35" spans="1:12" x14ac:dyDescent="0.3">
      <c r="A35" t="s">
        <v>23</v>
      </c>
    </row>
    <row r="36" spans="1:12" x14ac:dyDescent="0.3">
      <c r="A36" t="s">
        <v>0</v>
      </c>
      <c r="B36" t="s">
        <v>1</v>
      </c>
      <c r="C36" t="s">
        <v>2</v>
      </c>
      <c r="D36" t="s">
        <v>6</v>
      </c>
      <c r="E36" t="s">
        <v>15</v>
      </c>
      <c r="F36" t="s">
        <v>24</v>
      </c>
      <c r="G36" t="s">
        <v>28</v>
      </c>
      <c r="H36" t="s">
        <v>25</v>
      </c>
      <c r="I36" t="s">
        <v>26</v>
      </c>
      <c r="J36" t="s">
        <v>27</v>
      </c>
      <c r="K36" t="s">
        <v>29</v>
      </c>
    </row>
    <row r="37" spans="1:12" x14ac:dyDescent="0.3">
      <c r="A37">
        <v>0</v>
      </c>
      <c r="B37" s="13">
        <f>B2</f>
        <v>0.45</v>
      </c>
      <c r="C37" s="1">
        <f>C2</f>
        <v>1.9581999999999999</v>
      </c>
      <c r="K37">
        <f>$B$13-B37</f>
        <v>1.9999999999999962E-2</v>
      </c>
    </row>
    <row r="38" spans="1:12" x14ac:dyDescent="0.3">
      <c r="A38">
        <f>A37+1</f>
        <v>1</v>
      </c>
      <c r="B38" s="18">
        <f t="shared" ref="B38:C44" si="2">B3</f>
        <v>0.52</v>
      </c>
      <c r="C38" s="3">
        <f t="shared" si="2"/>
        <v>2.0522999999999998</v>
      </c>
      <c r="D38" s="10">
        <f>(C38-$C$37)/(B38-$B$37)</f>
        <v>1.3442857142857121</v>
      </c>
      <c r="E38" s="10"/>
      <c r="F38" s="10"/>
      <c r="G38" s="10"/>
      <c r="H38" s="10"/>
      <c r="I38" s="10"/>
      <c r="J38" s="10"/>
      <c r="K38">
        <f t="shared" ref="K38:K44" si="3">$B$13-B38</f>
        <v>-5.0000000000000044E-2</v>
      </c>
    </row>
    <row r="39" spans="1:12" x14ac:dyDescent="0.3">
      <c r="A39">
        <f t="shared" ref="A39:A44" si="4">A38+1</f>
        <v>2</v>
      </c>
      <c r="B39" s="18">
        <f t="shared" si="2"/>
        <v>0.67</v>
      </c>
      <c r="C39" s="3">
        <f t="shared" si="2"/>
        <v>2.2624</v>
      </c>
      <c r="D39" s="10">
        <f t="shared" ref="D39:D44" si="5">(C39-$C$37)/(B39-$B$37)</f>
        <v>1.3827272727272726</v>
      </c>
      <c r="E39" s="10">
        <f>(D39-$D$38)/(B39-$B$38)</f>
        <v>0.25627705627706993</v>
      </c>
      <c r="F39" s="10"/>
      <c r="G39" s="10"/>
      <c r="H39" s="10"/>
      <c r="I39" s="10"/>
      <c r="J39" s="10"/>
      <c r="K39">
        <f t="shared" si="3"/>
        <v>-0.20000000000000007</v>
      </c>
    </row>
    <row r="40" spans="1:12" x14ac:dyDescent="0.3">
      <c r="A40">
        <f t="shared" si="4"/>
        <v>3</v>
      </c>
      <c r="B40" s="18">
        <f t="shared" si="2"/>
        <v>0.74</v>
      </c>
      <c r="C40" s="3">
        <f t="shared" si="2"/>
        <v>2.3654000000000002</v>
      </c>
      <c r="D40" s="10">
        <f t="shared" si="5"/>
        <v>1.4041379310344837</v>
      </c>
      <c r="E40" s="10">
        <f t="shared" ref="E40:E44" si="6">(D40-$D$38)/(B40-$B$38)</f>
        <v>0.27205553067623467</v>
      </c>
      <c r="F40" s="10">
        <f>(E40-$E$39)/(B40-$B$39)</f>
        <v>0.22540677713092508</v>
      </c>
      <c r="G40" s="10"/>
      <c r="H40" s="10"/>
      <c r="I40" s="10"/>
      <c r="J40" s="10"/>
      <c r="K40">
        <f t="shared" si="3"/>
        <v>-0.27</v>
      </c>
    </row>
    <row r="41" spans="1:12" x14ac:dyDescent="0.3">
      <c r="A41">
        <f t="shared" si="4"/>
        <v>4</v>
      </c>
      <c r="B41" s="18">
        <f t="shared" si="2"/>
        <v>0.79</v>
      </c>
      <c r="C41" s="3">
        <f t="shared" si="2"/>
        <v>2.4413</v>
      </c>
      <c r="D41" s="10">
        <f t="shared" si="5"/>
        <v>1.4208823529411767</v>
      </c>
      <c r="E41" s="10">
        <f t="shared" si="6"/>
        <v>0.28369125427949859</v>
      </c>
      <c r="F41" s="10">
        <f t="shared" ref="F41:F44" si="7">(E41-$E$39)/(B41-$B$39)</f>
        <v>0.22845165002023893</v>
      </c>
      <c r="G41" s="10">
        <f>(F41-$F$40)/(B41-$B$40)</f>
        <v>6.0897457786276921E-2</v>
      </c>
      <c r="H41" s="10"/>
      <c r="I41" s="10"/>
      <c r="J41" s="10"/>
      <c r="K41">
        <f t="shared" si="3"/>
        <v>-0.32000000000000006</v>
      </c>
    </row>
    <row r="42" spans="1:12" x14ac:dyDescent="0.3">
      <c r="A42">
        <f t="shared" si="4"/>
        <v>5</v>
      </c>
      <c r="B42" s="18">
        <f t="shared" si="2"/>
        <v>0.84</v>
      </c>
      <c r="C42" s="3">
        <f t="shared" si="2"/>
        <v>2.5192000000000001</v>
      </c>
      <c r="D42" s="10">
        <f t="shared" si="5"/>
        <v>1.4384615384615391</v>
      </c>
      <c r="E42" s="10">
        <f t="shared" si="6"/>
        <v>0.29429945054945955</v>
      </c>
      <c r="F42" s="10">
        <f t="shared" si="7"/>
        <v>0.22366114277876259</v>
      </c>
      <c r="G42" s="10">
        <f t="shared" ref="G42:G44" si="8">(F42-$F$40)/(B42-$B$40)</f>
        <v>-1.7456343521624899E-2</v>
      </c>
      <c r="H42" s="10">
        <f>(G42-$G$41)/(B42-$B$41)</f>
        <v>-1.5670760261580383</v>
      </c>
      <c r="I42" s="10"/>
      <c r="J42" s="10"/>
      <c r="K42">
        <f t="shared" si="3"/>
        <v>-0.37</v>
      </c>
    </row>
    <row r="43" spans="1:12" x14ac:dyDescent="0.3">
      <c r="A43">
        <f t="shared" si="4"/>
        <v>6</v>
      </c>
      <c r="B43" s="18">
        <f t="shared" si="2"/>
        <v>0.88</v>
      </c>
      <c r="C43" s="3">
        <f t="shared" si="2"/>
        <v>2.5832000000000002</v>
      </c>
      <c r="D43" s="10">
        <f t="shared" si="5"/>
        <v>1.4534883720930238</v>
      </c>
      <c r="E43" s="10">
        <f t="shared" si="6"/>
        <v>0.30334071613142155</v>
      </c>
      <c r="F43" s="10">
        <f t="shared" si="7"/>
        <v>0.224112665973103</v>
      </c>
      <c r="G43" s="10">
        <f t="shared" si="8"/>
        <v>-9.2436511273005385E-3</v>
      </c>
      <c r="H43" s="10">
        <f t="shared" ref="H43:H44" si="9">(G43-$G$41)/(B43-$B$41)</f>
        <v>-0.77934565459530536</v>
      </c>
      <c r="I43" s="10">
        <f>(H43-$H$42)/(B43-$B$42)</f>
        <v>19.693259289068305</v>
      </c>
      <c r="J43" s="10"/>
      <c r="K43">
        <f t="shared" si="3"/>
        <v>-0.41000000000000003</v>
      </c>
    </row>
    <row r="44" spans="1:12" x14ac:dyDescent="0.3">
      <c r="A44">
        <f t="shared" si="4"/>
        <v>7</v>
      </c>
      <c r="B44" s="14">
        <f t="shared" si="2"/>
        <v>0.94</v>
      </c>
      <c r="C44" s="24">
        <f t="shared" si="2"/>
        <v>2.6819999999999999</v>
      </c>
      <c r="D44" s="10">
        <f t="shared" si="5"/>
        <v>1.4771428571428573</v>
      </c>
      <c r="E44" s="10">
        <f t="shared" si="6"/>
        <v>0.31632653061225058</v>
      </c>
      <c r="F44" s="10">
        <f t="shared" si="7"/>
        <v>0.22240546050066917</v>
      </c>
      <c r="G44" s="10">
        <f t="shared" si="8"/>
        <v>-1.5006583151279538E-2</v>
      </c>
      <c r="H44" s="10">
        <f t="shared" si="9"/>
        <v>-0.50602693958371003</v>
      </c>
      <c r="I44" s="10">
        <f>(H44-$H$42)/(B44-$B$42)</f>
        <v>10.610490865743285</v>
      </c>
      <c r="J44" s="10">
        <f>(I44-$I$43)/(B44-$B$43)</f>
        <v>-151.37947372208379</v>
      </c>
      <c r="K44">
        <f t="shared" si="3"/>
        <v>-0.47</v>
      </c>
    </row>
    <row r="46" spans="1:12" x14ac:dyDescent="0.3">
      <c r="A46" s="13" t="s">
        <v>49</v>
      </c>
      <c r="B46" s="25" t="s">
        <v>255</v>
      </c>
      <c r="C46" s="25"/>
      <c r="D46" s="25"/>
      <c r="E46" s="25"/>
      <c r="F46" s="25"/>
      <c r="G46" s="25"/>
      <c r="H46" s="25"/>
      <c r="I46" s="25"/>
      <c r="J46" s="25"/>
      <c r="K46" s="25"/>
      <c r="L46" s="1"/>
    </row>
    <row r="47" spans="1:12" x14ac:dyDescent="0.3">
      <c r="A47" s="18"/>
      <c r="B47" s="26" t="s">
        <v>256</v>
      </c>
      <c r="C47" s="26"/>
      <c r="D47" s="26"/>
      <c r="E47" s="26"/>
      <c r="F47" s="26"/>
      <c r="G47" s="26"/>
      <c r="H47" s="26"/>
      <c r="I47" s="26"/>
      <c r="J47" s="26"/>
      <c r="K47" s="26"/>
      <c r="L47" s="3"/>
    </row>
    <row r="48" spans="1:12" x14ac:dyDescent="0.3">
      <c r="A48" s="14"/>
      <c r="B48" s="27" t="s">
        <v>257</v>
      </c>
      <c r="C48" s="27"/>
      <c r="D48" s="27"/>
      <c r="E48" s="27"/>
      <c r="F48" s="27"/>
      <c r="G48" s="27"/>
      <c r="H48" s="27"/>
      <c r="I48" s="27"/>
      <c r="J48" s="27"/>
      <c r="K48" s="27"/>
      <c r="L48" s="5"/>
    </row>
    <row r="50" spans="1:10" x14ac:dyDescent="0.3">
      <c r="A50" t="s">
        <v>33</v>
      </c>
      <c r="B50" s="19">
        <f>$C$37+D38*K37+E39*K37*K38+F40*K37*K38*K39+G41*K37*K38*K39*K40+H42*K37*K38*K39*K40*K41+I43*K37*K38*K39*K40*K41*K42+J44*K37*K38*K39*K40*K41*K42*K43</f>
        <v>1.9843214177065127</v>
      </c>
      <c r="F50" s="11" t="s">
        <v>20</v>
      </c>
      <c r="G50">
        <f>ABS(B50-F13)</f>
        <v>5.6295338629430702E-4</v>
      </c>
      <c r="H50" t="s">
        <v>34</v>
      </c>
    </row>
    <row r="51" spans="1:10" x14ac:dyDescent="0.3">
      <c r="F51" s="11" t="s">
        <v>21</v>
      </c>
      <c r="G51" s="73">
        <f>G50/F13*100</f>
        <v>2.8362024231384564E-2</v>
      </c>
    </row>
    <row r="53" spans="1:10" x14ac:dyDescent="0.3">
      <c r="B53" s="28" t="s">
        <v>35</v>
      </c>
      <c r="C53" s="29">
        <v>0.87</v>
      </c>
      <c r="E53" t="s">
        <v>36</v>
      </c>
      <c r="F53" s="29">
        <f>SINH(C53) + LN(C53 + 4)</f>
        <v>2.5670735892328174</v>
      </c>
    </row>
    <row r="55" spans="1:10" x14ac:dyDescent="0.3">
      <c r="A55" t="s">
        <v>37</v>
      </c>
    </row>
    <row r="56" spans="1:10" x14ac:dyDescent="0.3">
      <c r="A56" t="s">
        <v>0</v>
      </c>
      <c r="B56" t="s">
        <v>1</v>
      </c>
      <c r="C56" t="s">
        <v>2</v>
      </c>
      <c r="D56" t="s">
        <v>6</v>
      </c>
    </row>
    <row r="57" spans="1:10" x14ac:dyDescent="0.3">
      <c r="A57">
        <v>0</v>
      </c>
      <c r="B57" s="13">
        <f>B7</f>
        <v>0.84</v>
      </c>
      <c r="C57" s="1">
        <f>C7</f>
        <v>2.5192000000000001</v>
      </c>
    </row>
    <row r="58" spans="1:10" x14ac:dyDescent="0.3">
      <c r="A58">
        <v>1</v>
      </c>
      <c r="B58" s="14">
        <f>B8</f>
        <v>0.88</v>
      </c>
      <c r="C58" s="5">
        <f>C8</f>
        <v>2.5832000000000002</v>
      </c>
      <c r="D58" s="10">
        <f>(C58-$C$57)/(B58-$B$57)</f>
        <v>1.6</v>
      </c>
    </row>
    <row r="60" spans="1:10" x14ac:dyDescent="0.3">
      <c r="A60" s="15" t="s">
        <v>38</v>
      </c>
      <c r="B60" s="16" t="s">
        <v>39</v>
      </c>
      <c r="C60" s="16"/>
      <c r="D60" s="16"/>
      <c r="E60" s="16" t="s">
        <v>40</v>
      </c>
      <c r="F60" s="17"/>
      <c r="H60" s="20" t="s">
        <v>20</v>
      </c>
      <c r="I60">
        <f>B61-F53</f>
        <v>1.2641076718278299E-4</v>
      </c>
      <c r="J60" t="s">
        <v>34</v>
      </c>
    </row>
    <row r="61" spans="1:10" x14ac:dyDescent="0.3">
      <c r="A61" t="s">
        <v>41</v>
      </c>
      <c r="B61" s="19">
        <f>C57+D58*(C53-B57)</f>
        <v>2.5672000000000001</v>
      </c>
      <c r="H61" s="20" t="s">
        <v>21</v>
      </c>
      <c r="I61" s="73">
        <f>I60/F53</f>
        <v>4.924314118340545E-5</v>
      </c>
    </row>
    <row r="64" spans="1:10" x14ac:dyDescent="0.3">
      <c r="A64" t="s">
        <v>14</v>
      </c>
    </row>
    <row r="65" spans="1:11" x14ac:dyDescent="0.3">
      <c r="A65" t="s">
        <v>0</v>
      </c>
      <c r="B65" t="s">
        <v>1</v>
      </c>
      <c r="C65" t="s">
        <v>2</v>
      </c>
      <c r="D65" t="s">
        <v>6</v>
      </c>
      <c r="E65" t="s">
        <v>15</v>
      </c>
      <c r="F65" t="s">
        <v>42</v>
      </c>
    </row>
    <row r="66" spans="1:11" x14ac:dyDescent="0.3">
      <c r="A66">
        <v>0</v>
      </c>
      <c r="B66" s="13">
        <f>B7</f>
        <v>0.84</v>
      </c>
      <c r="C66" s="1">
        <f>C7</f>
        <v>2.5192000000000001</v>
      </c>
      <c r="F66">
        <f>$C$53-B66</f>
        <v>3.0000000000000027E-2</v>
      </c>
    </row>
    <row r="67" spans="1:11" x14ac:dyDescent="0.3">
      <c r="A67">
        <f>A66+1</f>
        <v>1</v>
      </c>
      <c r="B67" s="18">
        <f t="shared" ref="B67:C68" si="10">B8</f>
        <v>0.88</v>
      </c>
      <c r="C67" s="3">
        <f t="shared" si="10"/>
        <v>2.5832000000000002</v>
      </c>
      <c r="D67" s="10">
        <f>(C67-$C$66)/(B67-$B$66)</f>
        <v>1.6</v>
      </c>
      <c r="F67">
        <f t="shared" ref="F67:F68" si="11">$C$53-B67</f>
        <v>-1.0000000000000009E-2</v>
      </c>
    </row>
    <row r="68" spans="1:11" x14ac:dyDescent="0.3">
      <c r="A68">
        <f>A67+1</f>
        <v>2</v>
      </c>
      <c r="B68" s="14">
        <f t="shared" si="10"/>
        <v>0.94</v>
      </c>
      <c r="C68" s="24">
        <f t="shared" si="10"/>
        <v>2.6819999999999999</v>
      </c>
      <c r="D68" s="10">
        <f>(C68-$C$66)/(B68-$B$66)</f>
        <v>1.6279999999999988</v>
      </c>
      <c r="E68" s="10">
        <f>(D68-$D$67)/(B68-$B$67)</f>
        <v>0.4666666666666453</v>
      </c>
      <c r="F68">
        <f t="shared" si="11"/>
        <v>-6.9999999999999951E-2</v>
      </c>
    </row>
    <row r="70" spans="1:11" x14ac:dyDescent="0.3">
      <c r="A70" s="15" t="s">
        <v>43</v>
      </c>
      <c r="B70" s="16" t="s">
        <v>44</v>
      </c>
      <c r="C70" s="16"/>
      <c r="D70" s="16"/>
      <c r="E70" s="16"/>
      <c r="F70" s="16" t="s">
        <v>45</v>
      </c>
      <c r="G70" s="17"/>
      <c r="I70" s="20" t="s">
        <v>20</v>
      </c>
      <c r="J70">
        <f>ABS(B71-F53)</f>
        <v>1.3589232817246E-5</v>
      </c>
      <c r="K70" t="s">
        <v>22</v>
      </c>
    </row>
    <row r="71" spans="1:11" x14ac:dyDescent="0.3">
      <c r="A71" t="s">
        <v>46</v>
      </c>
      <c r="B71" s="19">
        <f>C66+D67*F66+E68*F66*F67</f>
        <v>2.5670600000000001</v>
      </c>
      <c r="I71" s="20" t="s">
        <v>21</v>
      </c>
      <c r="J71" s="73">
        <f>J70/F53</f>
        <v>5.2936670277953383E-6</v>
      </c>
    </row>
    <row r="74" spans="1:11" x14ac:dyDescent="0.3">
      <c r="A74" t="s">
        <v>47</v>
      </c>
    </row>
    <row r="75" spans="1:11" x14ac:dyDescent="0.3">
      <c r="B75" t="s">
        <v>0</v>
      </c>
      <c r="C75" t="s">
        <v>48</v>
      </c>
    </row>
    <row r="76" spans="1:11" x14ac:dyDescent="0.3">
      <c r="B76">
        <v>0</v>
      </c>
      <c r="C76">
        <f>$C$53 - B2</f>
        <v>0.42</v>
      </c>
    </row>
    <row r="77" spans="1:11" x14ac:dyDescent="0.3">
      <c r="B77">
        <f>B76+1</f>
        <v>1</v>
      </c>
      <c r="C77">
        <f t="shared" ref="C77:C83" si="12">$C$53 - B3</f>
        <v>0.35</v>
      </c>
    </row>
    <row r="78" spans="1:11" x14ac:dyDescent="0.3">
      <c r="B78">
        <f t="shared" ref="B78:B82" si="13">B77+1</f>
        <v>2</v>
      </c>
      <c r="C78">
        <f t="shared" si="12"/>
        <v>0.19999999999999996</v>
      </c>
    </row>
    <row r="79" spans="1:11" x14ac:dyDescent="0.3">
      <c r="B79">
        <f t="shared" si="13"/>
        <v>3</v>
      </c>
      <c r="C79">
        <f t="shared" si="12"/>
        <v>0.13</v>
      </c>
    </row>
    <row r="80" spans="1:11" x14ac:dyDescent="0.3">
      <c r="B80">
        <f t="shared" si="13"/>
        <v>4</v>
      </c>
      <c r="C80">
        <f t="shared" si="12"/>
        <v>7.999999999999996E-2</v>
      </c>
    </row>
    <row r="81" spans="1:12" x14ac:dyDescent="0.3">
      <c r="B81">
        <f t="shared" si="13"/>
        <v>5</v>
      </c>
      <c r="C81">
        <f t="shared" si="12"/>
        <v>3.0000000000000027E-2</v>
      </c>
    </row>
    <row r="82" spans="1:12" x14ac:dyDescent="0.3">
      <c r="B82">
        <f t="shared" si="13"/>
        <v>6</v>
      </c>
      <c r="C82">
        <f t="shared" si="12"/>
        <v>-1.0000000000000009E-2</v>
      </c>
    </row>
    <row r="83" spans="1:12" x14ac:dyDescent="0.3">
      <c r="B83">
        <f>B82+1</f>
        <v>7</v>
      </c>
      <c r="C83">
        <f t="shared" si="12"/>
        <v>-6.9999999999999951E-2</v>
      </c>
    </row>
    <row r="85" spans="1:12" x14ac:dyDescent="0.3">
      <c r="A85" s="13" t="s">
        <v>49</v>
      </c>
      <c r="B85" s="25" t="s">
        <v>30</v>
      </c>
      <c r="C85" s="25"/>
      <c r="D85" s="25"/>
      <c r="E85" s="25"/>
      <c r="F85" s="25"/>
      <c r="G85" s="25"/>
      <c r="H85" s="25"/>
      <c r="I85" s="25"/>
      <c r="J85" s="25"/>
      <c r="K85" s="25"/>
      <c r="L85" s="1"/>
    </row>
    <row r="86" spans="1:12" x14ac:dyDescent="0.3">
      <c r="A86" s="18"/>
      <c r="B86" s="26" t="s">
        <v>31</v>
      </c>
      <c r="C86" s="26"/>
      <c r="D86" s="26"/>
      <c r="E86" s="26"/>
      <c r="F86" s="26"/>
      <c r="G86" s="26"/>
      <c r="H86" s="26"/>
      <c r="I86" s="26"/>
      <c r="J86" s="26"/>
      <c r="K86" s="26"/>
      <c r="L86" s="3"/>
    </row>
    <row r="87" spans="1:12" x14ac:dyDescent="0.3">
      <c r="A87" s="14"/>
      <c r="B87" s="27" t="s">
        <v>32</v>
      </c>
      <c r="C87" s="27"/>
      <c r="D87" s="27"/>
      <c r="E87" s="27"/>
      <c r="F87" s="27"/>
      <c r="G87" s="27"/>
      <c r="H87" s="27"/>
      <c r="I87" s="27"/>
      <c r="J87" s="27"/>
      <c r="K87" s="27"/>
      <c r="L87" s="5"/>
    </row>
    <row r="89" spans="1:12" x14ac:dyDescent="0.3">
      <c r="A89" t="s">
        <v>50</v>
      </c>
      <c r="B89" s="19">
        <f>$C$37+D38*C76+E39*C76*C77+F40*C76*C77*C78+G41*C76*C77*C78*C79+H42*C76*C77*C78*C79*C80+I43*C76*C77*C78*C79*C80*C81+J44*C76*C77*C78*C79*C80*C81*C82</f>
        <v>2.5670478155034515</v>
      </c>
      <c r="I89" s="20" t="s">
        <v>20</v>
      </c>
      <c r="J89">
        <f>ABS(B89-F53)</f>
        <v>2.5773729365852205E-5</v>
      </c>
      <c r="K89" t="s">
        <v>22</v>
      </c>
    </row>
    <row r="90" spans="1:12" x14ac:dyDescent="0.3">
      <c r="I90" s="20" t="s">
        <v>21</v>
      </c>
      <c r="J90" s="73">
        <f>J89/F53</f>
        <v>1.0040120966518459E-5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2"/>
  <sheetViews>
    <sheetView topLeftCell="A25" workbookViewId="0">
      <selection activeCell="C62" sqref="C62"/>
    </sheetView>
  </sheetViews>
  <sheetFormatPr defaultRowHeight="14.4" x14ac:dyDescent="0.3"/>
  <cols>
    <col min="2" max="2" width="15.5546875" bestFit="1" customWidth="1"/>
    <col min="3" max="3" width="13.5546875" bestFit="1" customWidth="1"/>
    <col min="6" max="6" width="12.6640625" bestFit="1" customWidth="1"/>
  </cols>
  <sheetData>
    <row r="4" spans="1:10" x14ac:dyDescent="0.3">
      <c r="A4" s="15" t="s">
        <v>0</v>
      </c>
      <c r="B4" s="16" t="s">
        <v>1</v>
      </c>
      <c r="C4" s="16" t="s">
        <v>2</v>
      </c>
      <c r="D4" s="32" t="s">
        <v>51</v>
      </c>
      <c r="E4" s="16" t="s">
        <v>52</v>
      </c>
      <c r="F4" s="16" t="s">
        <v>53</v>
      </c>
      <c r="G4" s="16" t="s">
        <v>54</v>
      </c>
      <c r="H4" s="16" t="s">
        <v>55</v>
      </c>
      <c r="I4" s="16" t="s">
        <v>56</v>
      </c>
      <c r="J4" s="17" t="s">
        <v>57</v>
      </c>
    </row>
    <row r="5" spans="1:10" x14ac:dyDescent="0.3">
      <c r="A5">
        <v>0</v>
      </c>
      <c r="B5" s="18">
        <v>0.61</v>
      </c>
      <c r="C5" s="3">
        <v>2.1768000000000001</v>
      </c>
    </row>
    <row r="6" spans="1:10" x14ac:dyDescent="0.3">
      <c r="B6" s="18"/>
      <c r="C6" s="3"/>
      <c r="D6">
        <f>$C$7-$C$5</f>
        <v>0.34240000000000004</v>
      </c>
    </row>
    <row r="7" spans="1:10" x14ac:dyDescent="0.3">
      <c r="A7">
        <v>1</v>
      </c>
      <c r="B7" s="18">
        <v>0.84</v>
      </c>
      <c r="C7" s="3">
        <v>2.5192000000000001</v>
      </c>
      <c r="E7">
        <f>D8-D6</f>
        <v>4.7899999999999832E-2</v>
      </c>
    </row>
    <row r="8" spans="1:10" x14ac:dyDescent="0.3">
      <c r="B8" s="18"/>
      <c r="C8" s="3"/>
      <c r="D8">
        <f>$C$9-$C$7</f>
        <v>0.39029999999999987</v>
      </c>
      <c r="F8">
        <f>E9-E7</f>
        <v>1.8400000000000194E-2</v>
      </c>
    </row>
    <row r="9" spans="1:10" x14ac:dyDescent="0.3">
      <c r="A9">
        <v>2</v>
      </c>
      <c r="B9" s="18">
        <v>1.07</v>
      </c>
      <c r="C9" s="3">
        <v>2.9095</v>
      </c>
      <c r="E9">
        <f>D10-D8</f>
        <v>6.6300000000000026E-2</v>
      </c>
      <c r="G9" s="10">
        <f>F10-F8</f>
        <v>3.6000000000000476E-3</v>
      </c>
    </row>
    <row r="10" spans="1:10" x14ac:dyDescent="0.3">
      <c r="B10" s="18"/>
      <c r="C10" s="3"/>
      <c r="D10">
        <f>C11-C9</f>
        <v>0.45659999999999989</v>
      </c>
      <c r="F10" s="10">
        <f>E11-E9</f>
        <v>2.2000000000000242E-2</v>
      </c>
      <c r="H10" s="10">
        <f>G11-G9</f>
        <v>1.2999999999996348E-3</v>
      </c>
    </row>
    <row r="11" spans="1:10" x14ac:dyDescent="0.3">
      <c r="A11">
        <v>3</v>
      </c>
      <c r="B11" s="30">
        <v>1.3</v>
      </c>
      <c r="C11" s="3">
        <v>3.3660999999999999</v>
      </c>
      <c r="E11" s="10">
        <f>D12-D10</f>
        <v>8.8300000000000267E-2</v>
      </c>
      <c r="G11" s="10">
        <f>F12-F10</f>
        <v>4.8999999999996824E-3</v>
      </c>
      <c r="I11" s="10">
        <f>H12-H10</f>
        <v>0</v>
      </c>
    </row>
    <row r="12" spans="1:10" x14ac:dyDescent="0.3">
      <c r="B12" s="18"/>
      <c r="C12" s="3"/>
      <c r="D12" s="10">
        <f>C13-C11</f>
        <v>0.54490000000000016</v>
      </c>
      <c r="F12" s="10">
        <f>E13-E11</f>
        <v>2.6899999999999924E-2</v>
      </c>
      <c r="H12" s="10">
        <f>G13-G11</f>
        <v>1.2999999999996348E-3</v>
      </c>
      <c r="J12" s="10">
        <f>I13-I11</f>
        <v>3.0000000000285354E-4</v>
      </c>
    </row>
    <row r="13" spans="1:10" x14ac:dyDescent="0.3">
      <c r="A13">
        <v>4</v>
      </c>
      <c r="B13" s="18">
        <v>1.53</v>
      </c>
      <c r="C13" s="31">
        <v>3.911</v>
      </c>
      <c r="E13" s="10">
        <f>D14-D12</f>
        <v>0.11520000000000019</v>
      </c>
      <c r="G13" s="10">
        <f>F14-F12</f>
        <v>6.1999999999993172E-3</v>
      </c>
      <c r="I13" s="10">
        <f>H14-H12</f>
        <v>3.0000000000285354E-4</v>
      </c>
    </row>
    <row r="14" spans="1:10" x14ac:dyDescent="0.3">
      <c r="B14" s="18"/>
      <c r="C14" s="3"/>
      <c r="D14" s="10">
        <f>C15-C13</f>
        <v>0.66010000000000035</v>
      </c>
      <c r="F14" s="10">
        <f>E15-E13</f>
        <v>3.3099999999999241E-2</v>
      </c>
      <c r="H14" s="10">
        <f>G15-G13</f>
        <v>1.6000000000024883E-3</v>
      </c>
    </row>
    <row r="15" spans="1:10" x14ac:dyDescent="0.3">
      <c r="A15">
        <v>5</v>
      </c>
      <c r="B15" s="18">
        <v>1.76</v>
      </c>
      <c r="C15" s="3">
        <v>4.5711000000000004</v>
      </c>
      <c r="E15" s="10">
        <f>D16-D14</f>
        <v>0.14829999999999943</v>
      </c>
      <c r="G15" s="10">
        <f>F16-F14</f>
        <v>7.8000000000018055E-3</v>
      </c>
    </row>
    <row r="16" spans="1:10" x14ac:dyDescent="0.3">
      <c r="B16" s="18"/>
      <c r="C16" s="3"/>
      <c r="D16">
        <f>C17-C15</f>
        <v>0.80839999999999979</v>
      </c>
      <c r="F16" s="10">
        <f>E17-E15</f>
        <v>4.0900000000001047E-2</v>
      </c>
    </row>
    <row r="17" spans="1:11" x14ac:dyDescent="0.3">
      <c r="A17">
        <v>6</v>
      </c>
      <c r="B17" s="18">
        <v>1.99</v>
      </c>
      <c r="C17" s="3">
        <v>5.3795000000000002</v>
      </c>
      <c r="E17">
        <f>D18-D16</f>
        <v>0.18920000000000048</v>
      </c>
    </row>
    <row r="18" spans="1:11" x14ac:dyDescent="0.3">
      <c r="B18" s="18"/>
      <c r="C18" s="3"/>
      <c r="D18">
        <f>C19-C17</f>
        <v>0.99760000000000026</v>
      </c>
    </row>
    <row r="19" spans="1:11" x14ac:dyDescent="0.3">
      <c r="A19" s="5">
        <v>7</v>
      </c>
      <c r="B19" s="14">
        <v>2.2200000000000002</v>
      </c>
      <c r="C19" s="5">
        <v>6.3771000000000004</v>
      </c>
    </row>
    <row r="21" spans="1:11" x14ac:dyDescent="0.3">
      <c r="A21" t="s">
        <v>58</v>
      </c>
    </row>
    <row r="22" spans="1:11" x14ac:dyDescent="0.3">
      <c r="A22" t="s">
        <v>59</v>
      </c>
      <c r="B22">
        <f>B5</f>
        <v>0.61</v>
      </c>
      <c r="D22" t="s">
        <v>60</v>
      </c>
      <c r="E22">
        <v>0.23</v>
      </c>
    </row>
    <row r="24" spans="1:11" x14ac:dyDescent="0.3">
      <c r="A24" s="13" t="s">
        <v>61</v>
      </c>
      <c r="B24" s="25"/>
      <c r="C24" s="25"/>
      <c r="D24" s="25"/>
      <c r="E24" s="25"/>
      <c r="F24" s="25"/>
      <c r="G24" s="25"/>
      <c r="H24" s="25"/>
      <c r="I24" s="25"/>
      <c r="J24" s="1"/>
    </row>
    <row r="25" spans="1:11" x14ac:dyDescent="0.3">
      <c r="A25" s="18"/>
      <c r="B25" s="33" t="s">
        <v>62</v>
      </c>
      <c r="C25" s="26"/>
      <c r="D25" s="26"/>
      <c r="E25" s="26"/>
      <c r="F25" s="26"/>
      <c r="G25" s="26"/>
      <c r="H25" s="26"/>
      <c r="I25" s="26"/>
      <c r="J25" s="3"/>
    </row>
    <row r="26" spans="1:11" x14ac:dyDescent="0.3">
      <c r="A26" s="14"/>
      <c r="B26" s="27" t="s">
        <v>63</v>
      </c>
      <c r="C26" s="27"/>
      <c r="D26" s="27"/>
      <c r="E26" s="27"/>
      <c r="F26" s="27"/>
      <c r="G26" s="27"/>
      <c r="H26" s="27"/>
      <c r="I26" s="27"/>
      <c r="J26" s="5"/>
    </row>
    <row r="28" spans="1:11" x14ac:dyDescent="0.3">
      <c r="A28" t="s">
        <v>64</v>
      </c>
    </row>
    <row r="29" spans="1:11" x14ac:dyDescent="0.3">
      <c r="A29" t="s">
        <v>65</v>
      </c>
      <c r="B29">
        <v>2.2200000000000002</v>
      </c>
      <c r="D29" t="s">
        <v>66</v>
      </c>
      <c r="E29">
        <v>0.23</v>
      </c>
    </row>
    <row r="31" spans="1:11" x14ac:dyDescent="0.3">
      <c r="A31" s="13" t="s">
        <v>67</v>
      </c>
      <c r="B31" s="25"/>
      <c r="C31" s="25"/>
      <c r="D31" s="25"/>
      <c r="E31" s="25"/>
      <c r="F31" s="25"/>
      <c r="G31" s="25"/>
      <c r="H31" s="25"/>
      <c r="I31" s="25"/>
      <c r="J31" s="25"/>
      <c r="K31" s="1"/>
    </row>
    <row r="32" spans="1:11" x14ac:dyDescent="0.3">
      <c r="A32" s="18"/>
      <c r="B32" s="33" t="s">
        <v>68</v>
      </c>
      <c r="C32" s="26"/>
      <c r="D32" s="26"/>
      <c r="E32" s="26"/>
      <c r="F32" s="26"/>
      <c r="G32" s="26"/>
      <c r="H32" s="26"/>
      <c r="I32" s="26"/>
      <c r="J32" s="26"/>
      <c r="K32" s="3"/>
    </row>
    <row r="33" spans="1:11" x14ac:dyDescent="0.3">
      <c r="A33" s="14"/>
      <c r="B33" s="27" t="s">
        <v>69</v>
      </c>
      <c r="C33" s="27"/>
      <c r="D33" s="27"/>
      <c r="E33" s="27"/>
      <c r="F33" s="27"/>
      <c r="G33" s="27"/>
      <c r="H33" s="27"/>
      <c r="I33" s="27"/>
      <c r="J33" s="27"/>
      <c r="K33" s="5"/>
    </row>
    <row r="35" spans="1:11" x14ac:dyDescent="0.3">
      <c r="D35" t="s">
        <v>73</v>
      </c>
      <c r="E35" s="10">
        <f>($B$36-$B$40)/$E$22 - 0</f>
        <v>0.34782608695652156</v>
      </c>
    </row>
    <row r="36" spans="1:11" x14ac:dyDescent="0.3">
      <c r="A36" s="9" t="s">
        <v>70</v>
      </c>
      <c r="B36" s="29">
        <v>0.69</v>
      </c>
      <c r="D36" t="s">
        <v>74</v>
      </c>
      <c r="E36" s="10">
        <f>($B$36-$B$40)/$E$22 - 1</f>
        <v>-0.65217391304347849</v>
      </c>
    </row>
    <row r="37" spans="1:11" x14ac:dyDescent="0.3">
      <c r="D37" t="s">
        <v>75</v>
      </c>
      <c r="E37" s="10">
        <f>($B$36-$B$40)/$E$22 - 2</f>
        <v>-1.6521739130434785</v>
      </c>
    </row>
    <row r="38" spans="1:11" x14ac:dyDescent="0.3">
      <c r="A38" s="9" t="s">
        <v>71</v>
      </c>
      <c r="B38" s="34">
        <f>SINH(B36) + LN(B36 + 4)</f>
        <v>2.2915023145467011</v>
      </c>
      <c r="D38" t="s">
        <v>76</v>
      </c>
      <c r="E38" s="10">
        <f>($B$36-$B$40)/$E$22 - 3</f>
        <v>-2.6521739130434785</v>
      </c>
    </row>
    <row r="39" spans="1:11" x14ac:dyDescent="0.3">
      <c r="D39" t="s">
        <v>77</v>
      </c>
      <c r="E39" s="10">
        <f>($B$36-$B$40)/$E$22 - 4</f>
        <v>-3.6521739130434785</v>
      </c>
    </row>
    <row r="40" spans="1:11" x14ac:dyDescent="0.3">
      <c r="A40" s="9" t="s">
        <v>72</v>
      </c>
      <c r="B40">
        <v>0.61</v>
      </c>
      <c r="D40" t="s">
        <v>78</v>
      </c>
      <c r="E40" s="10">
        <f>($B$36-$B$40)/$E$22 - 5</f>
        <v>-4.6521739130434785</v>
      </c>
    </row>
    <row r="41" spans="1:11" x14ac:dyDescent="0.3">
      <c r="D41" t="s">
        <v>79</v>
      </c>
      <c r="E41" s="10">
        <f>($B$36-$B$40)/$E$22 - 6</f>
        <v>-5.6521739130434785</v>
      </c>
    </row>
    <row r="44" spans="1:11" x14ac:dyDescent="0.3">
      <c r="A44" t="s">
        <v>58</v>
      </c>
    </row>
    <row r="46" spans="1:11" x14ac:dyDescent="0.3">
      <c r="B46" s="9" t="s">
        <v>80</v>
      </c>
      <c r="C46" s="12">
        <f>C5+D6*E35+E7*E35*E36/FACT(2)+F8*E35*E36*E37/FACT(3)+G9*E35*E36*E37*E38/FACT(4)+H10*E35*E36*E37*E38*E39/FACT(5)+I11*E35*E36*E37*E38*E39*E40/FACT(6)+J12*E35*E36*E37*E38*E39*E40*E41/FACT(7)</f>
        <v>2.2915080088400193</v>
      </c>
      <c r="E46" s="20" t="s">
        <v>20</v>
      </c>
      <c r="F46" s="36">
        <f>ABS(C46-B38)</f>
        <v>5.6942933182035915E-6</v>
      </c>
      <c r="G46" t="s">
        <v>81</v>
      </c>
    </row>
    <row r="47" spans="1:11" x14ac:dyDescent="0.3">
      <c r="E47" s="20" t="s">
        <v>21</v>
      </c>
      <c r="F47" s="61">
        <f>F46/B38*100</f>
        <v>2.4849607535002739E-4</v>
      </c>
    </row>
    <row r="51" spans="1:7" x14ac:dyDescent="0.3">
      <c r="A51" s="9" t="s">
        <v>70</v>
      </c>
      <c r="B51" s="29">
        <v>1.48</v>
      </c>
      <c r="D51" t="s">
        <v>73</v>
      </c>
      <c r="E51">
        <f>($B$51-$B$55)/$E$29</f>
        <v>-0.21739130434782628</v>
      </c>
    </row>
    <row r="52" spans="1:7" x14ac:dyDescent="0.3">
      <c r="A52" s="9"/>
      <c r="D52" t="s">
        <v>83</v>
      </c>
      <c r="E52">
        <f t="shared" ref="E52" si="0">($B$51-$B$55)/$E$29 +1</f>
        <v>0.78260869565217372</v>
      </c>
    </row>
    <row r="53" spans="1:7" x14ac:dyDescent="0.3">
      <c r="A53" s="9" t="s">
        <v>82</v>
      </c>
      <c r="B53" s="34">
        <f>SINH(B51) + LN(B51 + 4)</f>
        <v>3.7837590972273967</v>
      </c>
      <c r="D53" t="s">
        <v>84</v>
      </c>
      <c r="E53">
        <f>($B$51-$B$55)/$E$29 +2</f>
        <v>1.7826086956521738</v>
      </c>
    </row>
    <row r="54" spans="1:7" x14ac:dyDescent="0.3">
      <c r="A54" s="9"/>
      <c r="D54" t="s">
        <v>85</v>
      </c>
      <c r="E54">
        <f>($B$51-$B$55)/$E$29 +3</f>
        <v>2.7826086956521738</v>
      </c>
    </row>
    <row r="55" spans="1:7" x14ac:dyDescent="0.3">
      <c r="A55" s="9" t="s">
        <v>65</v>
      </c>
      <c r="B55">
        <f>B13</f>
        <v>1.53</v>
      </c>
      <c r="D55" t="s">
        <v>86</v>
      </c>
      <c r="E55">
        <f>($B$51-$B$55)/$E$29 +4</f>
        <v>3.7826086956521738</v>
      </c>
    </row>
    <row r="56" spans="1:7" x14ac:dyDescent="0.3">
      <c r="D56" t="s">
        <v>87</v>
      </c>
      <c r="E56">
        <f>($B$51-$B$55)/$E$29 +5</f>
        <v>4.7826086956521738</v>
      </c>
    </row>
    <row r="57" spans="1:7" x14ac:dyDescent="0.3">
      <c r="D57" t="s">
        <v>88</v>
      </c>
      <c r="E57">
        <f>($B$51-$B$55)/$E$29 +6</f>
        <v>5.7826086956521738</v>
      </c>
    </row>
    <row r="59" spans="1:7" x14ac:dyDescent="0.3">
      <c r="A59" t="s">
        <v>64</v>
      </c>
    </row>
    <row r="61" spans="1:7" x14ac:dyDescent="0.3">
      <c r="B61" t="s">
        <v>254</v>
      </c>
      <c r="C61" s="12">
        <f>C13+D12*E51+E11*E51*E52/FACT(2)+F10*E51*E52*E53/FACT(3)+G9*E51*E52*E53*E54/FACT(4)</f>
        <v>3.7837935256091852</v>
      </c>
      <c r="E61" s="20" t="s">
        <v>20</v>
      </c>
      <c r="F61" s="35">
        <f>ABS(C61-B53)</f>
        <v>3.442838178857599E-5</v>
      </c>
      <c r="G61" t="s">
        <v>89</v>
      </c>
    </row>
    <row r="62" spans="1:7" x14ac:dyDescent="0.3">
      <c r="E62" s="20" t="s">
        <v>21</v>
      </c>
      <c r="F62" s="61">
        <f>F61/B53*100</f>
        <v>9.0989888372660602E-4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33" zoomScaleNormal="100" workbookViewId="0">
      <selection activeCell="P19" sqref="P19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91</v>
      </c>
      <c r="B2" s="37">
        <v>-4</v>
      </c>
      <c r="C2" s="37">
        <v>-3</v>
      </c>
      <c r="D2" s="37">
        <v>-2</v>
      </c>
      <c r="E2" s="37">
        <v>-1</v>
      </c>
      <c r="F2" s="37">
        <v>0</v>
      </c>
      <c r="G2" s="37">
        <v>1</v>
      </c>
      <c r="H2" s="37">
        <v>2</v>
      </c>
      <c r="I2" s="37">
        <v>3</v>
      </c>
      <c r="J2" s="37">
        <v>4</v>
      </c>
    </row>
    <row r="3" spans="1:10" x14ac:dyDescent="0.3">
      <c r="A3" t="s">
        <v>92</v>
      </c>
      <c r="B3" s="37">
        <v>-8.52</v>
      </c>
      <c r="C3" s="37">
        <v>-3.54</v>
      </c>
      <c r="D3" s="37">
        <v>0.5</v>
      </c>
      <c r="E3" s="37">
        <v>2.2999999999999998</v>
      </c>
      <c r="F3" s="37">
        <v>-1</v>
      </c>
      <c r="G3" s="37">
        <v>-3.9</v>
      </c>
      <c r="H3" s="37">
        <v>-5.0999999999999996</v>
      </c>
      <c r="I3" s="37">
        <v>-4.2</v>
      </c>
      <c r="J3" s="37">
        <v>5.0999999999999996</v>
      </c>
    </row>
    <row r="5" spans="1:10" x14ac:dyDescent="0.3">
      <c r="A5" t="s">
        <v>93</v>
      </c>
      <c r="B5" t="s">
        <v>94</v>
      </c>
      <c r="C5" s="19">
        <v>3</v>
      </c>
    </row>
    <row r="6" spans="1:10" x14ac:dyDescent="0.3">
      <c r="A6" t="s">
        <v>95</v>
      </c>
    </row>
    <row r="14" spans="1:10" x14ac:dyDescent="0.3">
      <c r="H14" t="s">
        <v>119</v>
      </c>
    </row>
    <row r="17" spans="1:16" x14ac:dyDescent="0.3">
      <c r="P17" t="s">
        <v>107</v>
      </c>
    </row>
    <row r="18" spans="1:16" x14ac:dyDescent="0.3">
      <c r="A18" t="s">
        <v>120</v>
      </c>
      <c r="B18" t="s">
        <v>0</v>
      </c>
      <c r="C18" t="s">
        <v>1</v>
      </c>
      <c r="D18" t="s">
        <v>2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127</v>
      </c>
      <c r="K18" t="s">
        <v>128</v>
      </c>
      <c r="L18" t="s">
        <v>129</v>
      </c>
      <c r="N18" t="s">
        <v>126</v>
      </c>
    </row>
    <row r="19" spans="1:16" x14ac:dyDescent="0.3">
      <c r="B19" s="1">
        <v>0</v>
      </c>
      <c r="C19" s="13">
        <v>-4</v>
      </c>
      <c r="D19" s="1">
        <v>-8.52</v>
      </c>
      <c r="E19">
        <f>C19^2</f>
        <v>16</v>
      </c>
      <c r="F19">
        <f>C19^3</f>
        <v>-64</v>
      </c>
      <c r="G19">
        <f>C19^4</f>
        <v>256</v>
      </c>
      <c r="H19">
        <f>C19^5</f>
        <v>-1024</v>
      </c>
      <c r="I19">
        <f>C19^6</f>
        <v>4096</v>
      </c>
      <c r="J19">
        <f>C19*D19</f>
        <v>34.08</v>
      </c>
      <c r="K19">
        <f>E19*D19</f>
        <v>-136.32</v>
      </c>
      <c r="L19">
        <f>F19*D19</f>
        <v>545.28</v>
      </c>
      <c r="N19" s="2">
        <f>$K$33 + $K$34*C19 + $K$35*E19 + $K$36*F19</f>
        <v>-9.6264646464646475</v>
      </c>
      <c r="P19">
        <f>ABS((D19 - N19)/D19)</f>
        <v>0.12986674254279906</v>
      </c>
    </row>
    <row r="20" spans="1:16" x14ac:dyDescent="0.3">
      <c r="B20" s="3">
        <f>B19+1</f>
        <v>1</v>
      </c>
      <c r="C20" s="18">
        <f>C19+1</f>
        <v>-3</v>
      </c>
      <c r="D20" s="3">
        <v>-3.54</v>
      </c>
      <c r="E20">
        <f t="shared" ref="E20:E27" si="0">C20^2</f>
        <v>9</v>
      </c>
      <c r="F20">
        <f t="shared" ref="F20:F27" si="1">C20^3</f>
        <v>-27</v>
      </c>
      <c r="G20">
        <f t="shared" ref="G20:G27" si="2">C20^4</f>
        <v>81</v>
      </c>
      <c r="H20">
        <f t="shared" ref="H20:H27" si="3">C20^5</f>
        <v>-243</v>
      </c>
      <c r="I20">
        <f t="shared" ref="I20:I27" si="4">C20^6</f>
        <v>729</v>
      </c>
      <c r="J20">
        <f t="shared" ref="J20:J27" si="5">C20*D20</f>
        <v>10.620000000000001</v>
      </c>
      <c r="K20">
        <f t="shared" ref="K20:K27" si="6">E20*D20</f>
        <v>-31.86</v>
      </c>
      <c r="L20">
        <f t="shared" ref="L20:L27" si="7">F20*D20</f>
        <v>95.58</v>
      </c>
      <c r="N20" s="2">
        <f t="shared" ref="N20:N27" si="8">$K$33 + $K$34*C20 + $K$35*E20 + $K$36*F20</f>
        <v>-1.6713131313131306</v>
      </c>
      <c r="P20">
        <f t="shared" ref="P20:P27" si="9">ABS((D20 - N20)/D20)</f>
        <v>0.52787764652171454</v>
      </c>
    </row>
    <row r="21" spans="1:16" x14ac:dyDescent="0.3">
      <c r="B21" s="3">
        <f t="shared" ref="B21:B27" si="10">B20+1</f>
        <v>2</v>
      </c>
      <c r="C21" s="18">
        <f t="shared" ref="C21:C27" si="11">C20+1</f>
        <v>-2</v>
      </c>
      <c r="D21" s="3">
        <v>0.5</v>
      </c>
      <c r="E21">
        <f t="shared" si="0"/>
        <v>4</v>
      </c>
      <c r="F21">
        <f t="shared" si="1"/>
        <v>-8</v>
      </c>
      <c r="G21">
        <f t="shared" si="2"/>
        <v>16</v>
      </c>
      <c r="H21">
        <f t="shared" si="3"/>
        <v>-32</v>
      </c>
      <c r="I21">
        <f t="shared" si="4"/>
        <v>64</v>
      </c>
      <c r="J21">
        <f t="shared" si="5"/>
        <v>-1</v>
      </c>
      <c r="K21">
        <f t="shared" si="6"/>
        <v>2</v>
      </c>
      <c r="L21">
        <f t="shared" si="7"/>
        <v>-4</v>
      </c>
      <c r="N21" s="2">
        <f t="shared" si="8"/>
        <v>1.233535353535355</v>
      </c>
      <c r="P21">
        <f t="shared" si="9"/>
        <v>1.4670707070707101</v>
      </c>
    </row>
    <row r="22" spans="1:16" x14ac:dyDescent="0.3">
      <c r="B22" s="3">
        <f t="shared" si="10"/>
        <v>3</v>
      </c>
      <c r="C22" s="18">
        <f t="shared" si="11"/>
        <v>-1</v>
      </c>
      <c r="D22" s="3">
        <v>2.2999999999999998</v>
      </c>
      <c r="E22">
        <f t="shared" si="0"/>
        <v>1</v>
      </c>
      <c r="F22">
        <f t="shared" si="1"/>
        <v>-1</v>
      </c>
      <c r="G22">
        <f t="shared" si="2"/>
        <v>1</v>
      </c>
      <c r="H22">
        <f t="shared" si="3"/>
        <v>-1</v>
      </c>
      <c r="I22">
        <f t="shared" si="4"/>
        <v>1</v>
      </c>
      <c r="J22">
        <f t="shared" si="5"/>
        <v>-2.2999999999999998</v>
      </c>
      <c r="K22">
        <f t="shared" si="6"/>
        <v>2.2999999999999998</v>
      </c>
      <c r="L22">
        <f t="shared" si="7"/>
        <v>-2.2999999999999998</v>
      </c>
      <c r="N22" s="2">
        <f t="shared" si="8"/>
        <v>0.72393939393939499</v>
      </c>
      <c r="P22">
        <f t="shared" si="9"/>
        <v>0.68524374176548042</v>
      </c>
    </row>
    <row r="23" spans="1:16" x14ac:dyDescent="0.3">
      <c r="B23" s="3">
        <f t="shared" si="10"/>
        <v>4</v>
      </c>
      <c r="C23" s="18">
        <f t="shared" si="11"/>
        <v>0</v>
      </c>
      <c r="D23" s="3">
        <v>-1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  <c r="J23">
        <f t="shared" si="5"/>
        <v>0</v>
      </c>
      <c r="K23">
        <f t="shared" si="6"/>
        <v>0</v>
      </c>
      <c r="L23">
        <f t="shared" si="7"/>
        <v>0</v>
      </c>
      <c r="N23" s="2">
        <f t="shared" si="8"/>
        <v>-1.5642424242424244</v>
      </c>
      <c r="P23">
        <f t="shared" si="9"/>
        <v>0.56424242424242443</v>
      </c>
    </row>
    <row r="24" spans="1:16" x14ac:dyDescent="0.3">
      <c r="B24" s="3">
        <f t="shared" si="10"/>
        <v>5</v>
      </c>
      <c r="C24" s="18">
        <f t="shared" si="11"/>
        <v>1</v>
      </c>
      <c r="D24" s="3">
        <v>-3.9</v>
      </c>
      <c r="E24">
        <f t="shared" si="0"/>
        <v>1</v>
      </c>
      <c r="F24">
        <f t="shared" si="1"/>
        <v>1</v>
      </c>
      <c r="G24">
        <f t="shared" si="2"/>
        <v>1</v>
      </c>
      <c r="H24">
        <f t="shared" si="3"/>
        <v>1</v>
      </c>
      <c r="I24">
        <f t="shared" si="4"/>
        <v>1</v>
      </c>
      <c r="J24">
        <f t="shared" si="5"/>
        <v>-3.9</v>
      </c>
      <c r="K24">
        <f t="shared" si="6"/>
        <v>-3.9</v>
      </c>
      <c r="L24">
        <f t="shared" si="7"/>
        <v>-3.9</v>
      </c>
      <c r="N24" s="2">
        <f t="shared" si="8"/>
        <v>-3.9951515151515169</v>
      </c>
      <c r="P24">
        <f t="shared" si="9"/>
        <v>2.4397824397824869E-2</v>
      </c>
    </row>
    <row r="25" spans="1:16" x14ac:dyDescent="0.3">
      <c r="B25" s="3">
        <f t="shared" si="10"/>
        <v>6</v>
      </c>
      <c r="C25" s="18">
        <f t="shared" si="11"/>
        <v>2</v>
      </c>
      <c r="D25" s="3">
        <v>-5.0999999999999996</v>
      </c>
      <c r="E25">
        <f t="shared" si="0"/>
        <v>4</v>
      </c>
      <c r="F25">
        <f t="shared" si="1"/>
        <v>8</v>
      </c>
      <c r="G25">
        <f t="shared" si="2"/>
        <v>16</v>
      </c>
      <c r="H25">
        <f t="shared" si="3"/>
        <v>32</v>
      </c>
      <c r="I25">
        <f t="shared" si="4"/>
        <v>64</v>
      </c>
      <c r="J25">
        <f t="shared" si="5"/>
        <v>-10.199999999999999</v>
      </c>
      <c r="K25">
        <f t="shared" si="6"/>
        <v>-20.399999999999999</v>
      </c>
      <c r="L25">
        <f t="shared" si="7"/>
        <v>-40.799999999999997</v>
      </c>
      <c r="N25" s="2">
        <f t="shared" si="8"/>
        <v>-4.9329292929292965</v>
      </c>
      <c r="P25">
        <f t="shared" si="9"/>
        <v>3.2758962170726109E-2</v>
      </c>
    </row>
    <row r="26" spans="1:16" x14ac:dyDescent="0.3">
      <c r="B26" s="3">
        <f t="shared" si="10"/>
        <v>7</v>
      </c>
      <c r="C26" s="18">
        <f t="shared" si="11"/>
        <v>3</v>
      </c>
      <c r="D26" s="3">
        <v>-4.2</v>
      </c>
      <c r="E26">
        <f t="shared" si="0"/>
        <v>9</v>
      </c>
      <c r="F26">
        <f t="shared" si="1"/>
        <v>27</v>
      </c>
      <c r="G26">
        <f t="shared" si="2"/>
        <v>81</v>
      </c>
      <c r="H26">
        <f t="shared" si="3"/>
        <v>243</v>
      </c>
      <c r="I26">
        <f t="shared" si="4"/>
        <v>729</v>
      </c>
      <c r="J26">
        <f t="shared" si="5"/>
        <v>-12.600000000000001</v>
      </c>
      <c r="K26">
        <f t="shared" si="6"/>
        <v>-37.800000000000004</v>
      </c>
      <c r="L26">
        <f t="shared" si="7"/>
        <v>-113.4</v>
      </c>
      <c r="N26" s="2">
        <f t="shared" si="8"/>
        <v>-2.7417171717171742</v>
      </c>
      <c r="P26">
        <f t="shared" si="9"/>
        <v>0.34721019721019664</v>
      </c>
    </row>
    <row r="27" spans="1:16" x14ac:dyDescent="0.3">
      <c r="B27" s="5">
        <f t="shared" si="10"/>
        <v>8</v>
      </c>
      <c r="C27" s="14">
        <f t="shared" si="11"/>
        <v>4</v>
      </c>
      <c r="D27" s="5">
        <v>5.0999999999999996</v>
      </c>
      <c r="E27">
        <f t="shared" si="0"/>
        <v>16</v>
      </c>
      <c r="F27">
        <f t="shared" si="1"/>
        <v>64</v>
      </c>
      <c r="G27">
        <f t="shared" si="2"/>
        <v>256</v>
      </c>
      <c r="H27">
        <f t="shared" si="3"/>
        <v>1024</v>
      </c>
      <c r="I27">
        <f t="shared" si="4"/>
        <v>4096</v>
      </c>
      <c r="J27">
        <f t="shared" si="5"/>
        <v>20.399999999999999</v>
      </c>
      <c r="K27">
        <f t="shared" si="6"/>
        <v>81.599999999999994</v>
      </c>
      <c r="L27">
        <f t="shared" si="7"/>
        <v>326.39999999999998</v>
      </c>
      <c r="N27" s="2">
        <f t="shared" si="8"/>
        <v>4.2143434343434336</v>
      </c>
      <c r="P27">
        <f t="shared" si="9"/>
        <v>0.17365815012873845</v>
      </c>
    </row>
    <row r="29" spans="1:16" x14ac:dyDescent="0.3">
      <c r="B29" s="43" t="s">
        <v>130</v>
      </c>
      <c r="C29" s="43" t="s">
        <v>131</v>
      </c>
      <c r="D29" s="43" t="s">
        <v>132</v>
      </c>
      <c r="E29" s="43" t="s">
        <v>133</v>
      </c>
      <c r="F29" s="43" t="s">
        <v>134</v>
      </c>
      <c r="G29" s="43" t="s">
        <v>135</v>
      </c>
      <c r="H29" s="43" t="s">
        <v>136</v>
      </c>
      <c r="I29" s="43" t="s">
        <v>137</v>
      </c>
      <c r="J29" s="43" t="s">
        <v>138</v>
      </c>
      <c r="K29" s="43" t="s">
        <v>139</v>
      </c>
      <c r="L29" s="43" t="s">
        <v>140</v>
      </c>
    </row>
    <row r="30" spans="1:16" x14ac:dyDescent="0.3">
      <c r="A30" t="s">
        <v>100</v>
      </c>
      <c r="B30" s="43">
        <v>9</v>
      </c>
      <c r="C30" s="43">
        <f>SUM(C19:C27)</f>
        <v>0</v>
      </c>
      <c r="D30" s="43">
        <f t="shared" ref="D30:L30" si="12">SUM(D19:D27)</f>
        <v>-18.36</v>
      </c>
      <c r="E30" s="43">
        <f t="shared" si="12"/>
        <v>60</v>
      </c>
      <c r="F30" s="43">
        <f t="shared" si="12"/>
        <v>0</v>
      </c>
      <c r="G30" s="43">
        <f t="shared" si="12"/>
        <v>708</v>
      </c>
      <c r="H30" s="43">
        <f t="shared" si="12"/>
        <v>0</v>
      </c>
      <c r="I30" s="43">
        <f t="shared" si="12"/>
        <v>9780</v>
      </c>
      <c r="J30" s="43">
        <f t="shared" si="12"/>
        <v>35.100000000000009</v>
      </c>
      <c r="K30" s="43">
        <f t="shared" si="12"/>
        <v>-144.38000000000002</v>
      </c>
      <c r="L30" s="43">
        <f t="shared" si="12"/>
        <v>802.86000000000013</v>
      </c>
    </row>
    <row r="32" spans="1:16" x14ac:dyDescent="0.3">
      <c r="B32" t="s">
        <v>141</v>
      </c>
      <c r="F32" t="s">
        <v>142</v>
      </c>
    </row>
    <row r="33" spans="1:15" x14ac:dyDescent="0.3">
      <c r="A33" s="13">
        <v>9</v>
      </c>
      <c r="B33" s="25">
        <f>C30</f>
        <v>0</v>
      </c>
      <c r="C33" s="25">
        <f>E30</f>
        <v>60</v>
      </c>
      <c r="D33" s="1">
        <f>F30</f>
        <v>0</v>
      </c>
      <c r="F33" s="2">
        <f>D30</f>
        <v>-18.36</v>
      </c>
      <c r="J33" s="13" t="s">
        <v>143</v>
      </c>
      <c r="K33" s="1">
        <f t="array" ref="K33:K36">MMULT(MINVERSE(A33:D36),F33:F36)</f>
        <v>-1.5642424242424244</v>
      </c>
    </row>
    <row r="34" spans="1:15" x14ac:dyDescent="0.3">
      <c r="A34" s="18">
        <f>C30</f>
        <v>0</v>
      </c>
      <c r="B34" s="26">
        <f>E30</f>
        <v>60</v>
      </c>
      <c r="C34" s="26">
        <f>F30</f>
        <v>0</v>
      </c>
      <c r="D34" s="3">
        <f>G30</f>
        <v>708</v>
      </c>
      <c r="F34" s="4">
        <f>J30</f>
        <v>35.100000000000009</v>
      </c>
      <c r="J34" s="18" t="s">
        <v>144</v>
      </c>
      <c r="K34" s="3">
        <v>-2.6321885521885537</v>
      </c>
    </row>
    <row r="35" spans="1:15" x14ac:dyDescent="0.3">
      <c r="A35" s="18">
        <f>E30</f>
        <v>60</v>
      </c>
      <c r="B35" s="26">
        <f>F30</f>
        <v>0</v>
      </c>
      <c r="C35" s="26">
        <f>G30</f>
        <v>708</v>
      </c>
      <c r="D35" s="3">
        <f>H30</f>
        <v>0</v>
      </c>
      <c r="F35" s="4">
        <f>K30</f>
        <v>-144.38000000000002</v>
      </c>
      <c r="J35" s="18" t="s">
        <v>145</v>
      </c>
      <c r="K35" s="3">
        <v>-7.1363636363636462E-2</v>
      </c>
    </row>
    <row r="36" spans="1:15" x14ac:dyDescent="0.3">
      <c r="A36" s="14">
        <f>F30</f>
        <v>0</v>
      </c>
      <c r="B36" s="27">
        <f>G30</f>
        <v>708</v>
      </c>
      <c r="C36" s="27">
        <f>H30</f>
        <v>0</v>
      </c>
      <c r="D36" s="5">
        <f>I30</f>
        <v>9780</v>
      </c>
      <c r="F36" s="6">
        <f>L30</f>
        <v>802.86000000000013</v>
      </c>
      <c r="J36" s="14" t="s">
        <v>146</v>
      </c>
      <c r="K36" s="5">
        <v>0.27264309764309774</v>
      </c>
    </row>
    <row r="38" spans="1:15" x14ac:dyDescent="0.3">
      <c r="A38" t="s">
        <v>147</v>
      </c>
      <c r="E38" s="15" t="s">
        <v>148</v>
      </c>
      <c r="F38" s="16">
        <f>K33</f>
        <v>-1.5642424242424244</v>
      </c>
      <c r="G38" s="41" t="s">
        <v>116</v>
      </c>
      <c r="H38" s="45">
        <f>K34</f>
        <v>-2.6321885521885537</v>
      </c>
      <c r="I38" s="16" t="s">
        <v>149</v>
      </c>
      <c r="J38" s="41" t="s">
        <v>116</v>
      </c>
      <c r="K38" s="16">
        <f>K35</f>
        <v>-7.1363636363636462E-2</v>
      </c>
      <c r="L38" s="16" t="s">
        <v>150</v>
      </c>
      <c r="M38" s="41" t="s">
        <v>116</v>
      </c>
      <c r="N38" s="16">
        <f>K36</f>
        <v>0.27264309764309774</v>
      </c>
      <c r="O38" s="17" t="s">
        <v>151</v>
      </c>
    </row>
    <row r="40" spans="1:15" x14ac:dyDescent="0.3">
      <c r="A40" t="s">
        <v>152</v>
      </c>
      <c r="E40" s="19">
        <f>AVERAGE(P19:P27)</f>
        <v>0.43914737733895715</v>
      </c>
    </row>
    <row r="48" spans="1:15" x14ac:dyDescent="0.3">
      <c r="J48" t="s">
        <v>153</v>
      </c>
    </row>
    <row r="49" spans="10:10" x14ac:dyDescent="0.3">
      <c r="J49" t="s">
        <v>154</v>
      </c>
    </row>
    <row r="50" spans="10:10" x14ac:dyDescent="0.3">
      <c r="J50" t="s">
        <v>155</v>
      </c>
    </row>
  </sheetData>
  <sortState ref="C19:D27">
    <sortCondition ref="C19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6" zoomScaleNormal="100" workbookViewId="0">
      <selection activeCell="M41" sqref="M41"/>
    </sheetView>
  </sheetViews>
  <sheetFormatPr defaultRowHeight="14.4" x14ac:dyDescent="0.3"/>
  <cols>
    <col min="9" max="9" width="12.6640625" customWidth="1"/>
  </cols>
  <sheetData>
    <row r="1" spans="1:13" x14ac:dyDescent="0.3">
      <c r="A1" t="s">
        <v>90</v>
      </c>
    </row>
    <row r="2" spans="1:13" x14ac:dyDescent="0.3">
      <c r="A2" s="37" t="s">
        <v>91</v>
      </c>
      <c r="B2" s="37">
        <v>0.95</v>
      </c>
      <c r="C2" s="37">
        <v>1.21</v>
      </c>
      <c r="D2" s="37">
        <v>1.47</v>
      </c>
      <c r="E2" s="37">
        <v>1.74</v>
      </c>
      <c r="F2" s="37">
        <v>2</v>
      </c>
      <c r="G2" s="37">
        <v>2.2599999999999998</v>
      </c>
      <c r="H2" s="37">
        <v>2.52</v>
      </c>
      <c r="I2" s="37">
        <v>2.78</v>
      </c>
      <c r="J2" s="37">
        <v>3.05</v>
      </c>
      <c r="K2" s="37">
        <v>3.31</v>
      </c>
    </row>
    <row r="3" spans="1:13" x14ac:dyDescent="0.3">
      <c r="A3" s="37" t="s">
        <v>92</v>
      </c>
      <c r="B3" s="37">
        <v>8.18</v>
      </c>
      <c r="C3" s="37">
        <v>3.41</v>
      </c>
      <c r="D3" s="37">
        <v>2.21</v>
      </c>
      <c r="E3" s="37">
        <v>1.36</v>
      </c>
      <c r="F3" s="37">
        <v>0.9</v>
      </c>
      <c r="G3" s="37">
        <v>0.63</v>
      </c>
      <c r="H3" s="37">
        <v>0.56000000000000005</v>
      </c>
      <c r="I3" s="37">
        <v>0.35</v>
      </c>
      <c r="J3" s="37">
        <v>0.3</v>
      </c>
      <c r="K3" s="37">
        <v>0.21</v>
      </c>
    </row>
    <row r="5" spans="1:13" x14ac:dyDescent="0.3">
      <c r="A5" t="s">
        <v>96</v>
      </c>
    </row>
    <row r="11" spans="1:13" x14ac:dyDescent="0.3">
      <c r="J11" s="38" t="s">
        <v>252</v>
      </c>
      <c r="M11" t="s">
        <v>263</v>
      </c>
    </row>
    <row r="13" spans="1:13" x14ac:dyDescent="0.3">
      <c r="J13" s="38" t="s">
        <v>97</v>
      </c>
      <c r="L13" t="s">
        <v>251</v>
      </c>
      <c r="M13" t="s">
        <v>250</v>
      </c>
    </row>
    <row r="22" spans="1:13" x14ac:dyDescent="0.3">
      <c r="I22" t="s">
        <v>103</v>
      </c>
      <c r="K22" t="s">
        <v>106</v>
      </c>
    </row>
    <row r="23" spans="1:13" x14ac:dyDescent="0.3">
      <c r="A23" t="s">
        <v>0</v>
      </c>
      <c r="B23" t="s">
        <v>1</v>
      </c>
      <c r="C23" t="s">
        <v>2</v>
      </c>
      <c r="D23" t="s">
        <v>98</v>
      </c>
      <c r="E23" t="s">
        <v>99</v>
      </c>
      <c r="F23" t="s">
        <v>101</v>
      </c>
      <c r="G23" t="s">
        <v>102</v>
      </c>
      <c r="I23" t="s">
        <v>104</v>
      </c>
      <c r="K23" t="s">
        <v>104</v>
      </c>
      <c r="M23" t="s">
        <v>107</v>
      </c>
    </row>
    <row r="24" spans="1:13" x14ac:dyDescent="0.3">
      <c r="A24">
        <v>0</v>
      </c>
      <c r="B24" s="13">
        <f>B$2</f>
        <v>0.95</v>
      </c>
      <c r="C24" s="1">
        <f>B3</f>
        <v>8.18</v>
      </c>
      <c r="D24" s="13">
        <f>1/B24</f>
        <v>1.0526315789473684</v>
      </c>
      <c r="E24" s="1">
        <f>LN(C24)</f>
        <v>2.1016921506146558</v>
      </c>
      <c r="F24">
        <f>D24^2</f>
        <v>1.1080332409972298</v>
      </c>
      <c r="G24">
        <f>D24*E24</f>
        <v>2.2123075269627952</v>
      </c>
      <c r="I24" s="70">
        <f>$F$38+$F$39*D24</f>
        <v>2.332582101664979</v>
      </c>
      <c r="K24" s="2">
        <f>$F$41*EXP($F$42/B24)</f>
        <v>10.304514515295287</v>
      </c>
      <c r="M24" s="2">
        <f>ABS((C24-K24)/C24)</f>
        <v>0.2597206008918444</v>
      </c>
    </row>
    <row r="25" spans="1:13" x14ac:dyDescent="0.3">
      <c r="A25">
        <f>A24+1</f>
        <v>1</v>
      </c>
      <c r="B25" s="18">
        <f>C2</f>
        <v>1.21</v>
      </c>
      <c r="C25" s="3">
        <f>C3</f>
        <v>3.41</v>
      </c>
      <c r="D25" s="13">
        <f t="shared" ref="D25:D33" si="0">1/B25</f>
        <v>0.82644628099173556</v>
      </c>
      <c r="E25" s="1">
        <f t="shared" ref="E25:E33" si="1">LN(C25)</f>
        <v>1.2267122912954254</v>
      </c>
      <c r="F25">
        <f t="shared" ref="F25:F33" si="2">D25^2</f>
        <v>0.68301345536507074</v>
      </c>
      <c r="G25">
        <f t="shared" ref="G25:G33" si="3">D25*E25</f>
        <v>1.0138118109879548</v>
      </c>
      <c r="I25" s="70">
        <f t="shared" ref="I25:I33" si="4">$F$38+$F$39*D25</f>
        <v>1.2667726951447729</v>
      </c>
      <c r="K25" s="2">
        <f t="shared" ref="K25:K33" si="5">$F$41*EXP($F$42/B25)</f>
        <v>3.5493791296832233</v>
      </c>
      <c r="M25" s="2">
        <f t="shared" ref="M25:M33" si="6">ABS((C25-K25)/C25)</f>
        <v>4.0873645068393895E-2</v>
      </c>
    </row>
    <row r="26" spans="1:13" x14ac:dyDescent="0.3">
      <c r="A26">
        <f t="shared" ref="A26:A33" si="7">A25+1</f>
        <v>2</v>
      </c>
      <c r="B26" s="18">
        <f>D2</f>
        <v>1.47</v>
      </c>
      <c r="C26" s="3">
        <f>D3</f>
        <v>2.21</v>
      </c>
      <c r="D26" s="13">
        <f t="shared" si="0"/>
        <v>0.68027210884353739</v>
      </c>
      <c r="E26" s="1">
        <f t="shared" si="1"/>
        <v>0.79299251552966143</v>
      </c>
      <c r="F26">
        <f t="shared" si="2"/>
        <v>0.4627701420704336</v>
      </c>
      <c r="G26">
        <f t="shared" si="3"/>
        <v>0.53945069083650432</v>
      </c>
      <c r="I26" s="70">
        <f t="shared" si="4"/>
        <v>0.57798430317593086</v>
      </c>
      <c r="K26" s="2">
        <f t="shared" si="5"/>
        <v>1.7824419446880326</v>
      </c>
      <c r="M26" s="2">
        <f t="shared" si="6"/>
        <v>0.19346518339908025</v>
      </c>
    </row>
    <row r="27" spans="1:13" x14ac:dyDescent="0.3">
      <c r="A27">
        <f t="shared" si="7"/>
        <v>3</v>
      </c>
      <c r="B27" s="18">
        <f>E2</f>
        <v>1.74</v>
      </c>
      <c r="C27" s="3">
        <f>E3</f>
        <v>1.36</v>
      </c>
      <c r="D27" s="13">
        <f t="shared" si="0"/>
        <v>0.57471264367816088</v>
      </c>
      <c r="E27" s="1">
        <f t="shared" si="1"/>
        <v>0.30748469974796072</v>
      </c>
      <c r="F27">
        <f t="shared" si="2"/>
        <v>0.33029462280354072</v>
      </c>
      <c r="G27">
        <f t="shared" si="3"/>
        <v>0.17671534468273603</v>
      </c>
      <c r="I27" s="70">
        <f t="shared" si="4"/>
        <v>8.0576770779333895E-2</v>
      </c>
      <c r="K27" s="2">
        <f t="shared" si="5"/>
        <v>1.0839120562214637</v>
      </c>
      <c r="M27" s="2">
        <f t="shared" si="6"/>
        <v>0.2030058410136297</v>
      </c>
    </row>
    <row r="28" spans="1:13" x14ac:dyDescent="0.3">
      <c r="A28">
        <f t="shared" si="7"/>
        <v>4</v>
      </c>
      <c r="B28" s="18">
        <f>F2</f>
        <v>2</v>
      </c>
      <c r="C28" s="3">
        <f>F3</f>
        <v>0.9</v>
      </c>
      <c r="D28" s="13">
        <f t="shared" si="0"/>
        <v>0.5</v>
      </c>
      <c r="E28" s="1">
        <f t="shared" si="1"/>
        <v>-0.10536051565782628</v>
      </c>
      <c r="F28">
        <f t="shared" si="2"/>
        <v>0.25</v>
      </c>
      <c r="G28">
        <f t="shared" si="3"/>
        <v>-5.2680257828913141E-2</v>
      </c>
      <c r="I28" s="70">
        <f t="shared" si="4"/>
        <v>-0.27147722715025724</v>
      </c>
      <c r="K28" s="2">
        <f t="shared" si="5"/>
        <v>0.7622526419352682</v>
      </c>
      <c r="M28" s="2">
        <f t="shared" si="6"/>
        <v>0.15305262007192424</v>
      </c>
    </row>
    <row r="29" spans="1:13" x14ac:dyDescent="0.3">
      <c r="A29">
        <f t="shared" si="7"/>
        <v>5</v>
      </c>
      <c r="B29" s="18">
        <f>G2</f>
        <v>2.2599999999999998</v>
      </c>
      <c r="C29" s="3">
        <f>G3</f>
        <v>0.63</v>
      </c>
      <c r="D29" s="13">
        <f t="shared" si="0"/>
        <v>0.44247787610619471</v>
      </c>
      <c r="E29" s="1">
        <f t="shared" si="1"/>
        <v>-0.46203545959655867</v>
      </c>
      <c r="F29">
        <f t="shared" si="2"/>
        <v>0.195786670843449</v>
      </c>
      <c r="G29">
        <f t="shared" si="3"/>
        <v>-0.20444046884803482</v>
      </c>
      <c r="I29" s="70">
        <f t="shared" si="4"/>
        <v>-0.54252765033498696</v>
      </c>
      <c r="K29" s="2">
        <f t="shared" si="5"/>
        <v>0.58127712858518532</v>
      </c>
      <c r="M29" s="2">
        <f t="shared" si="6"/>
        <v>7.7337891134626482E-2</v>
      </c>
    </row>
    <row r="30" spans="1:13" x14ac:dyDescent="0.3">
      <c r="A30">
        <f t="shared" si="7"/>
        <v>6</v>
      </c>
      <c r="B30" s="18">
        <f>H2</f>
        <v>2.52</v>
      </c>
      <c r="C30" s="3">
        <f>H3</f>
        <v>0.56000000000000005</v>
      </c>
      <c r="D30" s="13">
        <f t="shared" si="0"/>
        <v>0.3968253968253968</v>
      </c>
      <c r="E30" s="1">
        <f t="shared" si="1"/>
        <v>-0.57981849525294205</v>
      </c>
      <c r="F30">
        <f t="shared" si="2"/>
        <v>0.15747039556563364</v>
      </c>
      <c r="G30">
        <f t="shared" si="3"/>
        <v>-0.23008670446545318</v>
      </c>
      <c r="I30" s="70">
        <f t="shared" si="4"/>
        <v>-0.75764703381493126</v>
      </c>
      <c r="K30" s="2">
        <f t="shared" si="5"/>
        <v>0.46876812592040512</v>
      </c>
      <c r="M30" s="2">
        <f t="shared" si="6"/>
        <v>0.16291406085641952</v>
      </c>
    </row>
    <row r="31" spans="1:13" x14ac:dyDescent="0.3">
      <c r="A31">
        <f t="shared" si="7"/>
        <v>7</v>
      </c>
      <c r="B31" s="18">
        <f>I2</f>
        <v>2.78</v>
      </c>
      <c r="C31" s="3">
        <f>I3</f>
        <v>0.35</v>
      </c>
      <c r="D31" s="13">
        <f t="shared" si="0"/>
        <v>0.35971223021582738</v>
      </c>
      <c r="E31" s="1">
        <f t="shared" si="1"/>
        <v>-1.0498221244986778</v>
      </c>
      <c r="F31">
        <f t="shared" si="2"/>
        <v>0.12939288856684439</v>
      </c>
      <c r="G31">
        <f t="shared" si="3"/>
        <v>-0.37763385773333741</v>
      </c>
      <c r="I31" s="70">
        <f t="shared" si="4"/>
        <v>-0.93252825923387839</v>
      </c>
      <c r="K31" s="2">
        <f t="shared" si="5"/>
        <v>0.39355743626039352</v>
      </c>
      <c r="M31" s="2">
        <f t="shared" si="6"/>
        <v>0.1244498178868387</v>
      </c>
    </row>
    <row r="32" spans="1:13" x14ac:dyDescent="0.3">
      <c r="A32">
        <f t="shared" si="7"/>
        <v>8</v>
      </c>
      <c r="B32" s="18">
        <f>J2</f>
        <v>3.05</v>
      </c>
      <c r="C32" s="3">
        <f>J3</f>
        <v>0.3</v>
      </c>
      <c r="D32" s="13">
        <f t="shared" si="0"/>
        <v>0.32786885245901642</v>
      </c>
      <c r="E32" s="1">
        <f t="shared" si="1"/>
        <v>-1.2039728043259361</v>
      </c>
      <c r="F32">
        <f t="shared" si="2"/>
        <v>0.10749798441279228</v>
      </c>
      <c r="G32">
        <f t="shared" si="3"/>
        <v>-0.3947451817462086</v>
      </c>
      <c r="I32" s="70">
        <f t="shared" si="4"/>
        <v>-1.0825776738304129</v>
      </c>
      <c r="K32" s="2">
        <f t="shared" si="5"/>
        <v>0.33872128638146071</v>
      </c>
      <c r="M32" s="2">
        <f t="shared" si="6"/>
        <v>0.12907095460486906</v>
      </c>
    </row>
    <row r="33" spans="1:13" x14ac:dyDescent="0.3">
      <c r="A33">
        <f t="shared" si="7"/>
        <v>9</v>
      </c>
      <c r="B33" s="18">
        <f>K2</f>
        <v>3.31</v>
      </c>
      <c r="C33" s="3">
        <f>K3</f>
        <v>0.21</v>
      </c>
      <c r="D33" s="13">
        <f t="shared" si="0"/>
        <v>0.30211480362537763</v>
      </c>
      <c r="E33" s="1">
        <f t="shared" si="1"/>
        <v>-1.5606477482646683</v>
      </c>
      <c r="F33">
        <f t="shared" si="2"/>
        <v>9.1273354569600493E-2</v>
      </c>
      <c r="G33">
        <f t="shared" si="3"/>
        <v>-0.47149478799536804</v>
      </c>
      <c r="I33" s="70">
        <f t="shared" si="4"/>
        <v>-1.2039335168094609</v>
      </c>
      <c r="K33" s="2">
        <f t="shared" si="5"/>
        <v>0.30001178648647187</v>
      </c>
      <c r="M33" s="2">
        <f t="shared" si="6"/>
        <v>0.42862755469748515</v>
      </c>
    </row>
    <row r="34" spans="1:13" x14ac:dyDescent="0.3">
      <c r="A34" s="1" t="s">
        <v>100</v>
      </c>
      <c r="B34" s="16"/>
      <c r="C34" s="16"/>
      <c r="D34" s="39">
        <f>SUM(D24:D33)</f>
        <v>5.4630617716926162</v>
      </c>
      <c r="E34" s="39">
        <f>SUM(E24:E33)</f>
        <v>-0.53277549040890615</v>
      </c>
      <c r="F34" s="39">
        <f>SUM(F24:F33)</f>
        <v>3.5155327551945939</v>
      </c>
      <c r="G34" s="40">
        <f>SUM(G24:G33)</f>
        <v>2.2112041148526749</v>
      </c>
    </row>
    <row r="37" spans="1:13" x14ac:dyDescent="0.3">
      <c r="A37" t="s">
        <v>108</v>
      </c>
      <c r="I37" s="42" t="s">
        <v>114</v>
      </c>
    </row>
    <row r="38" spans="1:13" x14ac:dyDescent="0.3">
      <c r="A38" s="13">
        <v>10</v>
      </c>
      <c r="B38" s="25">
        <f>D34</f>
        <v>5.4630617716926162</v>
      </c>
      <c r="C38" s="2">
        <f>E34</f>
        <v>-0.53277549040890615</v>
      </c>
      <c r="E38" s="13" t="s">
        <v>109</v>
      </c>
      <c r="F38" s="1">
        <f t="array" ref="F38:F39">MMULT(MINVERSE(A38:B39),C38:C39)</f>
        <v>-2.6275309056021383</v>
      </c>
      <c r="H38" s="15" t="s">
        <v>115</v>
      </c>
      <c r="I38" s="16">
        <f>F41</f>
        <v>7.2256650657573585E-2</v>
      </c>
      <c r="J38" s="41" t="s">
        <v>116</v>
      </c>
      <c r="K38" s="16">
        <f>F42</f>
        <v>4.7121073569037621</v>
      </c>
      <c r="L38" s="17" t="s">
        <v>117</v>
      </c>
    </row>
    <row r="39" spans="1:13" x14ac:dyDescent="0.3">
      <c r="A39" s="14">
        <f>D34</f>
        <v>5.4630617716926162</v>
      </c>
      <c r="B39" s="27">
        <f>F34</f>
        <v>3.5155327551945939</v>
      </c>
      <c r="C39" s="6">
        <f>G34</f>
        <v>2.2112041148526749</v>
      </c>
      <c r="E39" s="14" t="s">
        <v>110</v>
      </c>
      <c r="F39" s="5">
        <v>4.7121073569037621</v>
      </c>
    </row>
    <row r="40" spans="1:13" x14ac:dyDescent="0.3">
      <c r="I40" t="s">
        <v>105</v>
      </c>
    </row>
    <row r="41" spans="1:13" x14ac:dyDescent="0.3">
      <c r="A41" t="s">
        <v>113</v>
      </c>
      <c r="E41" t="s">
        <v>111</v>
      </c>
      <c r="F41">
        <f>EXP(F38)</f>
        <v>7.2256650657573585E-2</v>
      </c>
      <c r="H41" s="15" t="s">
        <v>118</v>
      </c>
      <c r="I41" s="16">
        <f>F41</f>
        <v>7.2256650657573585E-2</v>
      </c>
      <c r="J41" s="41" t="s">
        <v>264</v>
      </c>
      <c r="K41" s="16">
        <f>F42</f>
        <v>4.7121073569037621</v>
      </c>
      <c r="L41" s="17" t="s">
        <v>259</v>
      </c>
    </row>
    <row r="42" spans="1:13" x14ac:dyDescent="0.3">
      <c r="E42" t="s">
        <v>112</v>
      </c>
      <c r="F42">
        <f>F39</f>
        <v>4.7121073569037621</v>
      </c>
    </row>
    <row r="43" spans="1:13" x14ac:dyDescent="0.3">
      <c r="H43" t="s">
        <v>156</v>
      </c>
      <c r="L43" s="71">
        <f>AVERAGE(M24:M33)</f>
        <v>0.17725181696251113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9" workbookViewId="0">
      <selection activeCell="L45" sqref="L45"/>
    </sheetView>
  </sheetViews>
  <sheetFormatPr defaultRowHeight="14.4" x14ac:dyDescent="0.3"/>
  <cols>
    <col min="6" max="6" width="12" bestFit="1" customWidth="1"/>
    <col min="9" max="9" width="12.6640625" customWidth="1"/>
  </cols>
  <sheetData>
    <row r="1" spans="1:13" x14ac:dyDescent="0.3">
      <c r="A1" t="s">
        <v>90</v>
      </c>
    </row>
    <row r="2" spans="1:13" x14ac:dyDescent="0.3">
      <c r="A2" s="37" t="s">
        <v>91</v>
      </c>
      <c r="B2" s="37">
        <v>0.95</v>
      </c>
      <c r="C2" s="37">
        <v>1.21</v>
      </c>
      <c r="D2" s="37">
        <v>1.47</v>
      </c>
      <c r="E2" s="37">
        <v>1.74</v>
      </c>
      <c r="F2" s="37">
        <v>2</v>
      </c>
      <c r="G2" s="37">
        <v>2.2599999999999998</v>
      </c>
      <c r="H2" s="37">
        <v>2.52</v>
      </c>
      <c r="I2" s="37">
        <v>2.78</v>
      </c>
      <c r="J2" s="37">
        <v>3.05</v>
      </c>
      <c r="K2" s="37">
        <v>3.31</v>
      </c>
    </row>
    <row r="3" spans="1:13" x14ac:dyDescent="0.3">
      <c r="A3" s="37" t="s">
        <v>92</v>
      </c>
      <c r="B3" s="37">
        <v>8.18</v>
      </c>
      <c r="C3" s="37">
        <v>3.41</v>
      </c>
      <c r="D3" s="37">
        <v>2.21</v>
      </c>
      <c r="E3" s="37">
        <v>1.36</v>
      </c>
      <c r="F3" s="37">
        <v>0.9</v>
      </c>
      <c r="G3" s="37">
        <v>0.63</v>
      </c>
      <c r="H3" s="37">
        <v>0.56000000000000005</v>
      </c>
      <c r="I3" s="37">
        <v>0.35</v>
      </c>
      <c r="J3" s="37">
        <v>0.3</v>
      </c>
      <c r="K3" s="37">
        <v>0.21</v>
      </c>
    </row>
    <row r="5" spans="1:13" x14ac:dyDescent="0.3">
      <c r="A5" t="s">
        <v>96</v>
      </c>
    </row>
    <row r="11" spans="1:13" x14ac:dyDescent="0.3">
      <c r="J11" s="38" t="s">
        <v>260</v>
      </c>
      <c r="M11" t="s">
        <v>261</v>
      </c>
    </row>
    <row r="13" spans="1:13" x14ac:dyDescent="0.3">
      <c r="J13" s="38" t="s">
        <v>97</v>
      </c>
      <c r="L13" t="s">
        <v>248</v>
      </c>
      <c r="M13" t="s">
        <v>250</v>
      </c>
    </row>
    <row r="22" spans="1:13" x14ac:dyDescent="0.3">
      <c r="I22" t="s">
        <v>103</v>
      </c>
      <c r="K22" t="s">
        <v>106</v>
      </c>
    </row>
    <row r="23" spans="1:13" x14ac:dyDescent="0.3">
      <c r="A23" t="s">
        <v>0</v>
      </c>
      <c r="B23" t="s">
        <v>1</v>
      </c>
      <c r="C23" t="s">
        <v>2</v>
      </c>
      <c r="D23" t="s">
        <v>98</v>
      </c>
      <c r="E23" t="s">
        <v>99</v>
      </c>
      <c r="F23" t="s">
        <v>101</v>
      </c>
      <c r="G23" t="s">
        <v>102</v>
      </c>
      <c r="I23" t="s">
        <v>104</v>
      </c>
      <c r="K23" t="s">
        <v>104</v>
      </c>
      <c r="M23" t="s">
        <v>107</v>
      </c>
    </row>
    <row r="24" spans="1:13" x14ac:dyDescent="0.3">
      <c r="A24">
        <v>0</v>
      </c>
      <c r="B24" s="13">
        <f>B2</f>
        <v>0.95</v>
      </c>
      <c r="C24" s="1">
        <f>B3</f>
        <v>8.18</v>
      </c>
      <c r="D24" s="13">
        <f>LN(B24)</f>
        <v>-5.1293294387550578E-2</v>
      </c>
      <c r="E24" s="1">
        <f>LN(C24)</f>
        <v>2.1016921506146558</v>
      </c>
      <c r="F24">
        <f>D24^2</f>
        <v>2.6310020491279278E-3</v>
      </c>
      <c r="G24">
        <f>D24*E24</f>
        <v>-0.10780271419348182</v>
      </c>
      <c r="I24" s="70">
        <f>$F$38+$F$39*D24</f>
        <v>2.0178819106157069</v>
      </c>
      <c r="K24" s="2">
        <f>$F$41*(B24^$F$42)</f>
        <v>7.5223749853157393</v>
      </c>
      <c r="M24" s="2">
        <f>ABS((C24-K24)/C24)</f>
        <v>8.0394256073870463E-2</v>
      </c>
    </row>
    <row r="25" spans="1:13" x14ac:dyDescent="0.3">
      <c r="A25">
        <f>A24+1</f>
        <v>1</v>
      </c>
      <c r="B25" s="18">
        <f>C2</f>
        <v>1.21</v>
      </c>
      <c r="C25" s="3">
        <f>C3</f>
        <v>3.41</v>
      </c>
      <c r="D25" s="13">
        <f t="shared" ref="D25:D33" si="0">LN(B25)</f>
        <v>0.1906203596086497</v>
      </c>
      <c r="E25" s="1">
        <f t="shared" ref="E25:E33" si="1">LN(C25)</f>
        <v>1.2267122912954254</v>
      </c>
      <c r="F25">
        <f t="shared" ref="F25:F33" si="2">D25^2</f>
        <v>3.6336121497330932E-2</v>
      </c>
      <c r="G25">
        <f t="shared" ref="G25:G33" si="3">D25*E25</f>
        <v>0.23383633810308463</v>
      </c>
      <c r="I25" s="70">
        <f t="shared" ref="I25:I33" si="4">$F$41+$F$42*D25</f>
        <v>5.9746202863941233</v>
      </c>
      <c r="K25" s="2">
        <f t="shared" ref="K25:K33" si="5">$F$41*(B25^$F$42)</f>
        <v>3.8076041691411087</v>
      </c>
      <c r="M25" s="2">
        <f t="shared" ref="M25:M33" si="6">ABS((C25-K25)/C25)</f>
        <v>0.11659946309123416</v>
      </c>
    </row>
    <row r="26" spans="1:13" x14ac:dyDescent="0.3">
      <c r="A26">
        <f t="shared" ref="A26:A33" si="7">A25+1</f>
        <v>2</v>
      </c>
      <c r="B26" s="18">
        <f>D2</f>
        <v>1.47</v>
      </c>
      <c r="C26" s="3">
        <f>D3</f>
        <v>2.21</v>
      </c>
      <c r="D26" s="13">
        <f t="shared" si="0"/>
        <v>0.38526240079064489</v>
      </c>
      <c r="E26" s="1">
        <f t="shared" si="1"/>
        <v>0.79299251552966143</v>
      </c>
      <c r="F26">
        <f t="shared" si="2"/>
        <v>0.14842711746297149</v>
      </c>
      <c r="G26">
        <f t="shared" si="3"/>
        <v>0.30551020034197013</v>
      </c>
      <c r="I26" s="70">
        <f t="shared" si="4"/>
        <v>5.4267875753913684</v>
      </c>
      <c r="K26" s="2">
        <f t="shared" si="5"/>
        <v>2.2015627593422908</v>
      </c>
      <c r="M26" s="2">
        <f t="shared" si="6"/>
        <v>3.8177559537145348E-3</v>
      </c>
    </row>
    <row r="27" spans="1:13" x14ac:dyDescent="0.3">
      <c r="A27">
        <f t="shared" si="7"/>
        <v>3</v>
      </c>
      <c r="B27" s="18">
        <f>E2</f>
        <v>1.74</v>
      </c>
      <c r="C27" s="3">
        <f>E3</f>
        <v>1.36</v>
      </c>
      <c r="D27" s="13">
        <f t="shared" si="0"/>
        <v>0.55388511322643763</v>
      </c>
      <c r="E27" s="1">
        <f t="shared" si="1"/>
        <v>0.30748469974796072</v>
      </c>
      <c r="F27">
        <f t="shared" si="2"/>
        <v>0.30678871865386365</v>
      </c>
      <c r="G27">
        <f t="shared" si="3"/>
        <v>0.1703111977352964</v>
      </c>
      <c r="I27" s="70">
        <f t="shared" si="4"/>
        <v>4.9521879609947881</v>
      </c>
      <c r="K27" s="2">
        <f t="shared" si="5"/>
        <v>1.3696672661896312</v>
      </c>
      <c r="M27" s="2">
        <f t="shared" si="6"/>
        <v>7.1082839629640409E-3</v>
      </c>
    </row>
    <row r="28" spans="1:13" x14ac:dyDescent="0.3">
      <c r="A28">
        <f t="shared" si="7"/>
        <v>4</v>
      </c>
      <c r="B28" s="18">
        <f>F2</f>
        <v>2</v>
      </c>
      <c r="C28" s="3">
        <f>F3</f>
        <v>0.9</v>
      </c>
      <c r="D28" s="13">
        <f t="shared" si="0"/>
        <v>0.69314718055994529</v>
      </c>
      <c r="E28" s="1">
        <f t="shared" si="1"/>
        <v>-0.10536051565782628</v>
      </c>
      <c r="F28">
        <f t="shared" si="2"/>
        <v>0.48045301391820139</v>
      </c>
      <c r="G28">
        <f t="shared" si="3"/>
        <v>-7.3030344370564257E-2</v>
      </c>
      <c r="I28" s="70">
        <f t="shared" si="4"/>
        <v>4.5602257958640369</v>
      </c>
      <c r="K28" s="2">
        <f t="shared" si="5"/>
        <v>0.92552482296977578</v>
      </c>
      <c r="M28" s="2">
        <f t="shared" si="6"/>
        <v>2.8360914410861957E-2</v>
      </c>
    </row>
    <row r="29" spans="1:13" x14ac:dyDescent="0.3">
      <c r="A29">
        <f t="shared" si="7"/>
        <v>5</v>
      </c>
      <c r="B29" s="18">
        <f>G2</f>
        <v>2.2599999999999998</v>
      </c>
      <c r="C29" s="3">
        <f>G3</f>
        <v>0.63</v>
      </c>
      <c r="D29" s="13">
        <f t="shared" si="0"/>
        <v>0.81536481328419441</v>
      </c>
      <c r="E29" s="1">
        <f t="shared" si="1"/>
        <v>-0.46203545959655867</v>
      </c>
      <c r="F29">
        <f t="shared" si="2"/>
        <v>0.66481977874196918</v>
      </c>
      <c r="G29">
        <f t="shared" si="3"/>
        <v>-0.376727456244625</v>
      </c>
      <c r="I29" s="70">
        <f t="shared" si="4"/>
        <v>4.2162363028384267</v>
      </c>
      <c r="K29" s="2">
        <f t="shared" si="5"/>
        <v>0.65613821462237631</v>
      </c>
      <c r="M29" s="2">
        <f t="shared" si="6"/>
        <v>4.1489229559327476E-2</v>
      </c>
    </row>
    <row r="30" spans="1:13" x14ac:dyDescent="0.3">
      <c r="A30">
        <f t="shared" si="7"/>
        <v>6</v>
      </c>
      <c r="B30" s="18">
        <f>H2</f>
        <v>2.52</v>
      </c>
      <c r="C30" s="3">
        <f>H3</f>
        <v>0.56000000000000005</v>
      </c>
      <c r="D30" s="13">
        <f t="shared" si="0"/>
        <v>0.9242589015233319</v>
      </c>
      <c r="E30" s="1">
        <f t="shared" si="1"/>
        <v>-0.57981849525294205</v>
      </c>
      <c r="F30">
        <f t="shared" si="2"/>
        <v>0.85425451704511612</v>
      </c>
      <c r="G30">
        <f t="shared" si="3"/>
        <v>-0.53590240550539547</v>
      </c>
      <c r="I30" s="70">
        <f t="shared" si="4"/>
        <v>3.9097467941487793</v>
      </c>
      <c r="K30" s="2">
        <f t="shared" si="5"/>
        <v>0.48293494304100204</v>
      </c>
      <c r="M30" s="2">
        <f t="shared" si="6"/>
        <v>0.13761617314106786</v>
      </c>
    </row>
    <row r="31" spans="1:13" x14ac:dyDescent="0.3">
      <c r="A31">
        <f t="shared" si="7"/>
        <v>7</v>
      </c>
      <c r="B31" s="18">
        <f>I2</f>
        <v>2.78</v>
      </c>
      <c r="C31" s="3">
        <f>I3</f>
        <v>0.35</v>
      </c>
      <c r="D31" s="13">
        <f t="shared" si="0"/>
        <v>1.0224509277025455</v>
      </c>
      <c r="E31" s="1">
        <f t="shared" si="1"/>
        <v>-1.0498221244986778</v>
      </c>
      <c r="F31">
        <f t="shared" si="2"/>
        <v>1.0454058995597959</v>
      </c>
      <c r="G31">
        <f t="shared" si="3"/>
        <v>-1.0733916051163304</v>
      </c>
      <c r="I31" s="70">
        <f t="shared" si="4"/>
        <v>3.633378936650232</v>
      </c>
      <c r="K31" s="2">
        <f t="shared" si="5"/>
        <v>0.36632250022909801</v>
      </c>
      <c r="M31" s="2">
        <f t="shared" si="6"/>
        <v>4.6635714940280106E-2</v>
      </c>
    </row>
    <row r="32" spans="1:13" x14ac:dyDescent="0.3">
      <c r="A32">
        <f t="shared" si="7"/>
        <v>8</v>
      </c>
      <c r="B32" s="18">
        <f>J2</f>
        <v>3.05</v>
      </c>
      <c r="C32" s="3">
        <f>J3</f>
        <v>0.3</v>
      </c>
      <c r="D32" s="13">
        <f t="shared" si="0"/>
        <v>1.1151415906193203</v>
      </c>
      <c r="E32" s="1">
        <f t="shared" si="1"/>
        <v>-1.2039728043259361</v>
      </c>
      <c r="F32">
        <f t="shared" si="2"/>
        <v>1.2435407671289878</v>
      </c>
      <c r="G32">
        <f t="shared" si="3"/>
        <v>-1.342600148078428</v>
      </c>
      <c r="I32" s="70">
        <f t="shared" si="4"/>
        <v>3.3724950246136767</v>
      </c>
      <c r="K32" s="2">
        <f t="shared" si="5"/>
        <v>0.28220399093727294</v>
      </c>
      <c r="M32" s="2">
        <f t="shared" si="6"/>
        <v>5.9320030209090158E-2</v>
      </c>
    </row>
    <row r="33" spans="1:13" x14ac:dyDescent="0.3">
      <c r="A33">
        <f t="shared" si="7"/>
        <v>9</v>
      </c>
      <c r="B33" s="18">
        <f>K2</f>
        <v>3.31</v>
      </c>
      <c r="C33" s="3">
        <f>K3</f>
        <v>0.21</v>
      </c>
      <c r="D33" s="13">
        <f t="shared" si="0"/>
        <v>1.1969481893889715</v>
      </c>
      <c r="E33" s="1">
        <f t="shared" si="1"/>
        <v>-1.5606477482646683</v>
      </c>
      <c r="F33">
        <f t="shared" si="2"/>
        <v>1.4326849680815372</v>
      </c>
      <c r="G33">
        <f t="shared" si="3"/>
        <v>-1.8680144965593701</v>
      </c>
      <c r="I33" s="70">
        <f t="shared" si="4"/>
        <v>3.1422450205049124</v>
      </c>
      <c r="K33" s="2">
        <f t="shared" si="5"/>
        <v>0.22416450450708897</v>
      </c>
      <c r="M33" s="2">
        <f t="shared" si="6"/>
        <v>6.7450021462328466E-2</v>
      </c>
    </row>
    <row r="34" spans="1:13" x14ac:dyDescent="0.3">
      <c r="A34" s="1" t="s">
        <v>100</v>
      </c>
      <c r="B34" s="16"/>
      <c r="C34" s="16"/>
      <c r="D34" s="39">
        <f>SUM(D24:D33)</f>
        <v>6.8457861823164912</v>
      </c>
      <c r="E34" s="39">
        <f t="shared" ref="E34:G34" si="8">SUM(E24:E33)</f>
        <v>-0.53277549040890615</v>
      </c>
      <c r="F34" s="39">
        <f t="shared" si="8"/>
        <v>6.2153419041389011</v>
      </c>
      <c r="G34" s="39">
        <f t="shared" si="8"/>
        <v>-4.6678114338878434</v>
      </c>
    </row>
    <row r="37" spans="1:13" x14ac:dyDescent="0.3">
      <c r="A37" t="s">
        <v>108</v>
      </c>
      <c r="I37" s="42" t="s">
        <v>114</v>
      </c>
    </row>
    <row r="38" spans="1:13" x14ac:dyDescent="0.3">
      <c r="A38" s="13">
        <v>10</v>
      </c>
      <c r="B38" s="25">
        <f>D34</f>
        <v>6.8457861823164912</v>
      </c>
      <c r="C38" s="2">
        <f>E34</f>
        <v>-0.53277549040890615</v>
      </c>
      <c r="E38" s="13" t="s">
        <v>109</v>
      </c>
      <c r="F38" s="1">
        <f t="array" ref="F38:F39">MMULT(MINVERSE(A38:B39),C38:C39)</f>
        <v>1.8735135904421638</v>
      </c>
      <c r="H38" s="15" t="s">
        <v>115</v>
      </c>
      <c r="I38" s="16">
        <f>F41</f>
        <v>6.5111337124893813</v>
      </c>
      <c r="J38" s="41" t="s">
        <v>116</v>
      </c>
      <c r="K38" s="16">
        <f>F42</f>
        <v>-2.8145651765464037</v>
      </c>
      <c r="L38" s="17" t="s">
        <v>117</v>
      </c>
    </row>
    <row r="39" spans="1:13" x14ac:dyDescent="0.3">
      <c r="A39" s="14">
        <f>D34</f>
        <v>6.8457861823164912</v>
      </c>
      <c r="B39" s="27">
        <f>F34</f>
        <v>6.2153419041389011</v>
      </c>
      <c r="C39" s="6">
        <f>G34</f>
        <v>-4.6678114338878434</v>
      </c>
      <c r="E39" s="14" t="s">
        <v>110</v>
      </c>
      <c r="F39" s="5">
        <v>-2.8145651765464037</v>
      </c>
    </row>
    <row r="40" spans="1:13" x14ac:dyDescent="0.3">
      <c r="I40" t="s">
        <v>105</v>
      </c>
    </row>
    <row r="41" spans="1:13" x14ac:dyDescent="0.3">
      <c r="A41" t="s">
        <v>113</v>
      </c>
      <c r="E41" t="s">
        <v>111</v>
      </c>
      <c r="F41">
        <f>EXP(F38)</f>
        <v>6.5111337124893813</v>
      </c>
      <c r="H41" s="15" t="s">
        <v>118</v>
      </c>
      <c r="I41" s="16">
        <f>F41</f>
        <v>6.5111337124893813</v>
      </c>
      <c r="J41" s="41" t="s">
        <v>116</v>
      </c>
      <c r="K41" s="16">
        <f>F42</f>
        <v>-2.8145651765464037</v>
      </c>
      <c r="L41" s="17" t="s">
        <v>249</v>
      </c>
    </row>
    <row r="42" spans="1:13" x14ac:dyDescent="0.3">
      <c r="E42" t="s">
        <v>112</v>
      </c>
      <c r="F42">
        <f>F39</f>
        <v>-2.8145651765464037</v>
      </c>
    </row>
    <row r="43" spans="1:13" x14ac:dyDescent="0.3">
      <c r="H43" t="s">
        <v>156</v>
      </c>
      <c r="L43" s="74">
        <f>AVERAGE(M24:M33)</f>
        <v>5.887918428047393E-2</v>
      </c>
    </row>
    <row r="44" spans="1:13" x14ac:dyDescent="0.3">
      <c r="L44" t="s">
        <v>262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16" workbookViewId="0">
      <selection activeCell="O27" sqref="O27"/>
    </sheetView>
  </sheetViews>
  <sheetFormatPr defaultRowHeight="14.4" x14ac:dyDescent="0.3"/>
  <cols>
    <col min="4" max="4" width="21.44140625" bestFit="1" customWidth="1"/>
  </cols>
  <sheetData>
    <row r="1" spans="1:12" x14ac:dyDescent="0.3">
      <c r="A1" t="s">
        <v>90</v>
      </c>
    </row>
    <row r="2" spans="1:12" x14ac:dyDescent="0.3">
      <c r="L2" s="46"/>
    </row>
    <row r="3" spans="1:12" x14ac:dyDescent="0.3">
      <c r="C3" t="s">
        <v>157</v>
      </c>
    </row>
    <row r="5" spans="1:12" x14ac:dyDescent="0.3">
      <c r="E5" t="s">
        <v>158</v>
      </c>
    </row>
    <row r="6" spans="1:12" x14ac:dyDescent="0.3">
      <c r="A6" s="13" t="s">
        <v>149</v>
      </c>
      <c r="B6" s="25" t="s">
        <v>159</v>
      </c>
      <c r="C6" s="25"/>
      <c r="D6" s="25" t="s">
        <v>160</v>
      </c>
      <c r="E6" s="25"/>
      <c r="F6" s="25"/>
      <c r="G6" s="25"/>
      <c r="H6" s="25"/>
      <c r="I6" s="25"/>
      <c r="J6" s="25"/>
      <c r="K6" s="1"/>
    </row>
    <row r="7" spans="1:12" x14ac:dyDescent="0.3">
      <c r="A7" s="18">
        <v>-10</v>
      </c>
      <c r="B7" s="26">
        <f xml:space="preserve"> SIN(A7) - EXP(A7)</f>
        <v>0.54397571095960728</v>
      </c>
      <c r="C7" s="26"/>
      <c r="D7" s="26"/>
      <c r="E7" s="26"/>
      <c r="F7" s="26"/>
      <c r="G7" s="26"/>
      <c r="H7" s="26"/>
      <c r="I7" s="26"/>
      <c r="J7" s="26"/>
      <c r="K7" s="3"/>
    </row>
    <row r="8" spans="1:12" x14ac:dyDescent="0.3">
      <c r="A8" s="18">
        <f>A7+1</f>
        <v>-9</v>
      </c>
      <c r="B8" s="26">
        <f t="shared" ref="B8:B27" si="0" xml:space="preserve"> SIN(A8) - EXP(A8)</f>
        <v>-0.4122418950458433</v>
      </c>
      <c r="C8" s="26"/>
      <c r="D8" s="26"/>
      <c r="E8" s="26"/>
      <c r="F8" s="26"/>
      <c r="G8" s="26"/>
      <c r="H8" s="26"/>
      <c r="I8" s="26"/>
      <c r="J8" s="26"/>
      <c r="K8" s="3"/>
    </row>
    <row r="9" spans="1:12" x14ac:dyDescent="0.3">
      <c r="A9" s="18">
        <f t="shared" ref="A9:A27" si="1">A8+1</f>
        <v>-8</v>
      </c>
      <c r="B9" s="26">
        <f t="shared" si="0"/>
        <v>-0.9896937092512843</v>
      </c>
      <c r="C9" s="26"/>
      <c r="D9" s="26"/>
      <c r="E9" s="26"/>
      <c r="F9" s="26"/>
      <c r="G9" s="26"/>
      <c r="H9" s="26"/>
      <c r="I9" s="26"/>
      <c r="J9" s="26"/>
      <c r="K9" s="3"/>
    </row>
    <row r="10" spans="1:12" x14ac:dyDescent="0.3">
      <c r="A10" s="18">
        <f t="shared" si="1"/>
        <v>-7</v>
      </c>
      <c r="B10" s="26">
        <f t="shared" si="0"/>
        <v>-0.65789848068434353</v>
      </c>
      <c r="C10" s="26"/>
      <c r="D10" s="26"/>
      <c r="E10" s="26"/>
      <c r="F10" s="26"/>
      <c r="G10" s="26"/>
      <c r="H10" s="26"/>
      <c r="I10" s="26"/>
      <c r="J10" s="26"/>
      <c r="K10" s="3"/>
    </row>
    <row r="11" spans="1:12" x14ac:dyDescent="0.3">
      <c r="A11" s="18">
        <f t="shared" si="1"/>
        <v>-6</v>
      </c>
      <c r="B11" s="26">
        <f t="shared" si="0"/>
        <v>0.27693674602225948</v>
      </c>
      <c r="C11" s="26"/>
      <c r="D11" s="26"/>
      <c r="E11" s="26"/>
      <c r="F11" s="26"/>
      <c r="G11" s="26"/>
      <c r="H11" s="26"/>
      <c r="I11" s="26"/>
      <c r="J11" s="26"/>
      <c r="K11" s="3"/>
    </row>
    <row r="12" spans="1:12" x14ac:dyDescent="0.3">
      <c r="A12" s="18">
        <f t="shared" si="1"/>
        <v>-5</v>
      </c>
      <c r="B12" s="26">
        <f t="shared" si="0"/>
        <v>0.95218632766405298</v>
      </c>
      <c r="C12" s="26"/>
      <c r="D12" s="26"/>
      <c r="E12" s="26"/>
      <c r="F12" s="26"/>
      <c r="G12" s="26"/>
      <c r="H12" s="26"/>
      <c r="I12" s="26"/>
      <c r="J12" s="26"/>
      <c r="K12" s="3"/>
    </row>
    <row r="13" spans="1:12" x14ac:dyDescent="0.3">
      <c r="A13" s="18">
        <f t="shared" si="1"/>
        <v>-4</v>
      </c>
      <c r="B13" s="26">
        <f t="shared" si="0"/>
        <v>0.73848685641919398</v>
      </c>
      <c r="C13" s="26"/>
      <c r="D13" s="26"/>
      <c r="E13" s="26"/>
      <c r="F13" s="26"/>
      <c r="G13" s="26"/>
      <c r="H13" s="26"/>
      <c r="I13" s="26"/>
      <c r="J13" s="26"/>
      <c r="K13" s="3"/>
    </row>
    <row r="14" spans="1:12" x14ac:dyDescent="0.3">
      <c r="A14" s="18">
        <f t="shared" si="1"/>
        <v>-3</v>
      </c>
      <c r="B14" s="26">
        <f t="shared" si="0"/>
        <v>-0.19090707642773116</v>
      </c>
      <c r="C14" s="26"/>
      <c r="D14" s="26"/>
      <c r="E14" s="26"/>
      <c r="F14" s="26"/>
      <c r="G14" s="26"/>
      <c r="H14" s="26"/>
      <c r="I14" s="26"/>
      <c r="J14" s="26"/>
      <c r="K14" s="3"/>
    </row>
    <row r="15" spans="1:12" x14ac:dyDescent="0.3">
      <c r="A15" s="18">
        <f t="shared" si="1"/>
        <v>-2</v>
      </c>
      <c r="B15" s="26">
        <f t="shared" si="0"/>
        <v>-1.0446327100622943</v>
      </c>
      <c r="C15" s="26"/>
      <c r="D15" s="26"/>
      <c r="E15" s="26"/>
      <c r="F15" s="26"/>
      <c r="G15" s="26"/>
      <c r="H15" s="26"/>
      <c r="I15" s="26"/>
      <c r="J15" s="26"/>
      <c r="K15" s="3"/>
    </row>
    <row r="16" spans="1:12" x14ac:dyDescent="0.3">
      <c r="A16" s="18">
        <f t="shared" si="1"/>
        <v>-1</v>
      </c>
      <c r="B16" s="26">
        <f t="shared" si="0"/>
        <v>-1.2093504259793388</v>
      </c>
      <c r="C16" s="26"/>
      <c r="D16" s="26"/>
      <c r="E16" s="26"/>
      <c r="F16" s="26"/>
      <c r="G16" s="26"/>
      <c r="H16" s="26"/>
      <c r="I16" s="26"/>
      <c r="J16" s="26"/>
      <c r="K16" s="3"/>
    </row>
    <row r="17" spans="1:11" x14ac:dyDescent="0.3">
      <c r="A17" s="18">
        <f t="shared" si="1"/>
        <v>0</v>
      </c>
      <c r="B17" s="26">
        <f t="shared" si="0"/>
        <v>-1</v>
      </c>
      <c r="C17" s="26"/>
      <c r="D17" s="26"/>
      <c r="E17" s="26"/>
      <c r="F17" s="26"/>
      <c r="G17" s="26"/>
      <c r="H17" s="26"/>
      <c r="I17" s="26"/>
      <c r="J17" s="26"/>
      <c r="K17" s="3"/>
    </row>
    <row r="18" spans="1:11" x14ac:dyDescent="0.3">
      <c r="A18" s="18">
        <f t="shared" si="1"/>
        <v>1</v>
      </c>
      <c r="B18" s="26">
        <f t="shared" si="0"/>
        <v>-1.8768108436511486</v>
      </c>
      <c r="C18" s="26"/>
      <c r="D18" s="26"/>
      <c r="E18" s="26"/>
      <c r="F18" s="26"/>
      <c r="G18" s="26"/>
      <c r="H18" s="26"/>
      <c r="I18" s="26"/>
      <c r="J18" s="26"/>
      <c r="K18" s="3"/>
    </row>
    <row r="19" spans="1:11" x14ac:dyDescent="0.3">
      <c r="A19" s="18">
        <f t="shared" si="1"/>
        <v>2</v>
      </c>
      <c r="B19" s="26">
        <f t="shared" si="0"/>
        <v>-6.4797586721049685</v>
      </c>
      <c r="C19" s="26"/>
      <c r="D19" s="26"/>
      <c r="E19" s="26"/>
      <c r="F19" s="26"/>
      <c r="G19" s="26"/>
      <c r="H19" s="26"/>
      <c r="I19" s="26"/>
      <c r="J19" s="26"/>
      <c r="K19" s="3"/>
    </row>
    <row r="20" spans="1:11" x14ac:dyDescent="0.3">
      <c r="A20" s="18">
        <f t="shared" si="1"/>
        <v>3</v>
      </c>
      <c r="B20" s="26">
        <f t="shared" si="0"/>
        <v>-19.9444169151278</v>
      </c>
      <c r="C20" s="26"/>
      <c r="D20" s="26"/>
      <c r="E20" s="26"/>
      <c r="F20" s="26"/>
      <c r="G20" s="26"/>
      <c r="H20" s="26"/>
      <c r="I20" s="26"/>
      <c r="J20" s="26"/>
      <c r="K20" s="3"/>
    </row>
    <row r="21" spans="1:11" x14ac:dyDescent="0.3">
      <c r="A21" s="18">
        <f t="shared" si="1"/>
        <v>4</v>
      </c>
      <c r="B21" s="26">
        <f t="shared" si="0"/>
        <v>-55.354952528452166</v>
      </c>
      <c r="C21" s="26"/>
      <c r="D21" s="26"/>
      <c r="E21" s="26"/>
      <c r="F21" s="26"/>
      <c r="G21" s="26"/>
      <c r="H21" s="26"/>
      <c r="I21" s="26"/>
      <c r="J21" s="26"/>
      <c r="K21" s="3"/>
    </row>
    <row r="22" spans="1:11" x14ac:dyDescent="0.3">
      <c r="A22" s="18">
        <f t="shared" si="1"/>
        <v>5</v>
      </c>
      <c r="B22" s="26">
        <f t="shared" si="0"/>
        <v>-149.37208337723973</v>
      </c>
      <c r="C22" s="26"/>
      <c r="D22" s="26"/>
      <c r="E22" s="26"/>
      <c r="F22" s="26"/>
      <c r="G22" s="26"/>
      <c r="H22" s="26"/>
      <c r="I22" s="26"/>
      <c r="J22" s="26"/>
      <c r="K22" s="3"/>
    </row>
    <row r="23" spans="1:11" x14ac:dyDescent="0.3">
      <c r="A23" s="18">
        <f t="shared" si="1"/>
        <v>6</v>
      </c>
      <c r="B23" s="26">
        <f t="shared" si="0"/>
        <v>-403.70820899093405</v>
      </c>
      <c r="C23" s="26"/>
      <c r="D23" s="26"/>
      <c r="E23" s="26"/>
      <c r="F23" s="26"/>
      <c r="G23" s="26"/>
      <c r="H23" s="26"/>
      <c r="I23" s="26"/>
      <c r="J23" s="26"/>
      <c r="K23" s="3"/>
    </row>
    <row r="24" spans="1:11" x14ac:dyDescent="0.3">
      <c r="A24" s="18">
        <f t="shared" si="1"/>
        <v>7</v>
      </c>
      <c r="B24" s="26">
        <f t="shared" si="0"/>
        <v>-1095.9761718297398</v>
      </c>
      <c r="C24" s="26"/>
      <c r="D24" s="26"/>
      <c r="E24" s="26"/>
      <c r="F24" s="26"/>
      <c r="G24" s="26"/>
      <c r="H24" s="26"/>
      <c r="I24" s="26"/>
      <c r="J24" s="26"/>
      <c r="K24" s="3"/>
    </row>
    <row r="25" spans="1:11" x14ac:dyDescent="0.3">
      <c r="A25" s="18">
        <f t="shared" si="1"/>
        <v>8</v>
      </c>
      <c r="B25" s="26">
        <f t="shared" si="0"/>
        <v>-2979.9686287951049</v>
      </c>
      <c r="C25" s="26"/>
      <c r="D25" s="26" t="s">
        <v>161</v>
      </c>
      <c r="E25" s="26">
        <v>-4</v>
      </c>
      <c r="F25" s="26"/>
      <c r="G25" s="26"/>
      <c r="H25" s="26"/>
      <c r="I25" s="26"/>
      <c r="J25" s="26"/>
      <c r="K25" s="3"/>
    </row>
    <row r="26" spans="1:11" x14ac:dyDescent="0.3">
      <c r="A26" s="18">
        <f t="shared" si="1"/>
        <v>9</v>
      </c>
      <c r="B26" s="26">
        <f t="shared" si="0"/>
        <v>-8102.6718090901422</v>
      </c>
      <c r="C26" s="26"/>
      <c r="D26" s="26" t="s">
        <v>162</v>
      </c>
      <c r="E26" s="26">
        <v>-3</v>
      </c>
      <c r="F26" s="26"/>
      <c r="G26" s="26"/>
      <c r="H26" s="26"/>
      <c r="I26" s="26"/>
      <c r="J26" s="26"/>
      <c r="K26" s="3"/>
    </row>
    <row r="27" spans="1:11" x14ac:dyDescent="0.3">
      <c r="A27" s="14">
        <f t="shared" si="1"/>
        <v>10</v>
      </c>
      <c r="B27" s="27">
        <f t="shared" si="0"/>
        <v>-22027.009815917609</v>
      </c>
      <c r="C27" s="27"/>
      <c r="D27" s="27"/>
      <c r="E27" s="27"/>
      <c r="F27" s="27"/>
      <c r="G27" s="27"/>
      <c r="H27" s="27"/>
      <c r="I27" s="27"/>
      <c r="J27" s="27"/>
      <c r="K27" s="5"/>
    </row>
    <row r="28" spans="1:11" x14ac:dyDescent="0.3">
      <c r="A28" s="18"/>
      <c r="B28" s="26"/>
    </row>
    <row r="29" spans="1:11" x14ac:dyDescent="0.3">
      <c r="A29" s="26"/>
      <c r="B29" s="26"/>
      <c r="C29" t="s">
        <v>163</v>
      </c>
    </row>
    <row r="30" spans="1:11" x14ac:dyDescent="0.3">
      <c r="A30" s="26"/>
      <c r="B30" s="26"/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</row>
    <row r="31" spans="1:11" x14ac:dyDescent="0.3">
      <c r="A31" s="26"/>
      <c r="B31" s="26"/>
      <c r="C31">
        <v>0</v>
      </c>
      <c r="D31">
        <v>-4</v>
      </c>
      <c r="E31">
        <f>(D31+F31)/2</f>
        <v>-3.5</v>
      </c>
      <c r="F31">
        <v>-3</v>
      </c>
      <c r="G31">
        <f>SIN(D31) - EXP(D31)</f>
        <v>0.73848685641919398</v>
      </c>
      <c r="H31">
        <f>SIN(E31) - EXP(E31)</f>
        <v>0.32058584426730136</v>
      </c>
      <c r="I31">
        <f>SIN(F31) - EXP(F31)</f>
        <v>-0.19090707642773116</v>
      </c>
      <c r="J31">
        <f>F31-D31</f>
        <v>1</v>
      </c>
    </row>
    <row r="32" spans="1:11" x14ac:dyDescent="0.3">
      <c r="A32" s="26"/>
      <c r="B32" s="26"/>
      <c r="C32">
        <f>C31+1</f>
        <v>1</v>
      </c>
      <c r="D32">
        <f>E31</f>
        <v>-3.5</v>
      </c>
      <c r="E32">
        <f t="shared" ref="E32:E38" si="2">(D32+F32)/2</f>
        <v>-3.25</v>
      </c>
      <c r="F32">
        <f>F31</f>
        <v>-3</v>
      </c>
      <c r="G32">
        <f t="shared" ref="G32:G36" si="3">SIN(D32) - EXP(D32)</f>
        <v>0.32058584426730136</v>
      </c>
      <c r="H32">
        <f t="shared" ref="H32:H36" si="4">SIN(E32) - EXP(E32)</f>
        <v>6.942092669838637E-2</v>
      </c>
      <c r="I32">
        <f t="shared" ref="I32:I36" si="5">SIN(F32) - EXP(F32)</f>
        <v>-0.19090707642773116</v>
      </c>
      <c r="J32">
        <f t="shared" ref="J32:J38" si="6">F32-D32</f>
        <v>0.5</v>
      </c>
    </row>
    <row r="33" spans="1:11" x14ac:dyDescent="0.3">
      <c r="A33" s="26"/>
      <c r="B33" s="26"/>
      <c r="C33">
        <f t="shared" ref="C33:C39" si="7">C32+1</f>
        <v>2</v>
      </c>
      <c r="D33">
        <f>E32</f>
        <v>-3.25</v>
      </c>
      <c r="E33">
        <f t="shared" si="2"/>
        <v>-3.125</v>
      </c>
      <c r="F33">
        <f>F32</f>
        <v>-3</v>
      </c>
      <c r="G33">
        <f t="shared" si="3"/>
        <v>6.942092669838637E-2</v>
      </c>
      <c r="H33">
        <f t="shared" si="4"/>
        <v>-6.0528825852755326E-2</v>
      </c>
      <c r="I33">
        <f t="shared" si="5"/>
        <v>-0.19090707642773116</v>
      </c>
      <c r="J33">
        <f t="shared" si="6"/>
        <v>0.25</v>
      </c>
    </row>
    <row r="34" spans="1:11" x14ac:dyDescent="0.3">
      <c r="A34" s="26"/>
      <c r="B34" s="26"/>
      <c r="C34">
        <f t="shared" si="7"/>
        <v>3</v>
      </c>
      <c r="D34">
        <f>D33</f>
        <v>-3.25</v>
      </c>
      <c r="E34">
        <f t="shared" si="2"/>
        <v>-3.1875</v>
      </c>
      <c r="F34">
        <f>E33</f>
        <v>-3.125</v>
      </c>
      <c r="G34">
        <f t="shared" si="3"/>
        <v>6.942092669838637E-2</v>
      </c>
      <c r="H34">
        <f t="shared" si="4"/>
        <v>4.6162938869821479E-3</v>
      </c>
      <c r="I34">
        <f t="shared" si="5"/>
        <v>-6.0528825852755326E-2</v>
      </c>
      <c r="J34">
        <f t="shared" si="6"/>
        <v>0.125</v>
      </c>
    </row>
    <row r="35" spans="1:11" x14ac:dyDescent="0.3">
      <c r="A35" s="26"/>
      <c r="B35" s="26"/>
      <c r="C35">
        <f t="shared" si="7"/>
        <v>4</v>
      </c>
      <c r="D35">
        <f>E34</f>
        <v>-3.1875</v>
      </c>
      <c r="E35">
        <f t="shared" si="2"/>
        <v>-3.15625</v>
      </c>
      <c r="F35">
        <f>F34</f>
        <v>-3.125</v>
      </c>
      <c r="G35">
        <f t="shared" si="3"/>
        <v>4.6162938869821479E-3</v>
      </c>
      <c r="H35">
        <f t="shared" si="4"/>
        <v>-2.7928314698295282E-2</v>
      </c>
      <c r="I35">
        <f t="shared" si="5"/>
        <v>-6.0528825852755326E-2</v>
      </c>
      <c r="J35">
        <f t="shared" si="6"/>
        <v>6.25E-2</v>
      </c>
    </row>
    <row r="36" spans="1:11" x14ac:dyDescent="0.3">
      <c r="A36" s="26"/>
      <c r="B36" s="26"/>
      <c r="C36">
        <f t="shared" si="7"/>
        <v>5</v>
      </c>
      <c r="D36">
        <f>D35</f>
        <v>-3.1875</v>
      </c>
      <c r="E36">
        <f t="shared" si="2"/>
        <v>-3.171875</v>
      </c>
      <c r="F36">
        <f>E35</f>
        <v>-3.15625</v>
      </c>
      <c r="G36">
        <f t="shared" si="3"/>
        <v>4.6162938869821479E-3</v>
      </c>
      <c r="H36">
        <f t="shared" si="4"/>
        <v>-1.164719657871718E-2</v>
      </c>
      <c r="I36">
        <f t="shared" si="5"/>
        <v>-2.7928314698295282E-2</v>
      </c>
      <c r="J36">
        <f t="shared" si="6"/>
        <v>3.125E-2</v>
      </c>
    </row>
    <row r="37" spans="1:11" x14ac:dyDescent="0.3">
      <c r="A37" s="26"/>
      <c r="B37" s="26"/>
      <c r="C37">
        <f t="shared" si="7"/>
        <v>6</v>
      </c>
      <c r="D37">
        <f>D36</f>
        <v>-3.1875</v>
      </c>
      <c r="E37">
        <f t="shared" si="2"/>
        <v>-3.1796875</v>
      </c>
      <c r="F37">
        <f>E36</f>
        <v>-3.171875</v>
      </c>
      <c r="G37">
        <f t="shared" ref="G37:G38" si="8">SIN(D37) - EXP(D37)</f>
        <v>4.6162938869821479E-3</v>
      </c>
      <c r="H37">
        <f t="shared" ref="H37:H38" si="9">SIN(E37) - EXP(E37)</f>
        <v>-3.5130195739060469E-3</v>
      </c>
      <c r="I37">
        <f t="shared" ref="I37:I38" si="10">SIN(F37) - EXP(F37)</f>
        <v>-1.164719657871718E-2</v>
      </c>
      <c r="J37">
        <f t="shared" si="6"/>
        <v>1.5625E-2</v>
      </c>
    </row>
    <row r="38" spans="1:11" x14ac:dyDescent="0.3">
      <c r="A38" s="26"/>
      <c r="B38" s="26"/>
      <c r="C38">
        <f t="shared" si="7"/>
        <v>7</v>
      </c>
      <c r="D38">
        <f>D37</f>
        <v>-3.1875</v>
      </c>
      <c r="E38">
        <f t="shared" si="2"/>
        <v>-3.18359375</v>
      </c>
      <c r="F38" s="28">
        <f>E37</f>
        <v>-3.1796875</v>
      </c>
      <c r="G38">
        <f t="shared" si="8"/>
        <v>4.6162938869821479E-3</v>
      </c>
      <c r="H38">
        <f t="shared" si="9"/>
        <v>5.5227364047606003E-4</v>
      </c>
      <c r="I38">
        <f t="shared" si="10"/>
        <v>-3.5130195739060469E-3</v>
      </c>
      <c r="J38">
        <f t="shared" si="6"/>
        <v>7.8125E-3</v>
      </c>
    </row>
    <row r="39" spans="1:11" x14ac:dyDescent="0.3">
      <c r="A39" s="26"/>
      <c r="B39" s="26"/>
      <c r="C39">
        <f t="shared" si="7"/>
        <v>8</v>
      </c>
      <c r="D39">
        <f>D38</f>
        <v>-3.1875</v>
      </c>
      <c r="E39">
        <f t="shared" ref="E39" si="11">(D39+F39)/2</f>
        <v>-3.185546875</v>
      </c>
      <c r="F39" s="28">
        <f>E38</f>
        <v>-3.18359375</v>
      </c>
      <c r="G39">
        <f t="shared" ref="G39" si="12">SIN(D39) - EXP(D39)</f>
        <v>4.6162938869821479E-3</v>
      </c>
      <c r="H39">
        <f t="shared" ref="H39" si="13">SIN(E39) - EXP(E39)</f>
        <v>2.5844464523509039E-3</v>
      </c>
      <c r="I39">
        <f t="shared" ref="I39" si="14">SIN(F39) - EXP(F39)</f>
        <v>5.5227364047606003E-4</v>
      </c>
      <c r="J39">
        <f t="shared" ref="J39" si="15">F39-D39</f>
        <v>3.90625E-3</v>
      </c>
      <c r="K39" t="s">
        <v>172</v>
      </c>
    </row>
    <row r="40" spans="1:11" x14ac:dyDescent="0.3">
      <c r="A40" s="26"/>
      <c r="B40" s="26"/>
      <c r="F40" t="s">
        <v>173</v>
      </c>
      <c r="G40" s="47">
        <f>E39</f>
        <v>-3.185546875</v>
      </c>
      <c r="H40" s="48" t="s">
        <v>174</v>
      </c>
      <c r="I40" s="19">
        <v>0.01</v>
      </c>
    </row>
    <row r="41" spans="1:11" x14ac:dyDescent="0.3">
      <c r="A41" s="26"/>
      <c r="B41" s="26"/>
    </row>
    <row r="42" spans="1:11" x14ac:dyDescent="0.3">
      <c r="A42" s="26"/>
      <c r="B42" s="26"/>
      <c r="C42" t="s">
        <v>175</v>
      </c>
    </row>
    <row r="44" spans="1:11" x14ac:dyDescent="0.3">
      <c r="C44" t="s">
        <v>176</v>
      </c>
      <c r="G44" t="s">
        <v>181</v>
      </c>
    </row>
    <row r="45" spans="1:11" x14ac:dyDescent="0.3">
      <c r="D45" t="s">
        <v>177</v>
      </c>
      <c r="E45" t="s">
        <v>178</v>
      </c>
      <c r="I45" t="s">
        <v>159</v>
      </c>
      <c r="J45" t="s">
        <v>182</v>
      </c>
      <c r="K45" t="s">
        <v>265</v>
      </c>
    </row>
    <row r="46" spans="1:11" x14ac:dyDescent="0.3">
      <c r="D46" t="s">
        <v>179</v>
      </c>
      <c r="E46" s="44" t="s">
        <v>180</v>
      </c>
      <c r="G46" s="9" t="s">
        <v>111</v>
      </c>
      <c r="H46">
        <v>-4</v>
      </c>
      <c r="I46">
        <f>SIN(H46) - EXP(H46)</f>
        <v>0.73848685641919398</v>
      </c>
      <c r="J46">
        <f>-SIN(H46)-EXP(H46)</f>
        <v>-0.77511813419666242</v>
      </c>
    </row>
    <row r="47" spans="1:11" x14ac:dyDescent="0.3">
      <c r="G47" s="9" t="s">
        <v>112</v>
      </c>
      <c r="H47">
        <v>-3</v>
      </c>
      <c r="I47">
        <f>SIN(H47) - EXP(H47)</f>
        <v>-0.19090707642773116</v>
      </c>
      <c r="J47">
        <f>-SIN(H47)-EXP(H47)</f>
        <v>9.1332939692003262E-2</v>
      </c>
    </row>
    <row r="49" spans="3:13" x14ac:dyDescent="0.3">
      <c r="C49" s="49" t="s">
        <v>164</v>
      </c>
      <c r="D49" s="50" t="s">
        <v>183</v>
      </c>
      <c r="E49" s="50" t="s">
        <v>184</v>
      </c>
      <c r="F49" s="50" t="s">
        <v>185</v>
      </c>
      <c r="G49" s="50" t="s">
        <v>186</v>
      </c>
      <c r="H49" s="50" t="s">
        <v>187</v>
      </c>
      <c r="I49" s="1"/>
    </row>
    <row r="50" spans="3:13" x14ac:dyDescent="0.3">
      <c r="C50" s="51">
        <v>1</v>
      </c>
      <c r="D50" s="52">
        <v>-3</v>
      </c>
      <c r="E50" s="52">
        <f>SIN(D50)-EXP(D50)</f>
        <v>-0.19090707642773116</v>
      </c>
      <c r="F50" s="52">
        <f>COS(D50)-EXP(D50)</f>
        <v>-1.0397795649683093</v>
      </c>
      <c r="G50" s="52">
        <f>D50-(E50/F50)</f>
        <v>-3.1836034125498029</v>
      </c>
      <c r="H50" s="52">
        <f>ABS(G50-D50)</f>
        <v>0.18360341254980295</v>
      </c>
      <c r="I50" s="3"/>
    </row>
    <row r="51" spans="3:13" x14ac:dyDescent="0.3">
      <c r="C51" s="51">
        <f>C50+1</f>
        <v>2</v>
      </c>
      <c r="D51" s="52">
        <f>G50</f>
        <v>-3.1836034125498029</v>
      </c>
      <c r="E51" s="52">
        <f>SIN(D51)-EXP(D51)</f>
        <v>5.6232804682562754E-4</v>
      </c>
      <c r="F51" s="52">
        <f>COS(D51)-EXP(D51)</f>
        <v>-1.0405537523568633</v>
      </c>
      <c r="G51" s="52">
        <f>D51-(E51/F51)</f>
        <v>-3.1830630002495717</v>
      </c>
      <c r="H51" s="52">
        <f>ABS(G51-D51)</f>
        <v>5.404123002312744E-4</v>
      </c>
      <c r="I51" s="3"/>
    </row>
    <row r="52" spans="3:13" x14ac:dyDescent="0.3">
      <c r="C52" s="51">
        <f t="shared" ref="C52" si="16">C51+1</f>
        <v>3</v>
      </c>
      <c r="D52" s="52">
        <f>G51</f>
        <v>-3.1830630002495717</v>
      </c>
      <c r="E52" s="52">
        <f>SIN(D52)-EXP(D52)</f>
        <v>-1.2158138690265829E-8</v>
      </c>
      <c r="F52" s="52">
        <f>COS(D52)-EXP(D52)</f>
        <v>-1.040598701531245</v>
      </c>
      <c r="G52" s="52">
        <f>D52-(E52/F52)</f>
        <v>-3.1830630119333634</v>
      </c>
      <c r="H52" s="52">
        <f>ABS(G52-D52)</f>
        <v>1.1683791711902813E-8</v>
      </c>
      <c r="I52" s="3" t="s">
        <v>172</v>
      </c>
    </row>
    <row r="53" spans="3:13" x14ac:dyDescent="0.3">
      <c r="C53" s="18"/>
      <c r="D53" s="26"/>
      <c r="E53" s="26"/>
      <c r="F53" s="26"/>
      <c r="G53" s="26"/>
      <c r="H53" s="26"/>
      <c r="I53" s="3"/>
    </row>
    <row r="54" spans="3:13" x14ac:dyDescent="0.3">
      <c r="C54" s="14"/>
      <c r="D54" s="27"/>
      <c r="E54" s="27"/>
      <c r="F54" s="27" t="s">
        <v>173</v>
      </c>
      <c r="G54" s="53">
        <f>G52</f>
        <v>-3.1830630119333634</v>
      </c>
      <c r="H54" s="54" t="s">
        <v>174</v>
      </c>
      <c r="I54" s="55">
        <v>1E-4</v>
      </c>
    </row>
    <row r="57" spans="3:13" x14ac:dyDescent="0.3">
      <c r="C57" t="s">
        <v>188</v>
      </c>
    </row>
    <row r="59" spans="3:13" x14ac:dyDescent="0.3">
      <c r="C59" t="s">
        <v>181</v>
      </c>
      <c r="H59" s="9" t="s">
        <v>161</v>
      </c>
      <c r="I59">
        <v>-4</v>
      </c>
      <c r="J59">
        <f>SIN(I59)-EXP(I59)</f>
        <v>0.73848685641919398</v>
      </c>
      <c r="L59" t="s">
        <v>253</v>
      </c>
    </row>
    <row r="60" spans="3:13" x14ac:dyDescent="0.3">
      <c r="H60" s="9" t="s">
        <v>190</v>
      </c>
      <c r="I60">
        <v>-3</v>
      </c>
      <c r="J60">
        <f t="shared" ref="J60:J61" si="17">SIN(I60)-EXP(I60)</f>
        <v>-0.19090707642773116</v>
      </c>
      <c r="L60" t="s">
        <v>193</v>
      </c>
      <c r="M60">
        <v>-3</v>
      </c>
    </row>
    <row r="61" spans="3:13" x14ac:dyDescent="0.3">
      <c r="H61" s="9" t="s">
        <v>189</v>
      </c>
      <c r="I61">
        <f>I59-(I60-I59)*J59/(J60-J59)</f>
        <v>-3.2054102890933915</v>
      </c>
      <c r="J61">
        <f t="shared" si="17"/>
        <v>2.3232061900240845E-2</v>
      </c>
      <c r="L61" t="s">
        <v>194</v>
      </c>
      <c r="M61">
        <f>(I59+I60)/2</f>
        <v>-3.5</v>
      </c>
    </row>
    <row r="63" spans="3:13" x14ac:dyDescent="0.3">
      <c r="C63" s="49" t="s">
        <v>164</v>
      </c>
      <c r="D63" s="50" t="s">
        <v>191</v>
      </c>
      <c r="E63" s="50" t="s">
        <v>183</v>
      </c>
      <c r="F63" s="50" t="s">
        <v>192</v>
      </c>
      <c r="G63" s="50" t="s">
        <v>184</v>
      </c>
      <c r="H63" s="50" t="s">
        <v>186</v>
      </c>
      <c r="I63" s="50" t="s">
        <v>187</v>
      </c>
      <c r="J63" s="1"/>
    </row>
    <row r="64" spans="3:13" x14ac:dyDescent="0.3">
      <c r="C64" s="51">
        <v>2</v>
      </c>
      <c r="D64" s="52">
        <f>M60</f>
        <v>-3</v>
      </c>
      <c r="E64" s="52">
        <f>M61</f>
        <v>-3.5</v>
      </c>
      <c r="F64" s="52">
        <f>SIN(D64)-EXP(D64)</f>
        <v>-0.19090707642773116</v>
      </c>
      <c r="G64" s="52">
        <f>SIN(E64)-EXP(E64)</f>
        <v>0.32058584426730136</v>
      </c>
      <c r="H64" s="52">
        <f>E64-(E64-D64)*G64/(G64-F64)</f>
        <v>-3.1866175158087433</v>
      </c>
      <c r="I64" s="52">
        <f>H64-E64</f>
        <v>0.31338248419125669</v>
      </c>
      <c r="J64" s="3"/>
    </row>
    <row r="65" spans="3:10" x14ac:dyDescent="0.3">
      <c r="C65" s="51">
        <f>C64+1</f>
        <v>3</v>
      </c>
      <c r="D65" s="52">
        <f>E64</f>
        <v>-3.5</v>
      </c>
      <c r="E65" s="52">
        <f>H64</f>
        <v>-3.1866175158087433</v>
      </c>
      <c r="F65" s="52">
        <f t="shared" ref="F65:F67" si="18">SIN(D65)-EXP(D65)</f>
        <v>0.32058584426730136</v>
      </c>
      <c r="G65" s="52">
        <f t="shared" ref="G65:G67" si="19">SIN(E65)-EXP(E65)</f>
        <v>3.698281138740267E-3</v>
      </c>
      <c r="H65" s="52">
        <f>E65-(E65-D65)*G65/(G65-F65)</f>
        <v>-3.1829601411896395</v>
      </c>
      <c r="I65" s="52">
        <f>H65-E65</f>
        <v>3.6573746191037593E-3</v>
      </c>
      <c r="J65" s="3"/>
    </row>
    <row r="66" spans="3:10" x14ac:dyDescent="0.3">
      <c r="C66" s="51">
        <f t="shared" ref="C66:C67" si="20">C65+1</f>
        <v>4</v>
      </c>
      <c r="D66" s="52">
        <f t="shared" ref="D66:D67" si="21">E65</f>
        <v>-3.1866175158087433</v>
      </c>
      <c r="E66" s="52">
        <f t="shared" ref="E66:E67" si="22">H65</f>
        <v>-3.1829601411896395</v>
      </c>
      <c r="F66" s="52">
        <f t="shared" si="18"/>
        <v>3.698281138740267E-3</v>
      </c>
      <c r="G66" s="52">
        <f t="shared" si="19"/>
        <v>-1.0704760080110232E-4</v>
      </c>
      <c r="H66" s="52">
        <f t="shared" ref="H66:H67" si="23">E66-(E66-D66)*G66/(G66-F66)</f>
        <v>-3.1830630266970434</v>
      </c>
      <c r="I66" s="52">
        <f t="shared" ref="I66:I67" si="24">H66-E66</f>
        <v>-1.0288550740389368E-4</v>
      </c>
      <c r="J66" s="3"/>
    </row>
    <row r="67" spans="3:10" x14ac:dyDescent="0.3">
      <c r="C67" s="51">
        <f t="shared" si="20"/>
        <v>5</v>
      </c>
      <c r="D67" s="52">
        <f t="shared" si="21"/>
        <v>-3.1829601411896395</v>
      </c>
      <c r="E67" s="52">
        <f t="shared" si="22"/>
        <v>-3.1830630266970434</v>
      </c>
      <c r="F67" s="52">
        <f t="shared" si="18"/>
        <v>-1.0704760080110232E-4</v>
      </c>
      <c r="G67" s="52">
        <f t="shared" si="19"/>
        <v>1.5363066055429364E-8</v>
      </c>
      <c r="H67" s="52">
        <f t="shared" si="23"/>
        <v>-3.1830630119334242</v>
      </c>
      <c r="I67" s="52">
        <f t="shared" si="24"/>
        <v>1.4763619216040524E-8</v>
      </c>
      <c r="J67" s="3" t="s">
        <v>172</v>
      </c>
    </row>
    <row r="68" spans="3:10" x14ac:dyDescent="0.3">
      <c r="C68" s="51"/>
      <c r="D68" s="52"/>
      <c r="E68" s="52"/>
      <c r="F68" s="52"/>
      <c r="G68" s="52"/>
      <c r="H68" s="52"/>
      <c r="I68" s="52"/>
      <c r="J68" s="3"/>
    </row>
    <row r="69" spans="3:10" x14ac:dyDescent="0.3">
      <c r="C69" s="56"/>
      <c r="D69" s="57"/>
      <c r="E69" s="57"/>
      <c r="F69" s="57"/>
      <c r="G69" s="57" t="s">
        <v>195</v>
      </c>
      <c r="H69" s="58">
        <f>H67</f>
        <v>-3.1830630119334242</v>
      </c>
      <c r="I69" s="59" t="s">
        <v>174</v>
      </c>
      <c r="J69" s="55">
        <v>1E-4</v>
      </c>
    </row>
    <row r="70" spans="3:10" x14ac:dyDescent="0.3">
      <c r="C70" s="8"/>
      <c r="D70" s="8"/>
      <c r="E70" s="8"/>
      <c r="F70" s="52"/>
      <c r="G70" s="52"/>
      <c r="H70" s="8"/>
      <c r="I70" s="8"/>
    </row>
    <row r="72" spans="3:10" x14ac:dyDescent="0.3">
      <c r="C72" s="42" t="s">
        <v>196</v>
      </c>
      <c r="D72" s="8"/>
      <c r="E72" s="8"/>
      <c r="G72" s="8"/>
      <c r="H72" s="8"/>
      <c r="I72" s="8"/>
    </row>
    <row r="73" spans="3:10" x14ac:dyDescent="0.3">
      <c r="C73" s="8"/>
      <c r="D73" s="8"/>
      <c r="E73" s="8"/>
      <c r="F73" s="42"/>
      <c r="G73" s="8"/>
      <c r="H73" s="8"/>
      <c r="I73" s="8"/>
    </row>
    <row r="74" spans="3:10" x14ac:dyDescent="0.3">
      <c r="C74" s="8"/>
      <c r="D74" s="8"/>
      <c r="E74" s="8"/>
      <c r="F74" s="8"/>
      <c r="G74" s="8"/>
      <c r="H74" s="8"/>
      <c r="I74" s="8"/>
    </row>
    <row r="75" spans="3:10" x14ac:dyDescent="0.3">
      <c r="C75" s="8"/>
      <c r="D75" s="8"/>
      <c r="E75" s="8"/>
      <c r="F75" s="8"/>
      <c r="G75" s="8"/>
      <c r="H75" s="8"/>
      <c r="I75" s="8"/>
    </row>
    <row r="80" spans="3:10" x14ac:dyDescent="0.3">
      <c r="C80" t="s">
        <v>197</v>
      </c>
    </row>
    <row r="81" spans="3:9" x14ac:dyDescent="0.3">
      <c r="C81" t="s">
        <v>149</v>
      </c>
      <c r="D81" t="s">
        <v>198</v>
      </c>
      <c r="E81" t="s">
        <v>182</v>
      </c>
      <c r="G81" t="s">
        <v>66</v>
      </c>
      <c r="H81">
        <v>0.1</v>
      </c>
    </row>
    <row r="82" spans="3:9" x14ac:dyDescent="0.3">
      <c r="C82">
        <v>-4</v>
      </c>
      <c r="D82">
        <f>ABS(COS(C82)-EXP(C82))</f>
        <v>0.67195925975234616</v>
      </c>
      <c r="E82">
        <f>ABS(-SIN(C82)-EXP(C82))</f>
        <v>0.77511813419666242</v>
      </c>
    </row>
    <row r="83" spans="3:9" x14ac:dyDescent="0.3">
      <c r="C83">
        <f t="shared" ref="C83:C92" si="25">C82+$H$81</f>
        <v>-3.9</v>
      </c>
      <c r="D83">
        <f t="shared" ref="D83:D92" si="26">ABS(COS(C83)-EXP(C83))</f>
        <v>0.74617421564594455</v>
      </c>
      <c r="E83">
        <f t="shared" ref="E83:E92" si="27">ABS(-SIN(C83)-EXP(C83))</f>
        <v>0.70800807062977811</v>
      </c>
    </row>
    <row r="84" spans="3:9" x14ac:dyDescent="0.3">
      <c r="C84">
        <f t="shared" si="25"/>
        <v>-3.8</v>
      </c>
      <c r="D84">
        <f t="shared" si="26"/>
        <v>0.81333848377058249</v>
      </c>
      <c r="E84">
        <f t="shared" si="27"/>
        <v>0.63422866279888457</v>
      </c>
    </row>
    <row r="85" spans="3:9" x14ac:dyDescent="0.3">
      <c r="C85">
        <f t="shared" si="25"/>
        <v>-3.6999999999999997</v>
      </c>
      <c r="D85">
        <f t="shared" si="26"/>
        <v>0.87282355818074764</v>
      </c>
      <c r="E85">
        <f t="shared" si="27"/>
        <v>0.55455966737883233</v>
      </c>
    </row>
    <row r="86" spans="3:9" x14ac:dyDescent="0.3">
      <c r="C86">
        <f t="shared" si="25"/>
        <v>-3.5999999999999996</v>
      </c>
      <c r="D86">
        <f t="shared" si="26"/>
        <v>0.92408213878143974</v>
      </c>
      <c r="E86">
        <f t="shared" si="27"/>
        <v>0.46984416574214466</v>
      </c>
    </row>
    <row r="87" spans="3:9" x14ac:dyDescent="0.3">
      <c r="C87">
        <f t="shared" si="25"/>
        <v>-3.4999999999999996</v>
      </c>
      <c r="D87">
        <f t="shared" si="26"/>
        <v>0.96665407071311493</v>
      </c>
      <c r="E87">
        <f t="shared" si="27"/>
        <v>0.38098061111193798</v>
      </c>
    </row>
    <row r="88" spans="3:9" x14ac:dyDescent="0.3">
      <c r="C88">
        <f t="shared" si="25"/>
        <v>-3.3999999999999995</v>
      </c>
      <c r="D88">
        <f t="shared" si="26"/>
        <v>1.0001714625397873</v>
      </c>
      <c r="E88">
        <f t="shared" si="27"/>
        <v>0.28891437198715686</v>
      </c>
    </row>
    <row r="89" spans="3:9" x14ac:dyDescent="0.3">
      <c r="C89">
        <f t="shared" si="25"/>
        <v>-3.2999999999999994</v>
      </c>
      <c r="D89">
        <f t="shared" si="26"/>
        <v>1.0243629373101051</v>
      </c>
      <c r="E89">
        <f t="shared" si="27"/>
        <v>0.1946288615444878</v>
      </c>
    </row>
    <row r="90" spans="3:9" x14ac:dyDescent="0.3">
      <c r="C90">
        <f t="shared" si="25"/>
        <v>-3.1999999999999993</v>
      </c>
      <c r="D90">
        <f t="shared" si="26"/>
        <v>1.0390569797731193</v>
      </c>
      <c r="E90">
        <f t="shared" si="27"/>
        <v>9.9136347405945444E-2</v>
      </c>
    </row>
    <row r="91" spans="3:9" x14ac:dyDescent="0.3">
      <c r="C91">
        <f t="shared" si="25"/>
        <v>-3.0999999999999992</v>
      </c>
      <c r="D91">
        <f t="shared" si="26"/>
        <v>1.0441843526668373</v>
      </c>
      <c r="E91">
        <f t="shared" si="27"/>
        <v>3.4685399602664632E-3</v>
      </c>
    </row>
    <row r="92" spans="3:9" x14ac:dyDescent="0.3">
      <c r="C92">
        <f t="shared" si="25"/>
        <v>-2.9999999999999991</v>
      </c>
      <c r="D92">
        <f t="shared" si="26"/>
        <v>1.0397795649683093</v>
      </c>
      <c r="E92">
        <f t="shared" si="27"/>
        <v>9.1332939692004123E-2</v>
      </c>
    </row>
    <row r="93" spans="3:9" x14ac:dyDescent="0.3">
      <c r="D93" t="s">
        <v>199</v>
      </c>
      <c r="E93" t="s">
        <v>200</v>
      </c>
    </row>
    <row r="94" spans="3:9" x14ac:dyDescent="0.3">
      <c r="D94">
        <f>MIN(D82:D92)</f>
        <v>0.67195925975234616</v>
      </c>
      <c r="E94">
        <f>MAX(E82:E92)</f>
        <v>0.77511813419666242</v>
      </c>
    </row>
    <row r="95" spans="3:9" x14ac:dyDescent="0.3">
      <c r="H95" t="s">
        <v>203</v>
      </c>
      <c r="I95" s="10">
        <f>G54</f>
        <v>-3.1830630119333634</v>
      </c>
    </row>
    <row r="96" spans="3:9" x14ac:dyDescent="0.3">
      <c r="C96" t="s">
        <v>201</v>
      </c>
      <c r="H96" t="s">
        <v>206</v>
      </c>
    </row>
    <row r="98" spans="3:4" x14ac:dyDescent="0.3">
      <c r="C98" t="s">
        <v>204</v>
      </c>
      <c r="D98" s="60">
        <f>SIN(G54)-EXP(G54)</f>
        <v>-2.1510571102112408E-16</v>
      </c>
    </row>
    <row r="100" spans="3:4" x14ac:dyDescent="0.3">
      <c r="C100" t="s">
        <v>202</v>
      </c>
    </row>
    <row r="102" spans="3:4" x14ac:dyDescent="0.3">
      <c r="C102" t="s">
        <v>205</v>
      </c>
      <c r="D102">
        <f>ABS(D98/D94)</f>
        <v>3.2011719148033222E-16</v>
      </c>
    </row>
    <row r="103" spans="3:4" x14ac:dyDescent="0.3">
      <c r="C103" t="s">
        <v>205</v>
      </c>
      <c r="D103">
        <f>E94/(2*D94)*(G52-G51)^2</f>
        <v>7.8734046279469426E-17</v>
      </c>
    </row>
    <row r="105" spans="3:4" x14ac:dyDescent="0.3">
      <c r="C105" t="s">
        <v>258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1" workbookViewId="0">
      <selection activeCell="J35" sqref="J35"/>
    </sheetView>
  </sheetViews>
  <sheetFormatPr defaultRowHeight="14.4" x14ac:dyDescent="0.3"/>
  <cols>
    <col min="3" max="3" width="11.5546875" customWidth="1"/>
    <col min="4" max="4" width="13.77734375" customWidth="1"/>
    <col min="8" max="8" width="11.21875" customWidth="1"/>
    <col min="9" max="9" width="11.5546875" customWidth="1"/>
    <col min="10" max="10" width="10.109375" bestFit="1" customWidth="1"/>
    <col min="11" max="11" width="11.44140625" customWidth="1"/>
  </cols>
  <sheetData>
    <row r="1" spans="1:10" x14ac:dyDescent="0.3">
      <c r="A1" t="s">
        <v>90</v>
      </c>
      <c r="J1" t="s">
        <v>207</v>
      </c>
    </row>
    <row r="2" spans="1:10" x14ac:dyDescent="0.3">
      <c r="J2" t="s">
        <v>208</v>
      </c>
    </row>
    <row r="3" spans="1:10" x14ac:dyDescent="0.3">
      <c r="J3" t="s">
        <v>209</v>
      </c>
    </row>
    <row r="4" spans="1:10" x14ac:dyDescent="0.3">
      <c r="J4" t="s">
        <v>210</v>
      </c>
    </row>
    <row r="5" spans="1:10" x14ac:dyDescent="0.3">
      <c r="J5" t="s">
        <v>211</v>
      </c>
    </row>
    <row r="6" spans="1:10" x14ac:dyDescent="0.3">
      <c r="J6" t="s">
        <v>212</v>
      </c>
    </row>
    <row r="7" spans="1:10" x14ac:dyDescent="0.3">
      <c r="A7" t="s">
        <v>111</v>
      </c>
      <c r="B7">
        <v>1</v>
      </c>
      <c r="D7" t="s">
        <v>215</v>
      </c>
      <c r="J7" t="s">
        <v>213</v>
      </c>
    </row>
    <row r="8" spans="1:10" x14ac:dyDescent="0.3">
      <c r="A8" t="s">
        <v>190</v>
      </c>
      <c r="B8">
        <v>1.5</v>
      </c>
      <c r="D8" t="s">
        <v>216</v>
      </c>
      <c r="J8" t="s">
        <v>214</v>
      </c>
    </row>
    <row r="9" spans="1:10" x14ac:dyDescent="0.3">
      <c r="D9" t="s">
        <v>217</v>
      </c>
    </row>
    <row r="11" spans="1:10" x14ac:dyDescent="0.3">
      <c r="A11" t="s">
        <v>218</v>
      </c>
    </row>
    <row r="12" spans="1:10" x14ac:dyDescent="0.3">
      <c r="A12" t="s">
        <v>219</v>
      </c>
      <c r="B12">
        <v>1E-4</v>
      </c>
    </row>
    <row r="13" spans="1:10" x14ac:dyDescent="0.3">
      <c r="A13" t="s">
        <v>220</v>
      </c>
    </row>
    <row r="15" spans="1:10" x14ac:dyDescent="0.3">
      <c r="A15" t="s">
        <v>221</v>
      </c>
    </row>
    <row r="16" spans="1:10" x14ac:dyDescent="0.3">
      <c r="A16" s="8" t="s">
        <v>149</v>
      </c>
      <c r="B16" s="8" t="s">
        <v>159</v>
      </c>
      <c r="C16" s="8" t="s">
        <v>182</v>
      </c>
    </row>
    <row r="17" spans="1:6" x14ac:dyDescent="0.3">
      <c r="A17" s="49">
        <v>1</v>
      </c>
      <c r="B17" s="50">
        <f>SINH(A17^2)</f>
        <v>1.1752011936438014</v>
      </c>
      <c r="C17" s="62">
        <f>ABS(2*(2*A17^2*SINH(A17^2)+COSH(A17^2)))</f>
        <v>7.7869660442056929</v>
      </c>
      <c r="E17" s="9" t="s">
        <v>60</v>
      </c>
      <c r="F17" s="42">
        <f>(B8-B7)/10</f>
        <v>0.05</v>
      </c>
    </row>
    <row r="18" spans="1:6" x14ac:dyDescent="0.3">
      <c r="A18" s="51">
        <f>A17+$F$17</f>
        <v>1.05</v>
      </c>
      <c r="B18" s="52">
        <f t="shared" ref="B18:B27" si="0">SINH(A18^2)</f>
        <v>1.3398229447543522</v>
      </c>
      <c r="C18" s="63">
        <f>ABS(2*(2*A18^2*SINH(A18^2)+COSH(A18^2)))</f>
        <v>9.2523449665647188</v>
      </c>
    </row>
    <row r="19" spans="1:6" x14ac:dyDescent="0.3">
      <c r="A19" s="51">
        <f t="shared" ref="A19:A26" si="1">A18+$F$17</f>
        <v>1.1000000000000001</v>
      </c>
      <c r="B19" s="52">
        <f t="shared" si="0"/>
        <v>1.5276436865595686</v>
      </c>
      <c r="C19" s="63">
        <f t="shared" ref="C19:C27" si="2">ABS(2*(2*A19^2*SINH(A19^2)+COSH(A19^2)))</f>
        <v>11.045477374927225</v>
      </c>
    </row>
    <row r="20" spans="1:6" x14ac:dyDescent="0.3">
      <c r="A20" s="51">
        <f t="shared" si="1"/>
        <v>1.1500000000000001</v>
      </c>
      <c r="B20" s="52">
        <f t="shared" si="0"/>
        <v>1.7431616704184423</v>
      </c>
      <c r="C20" s="63">
        <f t="shared" si="2"/>
        <v>13.240585172977493</v>
      </c>
    </row>
    <row r="21" spans="1:6" x14ac:dyDescent="0.3">
      <c r="A21" s="51">
        <f t="shared" si="1"/>
        <v>1.2000000000000002</v>
      </c>
      <c r="B21" s="52">
        <f t="shared" si="0"/>
        <v>1.9918840291572162</v>
      </c>
      <c r="C21" s="63">
        <f t="shared" si="2"/>
        <v>15.930875583624243</v>
      </c>
    </row>
    <row r="22" spans="1:6" x14ac:dyDescent="0.3">
      <c r="A22" s="51">
        <f t="shared" si="1"/>
        <v>1.2500000000000002</v>
      </c>
      <c r="B22" s="52">
        <f t="shared" si="0"/>
        <v>2.2805608974082539</v>
      </c>
      <c r="C22" s="63">
        <f t="shared" si="2"/>
        <v>19.233850177920296</v>
      </c>
    </row>
    <row r="23" spans="1:6" x14ac:dyDescent="0.3">
      <c r="A23" s="51">
        <f t="shared" si="1"/>
        <v>1.3000000000000003</v>
      </c>
      <c r="B23" s="52">
        <f t="shared" si="0"/>
        <v>2.6174805905691101</v>
      </c>
      <c r="C23" s="63">
        <f t="shared" si="2"/>
        <v>23.29816902137139</v>
      </c>
    </row>
    <row r="24" spans="1:6" x14ac:dyDescent="0.3">
      <c r="A24" s="51">
        <f t="shared" si="1"/>
        <v>1.3500000000000003</v>
      </c>
      <c r="B24" s="52">
        <f t="shared" si="0"/>
        <v>3.0128431033415914</v>
      </c>
      <c r="C24" s="63">
        <f t="shared" si="2"/>
        <v>28.312554814974071</v>
      </c>
    </row>
    <row r="25" spans="1:6" x14ac:dyDescent="0.3">
      <c r="A25" s="51">
        <f t="shared" si="1"/>
        <v>1.4000000000000004</v>
      </c>
      <c r="B25" s="52">
        <f t="shared" si="0"/>
        <v>3.4792343221177982</v>
      </c>
      <c r="C25" s="63">
        <f t="shared" si="2"/>
        <v>34.517382571481235</v>
      </c>
    </row>
    <row r="26" spans="1:6" x14ac:dyDescent="0.3">
      <c r="A26" s="51">
        <f t="shared" si="1"/>
        <v>1.4500000000000004</v>
      </c>
      <c r="B26" s="52">
        <f t="shared" si="0"/>
        <v>4.0322301041847171</v>
      </c>
      <c r="C26" s="63">
        <f t="shared" si="2"/>
        <v>42.219816723642907</v>
      </c>
    </row>
    <row r="27" spans="1:6" x14ac:dyDescent="0.3">
      <c r="A27" s="56">
        <f>A26+$F$17</f>
        <v>1.5000000000000004</v>
      </c>
      <c r="B27" s="57">
        <f t="shared" si="0"/>
        <v>4.6911683058983371</v>
      </c>
      <c r="C27" s="64">
        <f t="shared" si="2"/>
        <v>51.813649814005466</v>
      </c>
    </row>
    <row r="28" spans="1:6" x14ac:dyDescent="0.3">
      <c r="A28" s="8"/>
      <c r="B28" s="9" t="s">
        <v>222</v>
      </c>
      <c r="C28" s="67">
        <f>MAX(C17:C27)</f>
        <v>51.813649814005466</v>
      </c>
    </row>
    <row r="30" spans="1:6" x14ac:dyDescent="0.3">
      <c r="A30" t="s">
        <v>223</v>
      </c>
      <c r="B30" s="19">
        <f>_xlfn.CEILING.MATH(SQRT((C28*(B8-B7)^3)/(24*10^(-4))))</f>
        <v>52</v>
      </c>
      <c r="C30" t="s">
        <v>224</v>
      </c>
    </row>
    <row r="31" spans="1:6" x14ac:dyDescent="0.3">
      <c r="A31" t="s">
        <v>60</v>
      </c>
      <c r="B31" s="19">
        <f>(B8-B7)/B30</f>
        <v>9.6153846153846159E-3</v>
      </c>
      <c r="C31" t="s">
        <v>225</v>
      </c>
    </row>
    <row r="33" spans="1:10" x14ac:dyDescent="0.3">
      <c r="A33" t="s">
        <v>226</v>
      </c>
      <c r="F33" t="s">
        <v>231</v>
      </c>
      <c r="I33" s="9" t="s">
        <v>232</v>
      </c>
      <c r="J33" s="19">
        <f>D34*SUM(B38:B57)</f>
        <v>1.2021880614670319</v>
      </c>
    </row>
    <row r="34" spans="1:10" x14ac:dyDescent="0.3">
      <c r="A34" s="9" t="s">
        <v>227</v>
      </c>
      <c r="B34" s="42">
        <v>20</v>
      </c>
      <c r="C34" s="9" t="s">
        <v>66</v>
      </c>
      <c r="D34" s="42">
        <f>(B8-B7)/B34</f>
        <v>2.5000000000000001E-2</v>
      </c>
      <c r="I34" s="9" t="s">
        <v>233</v>
      </c>
      <c r="J34" s="19">
        <f>D34*SUM(B39:B58)</f>
        <v>1.2900872392733946</v>
      </c>
    </row>
    <row r="35" spans="1:10" x14ac:dyDescent="0.3">
      <c r="A35" t="s">
        <v>228</v>
      </c>
      <c r="I35" s="9" t="s">
        <v>234</v>
      </c>
      <c r="J35" s="19">
        <f>D34*(SUM(D38:D57))</f>
        <v>1.2452547518748625</v>
      </c>
    </row>
    <row r="37" spans="1:10" x14ac:dyDescent="0.3">
      <c r="A37" s="65" t="s">
        <v>149</v>
      </c>
      <c r="B37" s="41" t="s">
        <v>159</v>
      </c>
      <c r="C37" s="41" t="s">
        <v>229</v>
      </c>
      <c r="D37" s="66" t="s">
        <v>230</v>
      </c>
      <c r="F37" s="68" t="s">
        <v>235</v>
      </c>
      <c r="I37" s="9" t="s">
        <v>240</v>
      </c>
      <c r="J37" s="19">
        <f>D34*((B38+B58)/2+SUM(B39:B57))</f>
        <v>1.2461376503702133</v>
      </c>
    </row>
    <row r="38" spans="1:10" x14ac:dyDescent="0.3">
      <c r="A38" s="51">
        <f>B7</f>
        <v>1</v>
      </c>
      <c r="B38" s="52">
        <f>SINH(A38^2)</f>
        <v>1.1752011936438014</v>
      </c>
      <c r="C38" s="52">
        <f t="shared" ref="C38:C57" si="3">(A38+A39)/2</f>
        <v>1.0125</v>
      </c>
      <c r="D38" s="63">
        <f>SINH(C38^2)</f>
        <v>1.2143952852088271</v>
      </c>
    </row>
    <row r="39" spans="1:10" x14ac:dyDescent="0.3">
      <c r="A39" s="51">
        <f>A38+$D$34</f>
        <v>1.0249999999999999</v>
      </c>
      <c r="B39" s="52">
        <f t="shared" ref="B39:B58" si="4">SINH(A39^2)</f>
        <v>1.2548593009561462</v>
      </c>
      <c r="C39" s="52">
        <f t="shared" si="3"/>
        <v>1.0374999999999999</v>
      </c>
      <c r="D39" s="63">
        <f t="shared" ref="D39:D57" si="5">SINH(C39^2)</f>
        <v>1.2966489794284892</v>
      </c>
    </row>
    <row r="40" spans="1:10" x14ac:dyDescent="0.3">
      <c r="A40" s="51">
        <f t="shared" ref="A40:A58" si="6">A39+$D$34</f>
        <v>1.0499999999999998</v>
      </c>
      <c r="B40" s="52">
        <f t="shared" si="4"/>
        <v>1.3398229447543515</v>
      </c>
      <c r="C40" s="52">
        <f t="shared" si="3"/>
        <v>1.0624999999999998</v>
      </c>
      <c r="D40" s="63">
        <f t="shared" si="5"/>
        <v>1.3844428547326519</v>
      </c>
      <c r="F40" t="s">
        <v>236</v>
      </c>
      <c r="I40" s="9" t="s">
        <v>239</v>
      </c>
      <c r="J40" s="19">
        <f>((B8-B7)/(6*G41))*(B38+B58+4*(B39+B41+B43+B45+B47+B49+B51+B53+B55+B57)+2*(B40+B42+B44+B46+B48+B50+B52+B54+B56))</f>
        <v>1.2455494321889171</v>
      </c>
    </row>
    <row r="41" spans="1:10" x14ac:dyDescent="0.3">
      <c r="A41" s="51">
        <f t="shared" si="6"/>
        <v>1.0749999999999997</v>
      </c>
      <c r="B41" s="52">
        <f t="shared" si="4"/>
        <v>1.4305735573772336</v>
      </c>
      <c r="C41" s="52">
        <f t="shared" si="3"/>
        <v>1.0874999999999997</v>
      </c>
      <c r="D41" s="63">
        <f t="shared" si="5"/>
        <v>1.4782832564517252</v>
      </c>
      <c r="F41" t="s">
        <v>94</v>
      </c>
      <c r="G41">
        <v>10</v>
      </c>
    </row>
    <row r="42" spans="1:10" x14ac:dyDescent="0.3">
      <c r="A42" s="51">
        <f t="shared" si="6"/>
        <v>1.0999999999999996</v>
      </c>
      <c r="B42" s="52">
        <f t="shared" si="4"/>
        <v>1.5276436865595668</v>
      </c>
      <c r="C42" s="52">
        <f t="shared" si="3"/>
        <v>1.1124999999999996</v>
      </c>
      <c r="D42" s="63">
        <f t="shared" si="5"/>
        <v>1.5787302983906153</v>
      </c>
      <c r="F42" t="s">
        <v>237</v>
      </c>
      <c r="G42">
        <v>20</v>
      </c>
    </row>
    <row r="43" spans="1:10" x14ac:dyDescent="0.3">
      <c r="A43" s="51">
        <f t="shared" si="6"/>
        <v>1.1249999999999996</v>
      </c>
      <c r="B43" s="52">
        <f t="shared" si="4"/>
        <v>1.6316224547648612</v>
      </c>
      <c r="C43" s="52">
        <f t="shared" si="3"/>
        <v>1.1374999999999995</v>
      </c>
      <c r="D43" s="63">
        <f t="shared" si="5"/>
        <v>1.6864036381555221</v>
      </c>
      <c r="F43" t="s">
        <v>238</v>
      </c>
      <c r="G43">
        <f>D34</f>
        <v>2.5000000000000001E-2</v>
      </c>
    </row>
    <row r="44" spans="1:10" x14ac:dyDescent="0.3">
      <c r="A44" s="51">
        <f t="shared" si="6"/>
        <v>1.1499999999999995</v>
      </c>
      <c r="B44" s="52">
        <f t="shared" si="4"/>
        <v>1.7431616704184389</v>
      </c>
      <c r="C44" s="52">
        <f t="shared" si="3"/>
        <v>1.1624999999999994</v>
      </c>
      <c r="D44" s="63">
        <f t="shared" si="5"/>
        <v>1.801988945502359</v>
      </c>
    </row>
    <row r="45" spans="1:10" x14ac:dyDescent="0.3">
      <c r="A45" s="51">
        <f t="shared" si="6"/>
        <v>1.1749999999999994</v>
      </c>
      <c r="B45" s="52">
        <f t="shared" si="4"/>
        <v>1.8629826759656847</v>
      </c>
      <c r="C45" s="52">
        <f t="shared" si="3"/>
        <v>1.1874999999999993</v>
      </c>
      <c r="D45" s="63">
        <f t="shared" si="5"/>
        <v>1.9262451541797809</v>
      </c>
      <c r="F45" t="s">
        <v>241</v>
      </c>
    </row>
    <row r="46" spans="1:10" x14ac:dyDescent="0.3">
      <c r="A46" s="51">
        <f t="shared" si="6"/>
        <v>1.1999999999999993</v>
      </c>
      <c r="B46" s="52">
        <f t="shared" si="4"/>
        <v>1.991884029157212</v>
      </c>
      <c r="C46" s="52">
        <f t="shared" si="3"/>
        <v>1.2124999999999992</v>
      </c>
      <c r="D46" s="63">
        <f>SINH(C46^2)</f>
        <v>2.0600126000056567</v>
      </c>
      <c r="F46" t="s">
        <v>242</v>
      </c>
    </row>
    <row r="47" spans="1:10" x14ac:dyDescent="0.3">
      <c r="A47" s="51">
        <f t="shared" si="6"/>
        <v>1.2249999999999992</v>
      </c>
      <c r="B47" s="52">
        <f t="shared" si="4"/>
        <v>2.1307501270749669</v>
      </c>
      <c r="C47" s="52">
        <f t="shared" si="3"/>
        <v>1.2374999999999992</v>
      </c>
      <c r="D47" s="63">
        <f t="shared" si="5"/>
        <v>2.2042221619362423</v>
      </c>
    </row>
    <row r="48" spans="1:10" x14ac:dyDescent="0.3">
      <c r="A48" s="51">
        <f t="shared" si="6"/>
        <v>1.2499999999999991</v>
      </c>
      <c r="B48" s="52">
        <f t="shared" si="4"/>
        <v>2.2805608974082467</v>
      </c>
      <c r="C48" s="52">
        <f t="shared" si="3"/>
        <v>1.2624999999999991</v>
      </c>
      <c r="D48" s="63">
        <f t="shared" si="5"/>
        <v>2.3599055389283197</v>
      </c>
      <c r="F48" t="s">
        <v>243</v>
      </c>
      <c r="H48" t="s">
        <v>239</v>
      </c>
      <c r="I48">
        <f>J40</f>
        <v>1.2455494321889171</v>
      </c>
    </row>
    <row r="49" spans="1:10" x14ac:dyDescent="0.3">
      <c r="A49" s="51">
        <f t="shared" si="6"/>
        <v>1.274999999999999</v>
      </c>
      <c r="B49" s="52">
        <f t="shared" si="4"/>
        <v>2.4424026986526024</v>
      </c>
      <c r="C49" s="52">
        <f t="shared" si="3"/>
        <v>1.287499999999999</v>
      </c>
      <c r="D49" s="63">
        <f t="shared" si="5"/>
        <v>2.5282068137642768</v>
      </c>
    </row>
    <row r="50" spans="1:10" x14ac:dyDescent="0.3">
      <c r="A50" s="51">
        <f t="shared" si="6"/>
        <v>1.2999999999999989</v>
      </c>
      <c r="B50" s="52">
        <f t="shared" si="4"/>
        <v>2.6174805905691008</v>
      </c>
      <c r="C50" s="52">
        <f t="shared" si="3"/>
        <v>1.3124999999999989</v>
      </c>
      <c r="D50" s="63">
        <f t="shared" si="5"/>
        <v>2.7103954760653308</v>
      </c>
      <c r="F50" t="s">
        <v>244</v>
      </c>
    </row>
    <row r="51" spans="1:10" x14ac:dyDescent="0.3">
      <c r="A51" s="51">
        <f>A50+$D$34</f>
        <v>1.3249999999999988</v>
      </c>
      <c r="B51" s="52">
        <f t="shared" si="4"/>
        <v>2.807132158790643</v>
      </c>
      <c r="C51" s="52">
        <f t="shared" si="3"/>
        <v>1.3374999999999988</v>
      </c>
      <c r="D51" s="63">
        <f t="shared" si="5"/>
        <v>2.9078811008725478</v>
      </c>
      <c r="G51" t="s">
        <v>94</v>
      </c>
      <c r="H51">
        <v>20</v>
      </c>
    </row>
    <row r="52" spans="1:10" x14ac:dyDescent="0.3">
      <c r="A52" s="51">
        <f t="shared" si="6"/>
        <v>1.3499999999999988</v>
      </c>
      <c r="B52" s="52">
        <f t="shared" si="4"/>
        <v>3.0128431033415781</v>
      </c>
      <c r="C52" s="52">
        <f t="shared" si="3"/>
        <v>1.3624999999999987</v>
      </c>
      <c r="D52" s="63">
        <f t="shared" si="5"/>
        <v>3.1222299069090322</v>
      </c>
      <c r="G52" t="s">
        <v>237</v>
      </c>
      <c r="H52">
        <v>40</v>
      </c>
    </row>
    <row r="53" spans="1:10" x14ac:dyDescent="0.3">
      <c r="A53" s="51">
        <f t="shared" si="6"/>
        <v>1.3749999999999987</v>
      </c>
      <c r="B53" s="52">
        <f t="shared" si="4"/>
        <v>3.2362648305638104</v>
      </c>
      <c r="C53" s="52">
        <f t="shared" si="3"/>
        <v>1.3874999999999986</v>
      </c>
      <c r="D53" s="63">
        <f t="shared" si="5"/>
        <v>3.3551834505068672</v>
      </c>
      <c r="G53" t="s">
        <v>238</v>
      </c>
      <c r="H53">
        <f>G43/2</f>
        <v>1.2500000000000001E-2</v>
      </c>
    </row>
    <row r="54" spans="1:10" x14ac:dyDescent="0.3">
      <c r="A54" s="51">
        <f t="shared" si="6"/>
        <v>1.3999999999999986</v>
      </c>
      <c r="B54" s="52">
        <f t="shared" si="4"/>
        <v>3.4792343221177795</v>
      </c>
      <c r="C54" s="52">
        <f t="shared" si="3"/>
        <v>1.4124999999999985</v>
      </c>
      <c r="D54" s="63">
        <f t="shared" si="5"/>
        <v>3.6086797478367494</v>
      </c>
    </row>
    <row r="55" spans="1:10" x14ac:dyDescent="0.3">
      <c r="A55" s="51">
        <f t="shared" si="6"/>
        <v>1.4249999999999985</v>
      </c>
      <c r="B55" s="52">
        <f t="shared" si="4"/>
        <v>3.743796594048193</v>
      </c>
      <c r="C55" s="52">
        <f t="shared" si="3"/>
        <v>1.4374999999999984</v>
      </c>
      <c r="D55" s="63">
        <f t="shared" si="5"/>
        <v>3.8848771602697845</v>
      </c>
      <c r="H55" s="42" t="s">
        <v>245</v>
      </c>
      <c r="I55">
        <f>H53/3*(B38+B58 +4*SUM(D38:D57)+2*SUM(B39:B57))</f>
        <v>1.2455490513733127</v>
      </c>
    </row>
    <row r="56" spans="1:10" x14ac:dyDescent="0.3">
      <c r="A56" s="51">
        <f t="shared" si="6"/>
        <v>1.4499999999999984</v>
      </c>
      <c r="B56" s="52">
        <f t="shared" si="4"/>
        <v>4.0322301041846904</v>
      </c>
      <c r="C56" s="52">
        <f t="shared" si="3"/>
        <v>1.4624999999999984</v>
      </c>
      <c r="D56" s="63">
        <f t="shared" si="5"/>
        <v>4.1861814263060149</v>
      </c>
    </row>
    <row r="57" spans="1:10" x14ac:dyDescent="0.3">
      <c r="A57" s="51">
        <f t="shared" si="6"/>
        <v>1.4749999999999983</v>
      </c>
      <c r="B57" s="52">
        <f t="shared" si="4"/>
        <v>4.3470755183323684</v>
      </c>
      <c r="C57" s="57">
        <f t="shared" si="3"/>
        <v>1.4874999999999983</v>
      </c>
      <c r="D57" s="64">
        <f t="shared" si="5"/>
        <v>4.5152762795437065</v>
      </c>
      <c r="G57" t="s">
        <v>246</v>
      </c>
      <c r="I57" s="22">
        <f>ABS((I55-I48)/(2^4 - 1))</f>
        <v>2.5387706958923671E-8</v>
      </c>
    </row>
    <row r="58" spans="1:10" x14ac:dyDescent="0.3">
      <c r="A58" s="56">
        <f t="shared" si="6"/>
        <v>1.4999999999999982</v>
      </c>
      <c r="B58" s="57">
        <f t="shared" si="4"/>
        <v>4.6911683058983051</v>
      </c>
      <c r="G58" t="s">
        <v>247</v>
      </c>
      <c r="H58" s="19">
        <f>I55+(I55-I48)/(2^4 - 1)</f>
        <v>1.2455490259856057</v>
      </c>
      <c r="I58" s="48" t="s">
        <v>174</v>
      </c>
      <c r="J58" s="69">
        <f>I57</f>
        <v>2.5387706958923671E-8</v>
      </c>
    </row>
    <row r="59" spans="1:10" x14ac:dyDescent="0.3">
      <c r="A59" s="8"/>
      <c r="B59" s="8"/>
      <c r="C59" s="8"/>
      <c r="D59" s="8"/>
    </row>
    <row r="60" spans="1:10" x14ac:dyDescent="0.3">
      <c r="A60" s="8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10" workbookViewId="0">
      <selection activeCell="F8" sqref="F8"/>
    </sheetView>
  </sheetViews>
  <sheetFormatPr defaultRowHeight="14.4" x14ac:dyDescent="0.3"/>
  <cols>
    <col min="3" max="3" width="16.109375" customWidth="1"/>
    <col min="5" max="5" width="9.33203125" customWidth="1"/>
  </cols>
  <sheetData>
    <row r="1" spans="1:17" x14ac:dyDescent="0.3">
      <c r="A1" t="s">
        <v>266</v>
      </c>
      <c r="D1" t="s">
        <v>72</v>
      </c>
      <c r="E1">
        <v>1</v>
      </c>
    </row>
    <row r="2" spans="1:17" x14ac:dyDescent="0.3">
      <c r="D2" t="s">
        <v>268</v>
      </c>
      <c r="E2">
        <v>-1</v>
      </c>
      <c r="G2" t="s">
        <v>269</v>
      </c>
      <c r="I2" t="s">
        <v>270</v>
      </c>
    </row>
    <row r="3" spans="1:17" x14ac:dyDescent="0.3">
      <c r="C3" t="s">
        <v>267</v>
      </c>
      <c r="D3" t="s">
        <v>66</v>
      </c>
      <c r="E3">
        <v>0.1</v>
      </c>
    </row>
    <row r="5" spans="1:17" x14ac:dyDescent="0.3">
      <c r="F5" s="8"/>
      <c r="G5" s="8"/>
      <c r="H5" s="8"/>
      <c r="I5" s="8"/>
      <c r="J5" s="8"/>
      <c r="K5" s="8"/>
      <c r="L5" s="8"/>
      <c r="M5" s="8"/>
      <c r="N5" s="8"/>
    </row>
    <row r="6" spans="1:17" x14ac:dyDescent="0.3">
      <c r="C6" t="s">
        <v>283</v>
      </c>
      <c r="D6" t="s">
        <v>272</v>
      </c>
      <c r="E6" t="s">
        <v>282</v>
      </c>
    </row>
    <row r="7" spans="1:17" x14ac:dyDescent="0.3">
      <c r="A7" s="8" t="s">
        <v>164</v>
      </c>
      <c r="B7" s="8" t="s">
        <v>91</v>
      </c>
      <c r="C7" s="8" t="s">
        <v>271</v>
      </c>
      <c r="D7" s="8" t="s">
        <v>92</v>
      </c>
      <c r="E7" s="8" t="s">
        <v>92</v>
      </c>
      <c r="F7" s="8" t="s">
        <v>273</v>
      </c>
      <c r="G7" s="8" t="s">
        <v>274</v>
      </c>
      <c r="H7" s="8" t="s">
        <v>276</v>
      </c>
      <c r="I7" s="8" t="s">
        <v>275</v>
      </c>
      <c r="J7" s="8" t="s">
        <v>284</v>
      </c>
      <c r="K7" s="8" t="s">
        <v>277</v>
      </c>
      <c r="L7" s="8" t="s">
        <v>278</v>
      </c>
      <c r="M7" s="8" t="s">
        <v>279</v>
      </c>
      <c r="N7" s="8" t="s">
        <v>280</v>
      </c>
      <c r="O7" s="8" t="s">
        <v>281</v>
      </c>
      <c r="P7" s="8"/>
      <c r="Q7" s="8"/>
    </row>
    <row r="8" spans="1:17" x14ac:dyDescent="0.3">
      <c r="A8">
        <v>0</v>
      </c>
      <c r="B8">
        <f>$E$1</f>
        <v>1</v>
      </c>
      <c r="C8">
        <f>-1/B8</f>
        <v>-1</v>
      </c>
      <c r="D8">
        <f>$E$2</f>
        <v>-1</v>
      </c>
      <c r="E8">
        <f>$E$2</f>
        <v>-1</v>
      </c>
      <c r="F8">
        <f>(2*B8*E8+3)/B8^2</f>
        <v>1</v>
      </c>
      <c r="G8">
        <f>B8+$E$3/2</f>
        <v>1.05</v>
      </c>
      <c r="H8">
        <f>E8+F8*$E$3/2</f>
        <v>-0.95</v>
      </c>
      <c r="I8">
        <f>(2*G8*H8+3)/G8^2</f>
        <v>0.91156462585034026</v>
      </c>
      <c r="J8">
        <f>G8</f>
        <v>1.05</v>
      </c>
      <c r="K8">
        <f>E8+I8*$E$3/2</f>
        <v>-0.95442176870748296</v>
      </c>
      <c r="L8">
        <f>(2*J8*K8+3)/J8^2</f>
        <v>0.90314220926465805</v>
      </c>
      <c r="M8">
        <f>B8+$E$3</f>
        <v>1.1000000000000001</v>
      </c>
      <c r="N8">
        <f>E8+L8*$E$3</f>
        <v>-0.90968577907353421</v>
      </c>
      <c r="O8">
        <f>(2*M8*N8+3)/M8^2</f>
        <v>0.82536469920514421</v>
      </c>
    </row>
    <row r="9" spans="1:17" x14ac:dyDescent="0.3">
      <c r="A9">
        <f>A8+1</f>
        <v>1</v>
      </c>
      <c r="B9">
        <f>B8+$E$3</f>
        <v>1.1000000000000001</v>
      </c>
      <c r="C9">
        <f t="shared" ref="C9:C18" si="0">-1/B9</f>
        <v>-0.90909090909090906</v>
      </c>
      <c r="D9">
        <f>D8+$E$3*((2*B8*D8+3)/B8^2)</f>
        <v>-0.9</v>
      </c>
      <c r="E9">
        <f>E8+$E$3/6*(F8+2*I8+2*L8+O8)</f>
        <v>-0.90908702717608103</v>
      </c>
      <c r="F9">
        <f t="shared" ref="F9:F18" si="1">(2*B9*E9+3)/B9^2</f>
        <v>0.82645333901869533</v>
      </c>
      <c r="G9">
        <f t="shared" ref="G9:G18" si="2">B9+$E$3/2</f>
        <v>1.1500000000000001</v>
      </c>
      <c r="H9">
        <f t="shared" ref="H9:H18" si="3">E9+F9*$E$3/2</f>
        <v>-0.86776436022514625</v>
      </c>
      <c r="I9">
        <f t="shared" ref="I9:I18" si="4">(2*G9*H9+3)/G9^2</f>
        <v>0.75927559280314794</v>
      </c>
      <c r="J9">
        <f t="shared" ref="J9:J18" si="5">G9</f>
        <v>1.1500000000000001</v>
      </c>
      <c r="K9">
        <f t="shared" ref="K9:K18" si="6">E9+I9*$E$3/2</f>
        <v>-0.87112324753592363</v>
      </c>
      <c r="L9">
        <f t="shared" ref="L9:L18" si="7">(2*J9*K9+3)/J9^2</f>
        <v>0.75343404965396987</v>
      </c>
      <c r="M9">
        <f t="shared" ref="M9:M18" si="8">B9+$E$3</f>
        <v>1.2000000000000002</v>
      </c>
      <c r="N9">
        <f t="shared" ref="N9:N18" si="9">E9+L9*$E$3</f>
        <v>-0.83374362221068399</v>
      </c>
      <c r="O9">
        <f t="shared" ref="O9:O18" si="10">(2*M9*N9+3)/M9^2</f>
        <v>0.69376062964885976</v>
      </c>
    </row>
    <row r="10" spans="1:17" x14ac:dyDescent="0.3">
      <c r="A10">
        <f t="shared" ref="A10:A17" si="11">A9+1</f>
        <v>2</v>
      </c>
      <c r="B10">
        <f t="shared" ref="B10:B18" si="12">B9+$E$3</f>
        <v>1.2000000000000002</v>
      </c>
      <c r="C10">
        <f t="shared" si="0"/>
        <v>-0.83333333333333326</v>
      </c>
      <c r="D10">
        <f t="shared" ref="D10:D18" si="13">D9+$E$3*((2*B9*D9+3)/B9^2)</f>
        <v>-0.81570247933884299</v>
      </c>
      <c r="E10">
        <f t="shared" ref="E10:E18" si="14">E9+$E$3/6*(F9+2*I9+2*L9+O9)</f>
        <v>-0.83332647294971784</v>
      </c>
      <c r="F10">
        <f t="shared" si="1"/>
        <v>0.69445587841713652</v>
      </c>
      <c r="G10">
        <f t="shared" si="2"/>
        <v>1.2500000000000002</v>
      </c>
      <c r="H10">
        <f t="shared" si="3"/>
        <v>-0.79860367902886098</v>
      </c>
      <c r="I10">
        <f t="shared" si="4"/>
        <v>0.64223411355382209</v>
      </c>
      <c r="J10">
        <f t="shared" si="5"/>
        <v>1.2500000000000002</v>
      </c>
      <c r="K10">
        <f t="shared" si="6"/>
        <v>-0.80121476727202678</v>
      </c>
      <c r="L10">
        <f t="shared" si="7"/>
        <v>0.63805637236475676</v>
      </c>
      <c r="M10">
        <f t="shared" si="8"/>
        <v>1.3000000000000003</v>
      </c>
      <c r="N10">
        <f t="shared" si="9"/>
        <v>-0.76952083571324215</v>
      </c>
      <c r="O10">
        <f t="shared" si="10"/>
        <v>0.5912697202044791</v>
      </c>
    </row>
    <row r="11" spans="1:17" x14ac:dyDescent="0.3">
      <c r="A11">
        <f t="shared" si="11"/>
        <v>3</v>
      </c>
      <c r="B11">
        <f t="shared" si="12"/>
        <v>1.3000000000000003</v>
      </c>
      <c r="C11">
        <f t="shared" si="0"/>
        <v>-0.76923076923076905</v>
      </c>
      <c r="D11">
        <f t="shared" si="13"/>
        <v>-0.74331955922865023</v>
      </c>
      <c r="E11">
        <f t="shared" si="14"/>
        <v>-0.76922136344207159</v>
      </c>
      <c r="F11">
        <f t="shared" si="1"/>
        <v>0.59173044677551068</v>
      </c>
      <c r="G11">
        <f t="shared" si="2"/>
        <v>1.3500000000000003</v>
      </c>
      <c r="H11">
        <f t="shared" si="3"/>
        <v>-0.73963484110329603</v>
      </c>
      <c r="I11">
        <f t="shared" si="4"/>
        <v>0.55033521482639225</v>
      </c>
      <c r="J11">
        <f t="shared" si="5"/>
        <v>1.3500000000000003</v>
      </c>
      <c r="K11">
        <f t="shared" si="6"/>
        <v>-0.741704602700752</v>
      </c>
      <c r="L11">
        <f t="shared" si="7"/>
        <v>0.54726890134867956</v>
      </c>
      <c r="M11">
        <f t="shared" si="8"/>
        <v>1.4000000000000004</v>
      </c>
      <c r="N11">
        <f t="shared" si="9"/>
        <v>-0.71449447330720361</v>
      </c>
      <c r="O11">
        <f t="shared" si="10"/>
        <v>0.5099058544590962</v>
      </c>
    </row>
    <row r="12" spans="1:17" x14ac:dyDescent="0.3">
      <c r="A12">
        <f t="shared" si="11"/>
        <v>4</v>
      </c>
      <c r="B12">
        <f t="shared" si="12"/>
        <v>1.4000000000000004</v>
      </c>
      <c r="C12">
        <f t="shared" si="0"/>
        <v>-0.71428571428571408</v>
      </c>
      <c r="D12">
        <f t="shared" si="13"/>
        <v>-0.68016162159518823</v>
      </c>
      <c r="E12">
        <f t="shared" si="14"/>
        <v>-0.71427395454899245</v>
      </c>
      <c r="F12">
        <f t="shared" si="1"/>
        <v>0.51022088125654086</v>
      </c>
      <c r="G12">
        <f t="shared" si="2"/>
        <v>1.4500000000000004</v>
      </c>
      <c r="H12">
        <f t="shared" si="3"/>
        <v>-0.68876291048616545</v>
      </c>
      <c r="I12">
        <f t="shared" si="4"/>
        <v>0.47685496294417079</v>
      </c>
      <c r="J12">
        <f t="shared" si="5"/>
        <v>1.4500000000000004</v>
      </c>
      <c r="K12">
        <f t="shared" si="6"/>
        <v>-0.6904312064017839</v>
      </c>
      <c r="L12">
        <f t="shared" si="7"/>
        <v>0.47455386512952469</v>
      </c>
      <c r="M12">
        <f t="shared" si="8"/>
        <v>1.5000000000000004</v>
      </c>
      <c r="N12">
        <f t="shared" si="9"/>
        <v>-0.66681856803604</v>
      </c>
      <c r="O12">
        <f t="shared" si="10"/>
        <v>0.4442419092852794</v>
      </c>
    </row>
    <row r="13" spans="1:17" x14ac:dyDescent="0.3">
      <c r="A13">
        <f t="shared" si="11"/>
        <v>5</v>
      </c>
      <c r="B13">
        <f t="shared" si="12"/>
        <v>1.5000000000000004</v>
      </c>
      <c r="C13">
        <f t="shared" si="0"/>
        <v>-0.66666666666666652</v>
      </c>
      <c r="D13">
        <f t="shared" si="13"/>
        <v>-0.62426634304756212</v>
      </c>
      <c r="E13">
        <f t="shared" si="14"/>
        <v>-0.66665261377083895</v>
      </c>
      <c r="F13">
        <f t="shared" si="1"/>
        <v>0.44446318163888088</v>
      </c>
      <c r="G13">
        <f t="shared" si="2"/>
        <v>1.5500000000000005</v>
      </c>
      <c r="H13">
        <f t="shared" si="3"/>
        <v>-0.6444294546888949</v>
      </c>
      <c r="I13">
        <f t="shared" si="4"/>
        <v>0.41717739457416209</v>
      </c>
      <c r="J13">
        <f t="shared" si="5"/>
        <v>1.5500000000000005</v>
      </c>
      <c r="K13">
        <f t="shared" si="6"/>
        <v>-0.64579374404213086</v>
      </c>
      <c r="L13">
        <f t="shared" si="7"/>
        <v>0.41541702121514806</v>
      </c>
      <c r="M13">
        <f t="shared" si="8"/>
        <v>1.6000000000000005</v>
      </c>
      <c r="N13">
        <f t="shared" si="9"/>
        <v>-0.62511091164932409</v>
      </c>
      <c r="O13">
        <f t="shared" si="10"/>
        <v>0.39048636043834428</v>
      </c>
    </row>
    <row r="14" spans="1:17" x14ac:dyDescent="0.3">
      <c r="A14">
        <f t="shared" si="11"/>
        <v>6</v>
      </c>
      <c r="B14">
        <f t="shared" si="12"/>
        <v>1.6000000000000005</v>
      </c>
      <c r="C14">
        <f t="shared" si="0"/>
        <v>-0.62499999999999978</v>
      </c>
      <c r="D14">
        <f t="shared" si="13"/>
        <v>-0.57416852212057046</v>
      </c>
      <c r="E14">
        <f t="shared" si="14"/>
        <v>-0.62498364087657488</v>
      </c>
      <c r="F14">
        <f t="shared" si="1"/>
        <v>0.39064544890428088</v>
      </c>
      <c r="G14">
        <f t="shared" si="2"/>
        <v>1.6500000000000006</v>
      </c>
      <c r="H14">
        <f t="shared" si="3"/>
        <v>-0.60545136843136083</v>
      </c>
      <c r="I14">
        <f t="shared" si="4"/>
        <v>0.36804792807217918</v>
      </c>
      <c r="J14">
        <f t="shared" si="5"/>
        <v>1.6500000000000006</v>
      </c>
      <c r="K14">
        <f t="shared" si="6"/>
        <v>-0.60658124447296591</v>
      </c>
      <c r="L14">
        <f t="shared" si="7"/>
        <v>0.36667838135508218</v>
      </c>
      <c r="M14">
        <f t="shared" si="8"/>
        <v>1.7000000000000006</v>
      </c>
      <c r="N14">
        <f t="shared" si="9"/>
        <v>-0.58831580274106665</v>
      </c>
      <c r="O14">
        <f t="shared" si="10"/>
        <v>0.34592604521812181</v>
      </c>
    </row>
    <row r="15" spans="1:17" x14ac:dyDescent="0.3">
      <c r="A15">
        <f t="shared" si="11"/>
        <v>7</v>
      </c>
      <c r="B15">
        <f t="shared" si="12"/>
        <v>1.7000000000000006</v>
      </c>
      <c r="C15">
        <f t="shared" si="0"/>
        <v>-0.58823529411764686</v>
      </c>
      <c r="D15">
        <f t="shared" si="13"/>
        <v>-0.52875208738564183</v>
      </c>
      <c r="E15">
        <f t="shared" si="14"/>
        <v>-0.58821657232695945</v>
      </c>
      <c r="F15">
        <f t="shared" si="1"/>
        <v>0.34604278688177736</v>
      </c>
      <c r="G15">
        <f t="shared" si="2"/>
        <v>1.7500000000000007</v>
      </c>
      <c r="H15">
        <f t="shared" si="3"/>
        <v>-0.57091443298287059</v>
      </c>
      <c r="I15">
        <f t="shared" si="4"/>
        <v>0.32711819903998418</v>
      </c>
      <c r="J15">
        <f t="shared" si="5"/>
        <v>1.7500000000000007</v>
      </c>
      <c r="K15">
        <f t="shared" si="6"/>
        <v>-0.57186066237496025</v>
      </c>
      <c r="L15">
        <f t="shared" si="7"/>
        <v>0.32603679402045305</v>
      </c>
      <c r="M15">
        <f t="shared" si="8"/>
        <v>1.8000000000000007</v>
      </c>
      <c r="N15">
        <f t="shared" si="9"/>
        <v>-0.55561289292491411</v>
      </c>
      <c r="O15">
        <f t="shared" si="10"/>
        <v>0.30857826712046538</v>
      </c>
    </row>
    <row r="16" spans="1:17" x14ac:dyDescent="0.3">
      <c r="A16">
        <f t="shared" si="11"/>
        <v>8</v>
      </c>
      <c r="B16">
        <f t="shared" si="12"/>
        <v>1.8000000000000007</v>
      </c>
      <c r="C16">
        <f t="shared" si="0"/>
        <v>-0.55555555555555536</v>
      </c>
      <c r="D16">
        <f t="shared" si="13"/>
        <v>-0.487151986939662</v>
      </c>
      <c r="E16">
        <f t="shared" si="14"/>
        <v>-0.55553438832490754</v>
      </c>
      <c r="F16">
        <f t="shared" si="1"/>
        <v>0.30866549445380592</v>
      </c>
      <c r="G16">
        <f t="shared" si="2"/>
        <v>1.8500000000000008</v>
      </c>
      <c r="H16">
        <f t="shared" si="3"/>
        <v>-0.54010111360221724</v>
      </c>
      <c r="I16">
        <f t="shared" si="4"/>
        <v>0.29265913211739797</v>
      </c>
      <c r="J16">
        <f t="shared" si="5"/>
        <v>1.8500000000000008</v>
      </c>
      <c r="K16">
        <f t="shared" si="6"/>
        <v>-0.5409014317190376</v>
      </c>
      <c r="L16">
        <f t="shared" si="7"/>
        <v>0.29179392334245702</v>
      </c>
      <c r="M16">
        <f t="shared" si="8"/>
        <v>1.9000000000000008</v>
      </c>
      <c r="N16">
        <f t="shared" si="9"/>
        <v>-0.52635499599066182</v>
      </c>
      <c r="O16">
        <f t="shared" si="10"/>
        <v>0.27696704023143581</v>
      </c>
    </row>
    <row r="17" spans="1:15" x14ac:dyDescent="0.3">
      <c r="A17">
        <f t="shared" si="11"/>
        <v>9</v>
      </c>
      <c r="B17">
        <f t="shared" si="12"/>
        <v>1.9000000000000008</v>
      </c>
      <c r="C17">
        <f t="shared" si="0"/>
        <v>-0.52631578947368396</v>
      </c>
      <c r="D17">
        <f t="shared" si="13"/>
        <v>-0.4486873928959208</v>
      </c>
      <c r="E17">
        <f t="shared" si="14"/>
        <v>-0.52629207756482499</v>
      </c>
      <c r="F17">
        <f t="shared" si="1"/>
        <v>0.27703327015336932</v>
      </c>
      <c r="G17">
        <f t="shared" si="2"/>
        <v>1.9500000000000008</v>
      </c>
      <c r="H17">
        <f t="shared" si="3"/>
        <v>-0.51244041405715657</v>
      </c>
      <c r="I17">
        <f t="shared" si="4"/>
        <v>0.26337472325498684</v>
      </c>
      <c r="J17">
        <f t="shared" si="5"/>
        <v>1.9500000000000008</v>
      </c>
      <c r="K17">
        <f t="shared" si="6"/>
        <v>-0.51312334140207561</v>
      </c>
      <c r="L17">
        <f t="shared" si="7"/>
        <v>0.26267428495250589</v>
      </c>
      <c r="M17">
        <f t="shared" si="8"/>
        <v>2.0000000000000009</v>
      </c>
      <c r="N17">
        <f t="shared" si="9"/>
        <v>-0.50002464906957445</v>
      </c>
      <c r="O17">
        <f t="shared" si="10"/>
        <v>0.24997535093042511</v>
      </c>
    </row>
    <row r="18" spans="1:15" x14ac:dyDescent="0.3">
      <c r="A18">
        <f>A17+1</f>
        <v>10</v>
      </c>
      <c r="B18">
        <f t="shared" si="12"/>
        <v>2.0000000000000009</v>
      </c>
      <c r="C18">
        <f t="shared" si="0"/>
        <v>-0.49999999999999978</v>
      </c>
      <c r="D18">
        <f t="shared" si="13"/>
        <v>-0.41281515170490973</v>
      </c>
      <c r="E18">
        <f t="shared" si="14"/>
        <v>-0.49997363360651198</v>
      </c>
      <c r="F18">
        <f t="shared" si="1"/>
        <v>0.25002636639348758</v>
      </c>
      <c r="G18">
        <f t="shared" si="2"/>
        <v>2.0500000000000007</v>
      </c>
      <c r="H18">
        <f t="shared" si="3"/>
        <v>-0.4874723152868376</v>
      </c>
      <c r="I18">
        <f t="shared" si="4"/>
        <v>0.23827805052325146</v>
      </c>
      <c r="J18">
        <f t="shared" si="5"/>
        <v>2.0500000000000007</v>
      </c>
      <c r="K18">
        <f t="shared" si="6"/>
        <v>-0.48805973108034939</v>
      </c>
      <c r="L18">
        <f t="shared" si="7"/>
        <v>0.23770496194421559</v>
      </c>
      <c r="M18">
        <f t="shared" si="8"/>
        <v>2.100000000000001</v>
      </c>
      <c r="N18">
        <f t="shared" si="9"/>
        <v>-0.47620313741209042</v>
      </c>
      <c r="O18">
        <f t="shared" si="10"/>
        <v>0.22674531130821282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F11" sqref="F11:F20"/>
    </sheetView>
  </sheetViews>
  <sheetFormatPr defaultRowHeight="14.4" x14ac:dyDescent="0.3"/>
  <sheetData>
    <row r="1" spans="1:10" x14ac:dyDescent="0.3">
      <c r="A1" t="s">
        <v>90</v>
      </c>
      <c r="I1" s="9" t="s">
        <v>285</v>
      </c>
      <c r="J1" s="42">
        <v>0</v>
      </c>
    </row>
    <row r="2" spans="1:10" x14ac:dyDescent="0.3">
      <c r="F2" s="9" t="s">
        <v>66</v>
      </c>
      <c r="G2" s="42">
        <v>0.1</v>
      </c>
      <c r="I2" s="9" t="s">
        <v>286</v>
      </c>
      <c r="J2" s="42">
        <v>2</v>
      </c>
    </row>
    <row r="3" spans="1:10" x14ac:dyDescent="0.3">
      <c r="I3" s="9" t="s">
        <v>287</v>
      </c>
      <c r="J3" s="42">
        <v>2</v>
      </c>
    </row>
    <row r="4" spans="1:10" x14ac:dyDescent="0.3">
      <c r="J4" s="42"/>
    </row>
    <row r="5" spans="1:10" x14ac:dyDescent="0.3">
      <c r="E5" s="9" t="s">
        <v>288</v>
      </c>
      <c r="F5" t="s">
        <v>290</v>
      </c>
    </row>
    <row r="6" spans="1:10" x14ac:dyDescent="0.3">
      <c r="E6" s="9" t="s">
        <v>289</v>
      </c>
      <c r="F6" t="s">
        <v>291</v>
      </c>
      <c r="I6" t="s">
        <v>292</v>
      </c>
    </row>
    <row r="8" spans="1:10" x14ac:dyDescent="0.3">
      <c r="C8" t="s">
        <v>294</v>
      </c>
      <c r="E8" s="9" t="s">
        <v>272</v>
      </c>
      <c r="F8" s="9"/>
    </row>
    <row r="9" spans="1:10" x14ac:dyDescent="0.3">
      <c r="A9" s="8" t="s">
        <v>164</v>
      </c>
      <c r="B9" s="8" t="s">
        <v>91</v>
      </c>
      <c r="C9" s="8" t="s">
        <v>293</v>
      </c>
      <c r="E9" s="8" t="s">
        <v>92</v>
      </c>
      <c r="F9" s="8" t="s">
        <v>295</v>
      </c>
    </row>
    <row r="10" spans="1:10" x14ac:dyDescent="0.3">
      <c r="A10" s="8">
        <v>0</v>
      </c>
      <c r="B10" s="8">
        <f>J1</f>
        <v>0</v>
      </c>
      <c r="C10" s="75">
        <f>B10^3 - B10^2 + 3*B10/2 - EXP(-2*B10)/4 + 9/4</f>
        <v>2</v>
      </c>
      <c r="E10" s="75">
        <f>J2</f>
        <v>2</v>
      </c>
      <c r="F10" s="8">
        <f>J3</f>
        <v>2</v>
      </c>
    </row>
    <row r="11" spans="1:10" x14ac:dyDescent="0.3">
      <c r="A11" s="8">
        <f>A10+1</f>
        <v>1</v>
      </c>
      <c r="B11" s="8">
        <f>B10+$G$2</f>
        <v>0.1</v>
      </c>
      <c r="C11" s="75">
        <f t="shared" ref="C11:C20" si="0">B11^3 - B11^2 + 3*B11/2 - EXP(-2*B11)/4 + 9/4</f>
        <v>2.1863173117305044</v>
      </c>
      <c r="E11" s="75">
        <f>E10+$G$2*F10</f>
        <v>2.2000000000000002</v>
      </c>
      <c r="F11" s="8">
        <f>F10+$G$2*(6*B10^2+2*B10+1-2*F10)</f>
        <v>1.7</v>
      </c>
    </row>
    <row r="12" spans="1:10" x14ac:dyDescent="0.3">
      <c r="A12" s="8">
        <f t="shared" ref="A12:A20" si="1">A11+1</f>
        <v>2</v>
      </c>
      <c r="B12" s="8">
        <f t="shared" ref="B12:B20" si="2">B11+$G$2</f>
        <v>0.2</v>
      </c>
      <c r="C12" s="75">
        <f t="shared" si="0"/>
        <v>2.3504199884910904</v>
      </c>
      <c r="E12" s="75">
        <f t="shared" ref="E12:E20" si="3">E11+$G$2*F11</f>
        <v>2.37</v>
      </c>
      <c r="F12" s="8">
        <f t="shared" ref="F12:F20" si="4">F11+$G$2*(6*B11^2+2*B11+1-2*F11)</f>
        <v>1.486</v>
      </c>
    </row>
    <row r="13" spans="1:10" x14ac:dyDescent="0.3">
      <c r="A13" s="8">
        <f t="shared" si="1"/>
        <v>3</v>
      </c>
      <c r="B13" s="8">
        <f t="shared" si="2"/>
        <v>0.30000000000000004</v>
      </c>
      <c r="C13" s="75">
        <f t="shared" si="0"/>
        <v>2.4997970909764935</v>
      </c>
      <c r="E13" s="75">
        <f t="shared" si="3"/>
        <v>2.5186000000000002</v>
      </c>
      <c r="F13" s="8">
        <f t="shared" si="4"/>
        <v>1.3528</v>
      </c>
    </row>
    <row r="14" spans="1:10" x14ac:dyDescent="0.3">
      <c r="A14" s="8">
        <f t="shared" si="1"/>
        <v>4</v>
      </c>
      <c r="B14" s="8">
        <f t="shared" si="2"/>
        <v>0.4</v>
      </c>
      <c r="C14" s="75">
        <f t="shared" si="0"/>
        <v>2.6416677589706947</v>
      </c>
      <c r="E14" s="75">
        <f t="shared" si="3"/>
        <v>2.65388</v>
      </c>
      <c r="F14" s="8">
        <f t="shared" si="4"/>
        <v>1.2962400000000001</v>
      </c>
    </row>
    <row r="15" spans="1:10" x14ac:dyDescent="0.3">
      <c r="A15" s="8">
        <f t="shared" si="1"/>
        <v>5</v>
      </c>
      <c r="B15" s="8">
        <f t="shared" si="2"/>
        <v>0.5</v>
      </c>
      <c r="C15" s="75">
        <f t="shared" si="0"/>
        <v>2.7830301397071393</v>
      </c>
      <c r="E15" s="75">
        <f t="shared" si="3"/>
        <v>2.7835040000000002</v>
      </c>
      <c r="F15" s="8">
        <f t="shared" si="4"/>
        <v>1.3129920000000002</v>
      </c>
    </row>
    <row r="16" spans="1:10" x14ac:dyDescent="0.3">
      <c r="A16" s="8">
        <f t="shared" si="1"/>
        <v>6</v>
      </c>
      <c r="B16" s="8">
        <f t="shared" si="2"/>
        <v>0.6</v>
      </c>
      <c r="C16" s="75">
        <f t="shared" si="0"/>
        <v>2.9307014470219492</v>
      </c>
      <c r="E16" s="75">
        <f t="shared" si="3"/>
        <v>2.9148032000000001</v>
      </c>
      <c r="F16" s="8">
        <f t="shared" si="4"/>
        <v>1.4003936000000001</v>
      </c>
    </row>
    <row r="17" spans="1:19" x14ac:dyDescent="0.3">
      <c r="A17" s="8">
        <f t="shared" si="1"/>
        <v>7</v>
      </c>
      <c r="B17" s="8">
        <f t="shared" si="2"/>
        <v>0.7</v>
      </c>
      <c r="C17" s="75">
        <f t="shared" si="0"/>
        <v>3.0913507590145981</v>
      </c>
      <c r="E17" s="75">
        <f t="shared" si="3"/>
        <v>3.05484256</v>
      </c>
      <c r="F17" s="8">
        <f t="shared" si="4"/>
        <v>1.5563148800000002</v>
      </c>
    </row>
    <row r="18" spans="1:19" x14ac:dyDescent="0.3">
      <c r="A18" s="8">
        <f t="shared" si="1"/>
        <v>8</v>
      </c>
      <c r="B18" s="8">
        <f t="shared" si="2"/>
        <v>0.79999999999999993</v>
      </c>
      <c r="C18" s="75">
        <f t="shared" si="0"/>
        <v>3.2715258705013364</v>
      </c>
      <c r="E18" s="75">
        <f t="shared" si="3"/>
        <v>3.210474048</v>
      </c>
      <c r="F18" s="8">
        <f t="shared" si="4"/>
        <v>1.7790519040000001</v>
      </c>
    </row>
    <row r="19" spans="1:19" x14ac:dyDescent="0.3">
      <c r="A19" s="8">
        <f t="shared" si="1"/>
        <v>9</v>
      </c>
      <c r="B19" s="8">
        <f t="shared" si="2"/>
        <v>0.89999999999999991</v>
      </c>
      <c r="C19" s="75">
        <f t="shared" si="0"/>
        <v>3.477675277944603</v>
      </c>
      <c r="E19" s="75">
        <f t="shared" si="3"/>
        <v>3.3883792384000002</v>
      </c>
      <c r="F19" s="8">
        <f t="shared" si="4"/>
        <v>2.0672415231999999</v>
      </c>
    </row>
    <row r="20" spans="1:19" x14ac:dyDescent="0.3">
      <c r="A20" s="8">
        <f t="shared" si="1"/>
        <v>10</v>
      </c>
      <c r="B20" s="8">
        <f t="shared" si="2"/>
        <v>0.99999999999999989</v>
      </c>
      <c r="C20" s="75">
        <f t="shared" si="0"/>
        <v>3.7161661791908465</v>
      </c>
      <c r="E20" s="75">
        <f t="shared" si="3"/>
        <v>3.5951033907200003</v>
      </c>
      <c r="F20" s="8">
        <f t="shared" si="4"/>
        <v>2.4197932185599997</v>
      </c>
    </row>
    <row r="22" spans="1:19" x14ac:dyDescent="0.3">
      <c r="A22" t="s">
        <v>296</v>
      </c>
    </row>
    <row r="23" spans="1:19" x14ac:dyDescent="0.3">
      <c r="A23" s="8" t="s">
        <v>92</v>
      </c>
      <c r="B23" s="8" t="s">
        <v>295</v>
      </c>
      <c r="C23" s="8" t="s">
        <v>273</v>
      </c>
      <c r="D23" s="8" t="s">
        <v>297</v>
      </c>
      <c r="E23" s="8" t="s">
        <v>284</v>
      </c>
      <c r="F23" s="8" t="s">
        <v>298</v>
      </c>
      <c r="G23" s="8" t="s">
        <v>299</v>
      </c>
      <c r="H23" s="8" t="s">
        <v>275</v>
      </c>
      <c r="I23" s="8" t="s">
        <v>300</v>
      </c>
      <c r="J23" s="8" t="s">
        <v>284</v>
      </c>
      <c r="K23" s="8" t="s">
        <v>277</v>
      </c>
      <c r="L23" s="8" t="s">
        <v>301</v>
      </c>
      <c r="M23" s="8" t="s">
        <v>278</v>
      </c>
      <c r="N23" s="8" t="s">
        <v>302</v>
      </c>
      <c r="O23" s="8" t="s">
        <v>279</v>
      </c>
      <c r="P23" s="8" t="s">
        <v>280</v>
      </c>
      <c r="Q23" s="8" t="s">
        <v>303</v>
      </c>
      <c r="R23" s="8" t="s">
        <v>281</v>
      </c>
      <c r="S23" s="8" t="s">
        <v>304</v>
      </c>
    </row>
    <row r="24" spans="1:19" x14ac:dyDescent="0.3">
      <c r="A24" s="75">
        <f>J2</f>
        <v>2</v>
      </c>
      <c r="B24" s="8">
        <f>J3</f>
        <v>2</v>
      </c>
      <c r="C24" s="8">
        <f>B24</f>
        <v>2</v>
      </c>
      <c r="D24" s="8">
        <f>6*B10^2 + 2*B10 +1 - 2*B24</f>
        <v>-3</v>
      </c>
      <c r="E24" s="8">
        <f>B10+$G$2/2</f>
        <v>0.05</v>
      </c>
      <c r="F24" s="8">
        <f>A24+C24*$G$2/2</f>
        <v>2.1</v>
      </c>
      <c r="G24" s="8">
        <f>B24+D24*$G$2/2</f>
        <v>1.85</v>
      </c>
      <c r="H24" s="8">
        <f>G24</f>
        <v>1.85</v>
      </c>
      <c r="I24" s="8">
        <f>6*E24^2 + 2*E24 +1 - 2*G24</f>
        <v>-2.585</v>
      </c>
      <c r="J24" s="8">
        <f>E24</f>
        <v>0.05</v>
      </c>
      <c r="K24" s="8">
        <f>A24+H24*$G$2/2</f>
        <v>2.0924999999999998</v>
      </c>
      <c r="L24" s="8">
        <f>B24+I24*$G$2/2</f>
        <v>1.8707499999999999</v>
      </c>
      <c r="M24" s="8">
        <f>L24</f>
        <v>1.8707499999999999</v>
      </c>
      <c r="N24" s="8">
        <f>6*J24^2 + 2*J24 +1 - 2*L24</f>
        <v>-2.6265000000000001</v>
      </c>
      <c r="O24" s="8">
        <f>B10+$G$2</f>
        <v>0.1</v>
      </c>
      <c r="P24" s="8">
        <f>A24+M24*$G$2</f>
        <v>2.1870750000000001</v>
      </c>
      <c r="Q24" s="8">
        <f>B24+N24*$G$2</f>
        <v>1.7373499999999999</v>
      </c>
      <c r="R24" s="8">
        <f>Q24</f>
        <v>1.7373499999999999</v>
      </c>
      <c r="S24" s="8">
        <f>6*O24^2 + 2*O24 +1 - 2*Q24</f>
        <v>-2.2146999999999997</v>
      </c>
    </row>
    <row r="25" spans="1:19" x14ac:dyDescent="0.3">
      <c r="A25" s="75">
        <f>A24+$G$2/6*(C24+2*H24+2*M24+R24)</f>
        <v>2.1863141666666666</v>
      </c>
      <c r="B25" s="8">
        <f>B24+$G$2/6*(D24+2*I24+2*N24+S24)</f>
        <v>1.7393716666666668</v>
      </c>
      <c r="C25" s="8">
        <f t="shared" ref="C25:C33" si="5">B25</f>
        <v>1.7393716666666668</v>
      </c>
      <c r="D25" s="8">
        <f t="shared" ref="D25:D33" si="6">6*B11^2 + 2*B11 +1 - 2*B25</f>
        <v>-2.2187433333333333</v>
      </c>
      <c r="E25" s="8">
        <f t="shared" ref="E25:E33" si="7">B11+$G$2/2</f>
        <v>0.15000000000000002</v>
      </c>
      <c r="F25" s="8">
        <f t="shared" ref="F25:F33" si="8">A25+C25*$G$2/2</f>
        <v>2.2732827499999999</v>
      </c>
      <c r="G25" s="8">
        <f t="shared" ref="G25:G33" si="9">B25+D25*$G$2/2</f>
        <v>1.6284345</v>
      </c>
      <c r="H25" s="8">
        <f t="shared" ref="H25:H33" si="10">G25</f>
        <v>1.6284345</v>
      </c>
      <c r="I25" s="8">
        <f t="shared" ref="I25:I33" si="11">6*E25^2 + 2*E25 +1 - 2*G25</f>
        <v>-1.821869</v>
      </c>
      <c r="J25" s="8">
        <f t="shared" ref="J25:J33" si="12">E25</f>
        <v>0.15000000000000002</v>
      </c>
      <c r="K25" s="8">
        <f t="shared" ref="K25:K33" si="13">A25+H25*$G$2/2</f>
        <v>2.2677358916666668</v>
      </c>
      <c r="L25" s="8">
        <f t="shared" ref="L25:L33" si="14">B25+I25*$G$2/2</f>
        <v>1.6482782166666667</v>
      </c>
      <c r="M25" s="8">
        <f t="shared" ref="M25:M33" si="15">L25</f>
        <v>1.6482782166666667</v>
      </c>
      <c r="N25" s="8">
        <f t="shared" ref="N25:N33" si="16">6*J25^2 + 2*J25 +1 - 2*L25</f>
        <v>-1.8615564333333334</v>
      </c>
      <c r="O25" s="8">
        <f t="shared" ref="O25:O33" si="17">B11+$G$2</f>
        <v>0.2</v>
      </c>
      <c r="P25" s="8">
        <f t="shared" ref="P25:P33" si="18">A25+M25*$G$2</f>
        <v>2.3511419883333331</v>
      </c>
      <c r="Q25" s="8">
        <f t="shared" ref="Q25:Q33" si="19">B25+N25*$G$2</f>
        <v>1.5532160233333334</v>
      </c>
      <c r="R25" s="8">
        <f t="shared" ref="R25:R33" si="20">Q25</f>
        <v>1.5532160233333334</v>
      </c>
      <c r="S25" s="8">
        <f t="shared" ref="S25:S33" si="21">6*O25^2 + 2*O25 +1 - 2*Q25</f>
        <v>-1.4664320466666667</v>
      </c>
    </row>
    <row r="26" spans="1:19" x14ac:dyDescent="0.3">
      <c r="A26" s="75">
        <f t="shared" ref="A26:A33" si="22">A25+$G$2/6*(C25+2*H25+2*M25+R25)</f>
        <v>2.3504143853888886</v>
      </c>
      <c r="B26" s="8">
        <f t="shared" ref="B26:B33" si="23">B25+$G$2/6*(D25+2*I25+2*N25+S25)</f>
        <v>1.5551712292222224</v>
      </c>
      <c r="C26" s="8">
        <f t="shared" si="5"/>
        <v>1.5551712292222224</v>
      </c>
      <c r="D26" s="8">
        <f t="shared" si="6"/>
        <v>-1.4703424584444447</v>
      </c>
      <c r="E26" s="8">
        <f t="shared" si="7"/>
        <v>0.25</v>
      </c>
      <c r="F26" s="8">
        <f t="shared" si="8"/>
        <v>2.4281729468499997</v>
      </c>
      <c r="G26" s="8">
        <f t="shared" si="9"/>
        <v>1.4816541063000002</v>
      </c>
      <c r="H26" s="8">
        <f t="shared" si="10"/>
        <v>1.4816541063000002</v>
      </c>
      <c r="I26" s="8">
        <f t="shared" si="11"/>
        <v>-1.0883082126000003</v>
      </c>
      <c r="J26" s="8">
        <f t="shared" si="12"/>
        <v>0.25</v>
      </c>
      <c r="K26" s="8">
        <f t="shared" si="13"/>
        <v>2.4244970907038885</v>
      </c>
      <c r="L26" s="8">
        <f t="shared" si="14"/>
        <v>1.5007558185922223</v>
      </c>
      <c r="M26" s="8">
        <f t="shared" si="15"/>
        <v>1.5007558185922223</v>
      </c>
      <c r="N26" s="8">
        <f t="shared" si="16"/>
        <v>-1.1265116371844446</v>
      </c>
      <c r="O26" s="8">
        <f t="shared" si="17"/>
        <v>0.30000000000000004</v>
      </c>
      <c r="P26" s="8">
        <f t="shared" si="18"/>
        <v>2.5004899672481109</v>
      </c>
      <c r="Q26" s="8">
        <f t="shared" si="19"/>
        <v>1.442520065503778</v>
      </c>
      <c r="R26" s="8">
        <f t="shared" si="20"/>
        <v>1.442520065503778</v>
      </c>
      <c r="S26" s="8">
        <f t="shared" si="21"/>
        <v>-0.74504013100755584</v>
      </c>
    </row>
    <row r="27" spans="1:19" x14ac:dyDescent="0.3">
      <c r="A27" s="75">
        <f t="shared" si="22"/>
        <v>2.4997895711307292</v>
      </c>
      <c r="B27" s="8">
        <f t="shared" si="23"/>
        <v>1.4444208577385409</v>
      </c>
      <c r="C27" s="8">
        <f t="shared" si="5"/>
        <v>1.4444208577385409</v>
      </c>
      <c r="D27" s="8">
        <f t="shared" si="6"/>
        <v>-0.74884171547708167</v>
      </c>
      <c r="E27" s="8">
        <f t="shared" si="7"/>
        <v>0.35000000000000003</v>
      </c>
      <c r="F27" s="8">
        <f t="shared" si="8"/>
        <v>2.5720106140176564</v>
      </c>
      <c r="G27" s="8">
        <f t="shared" si="9"/>
        <v>1.4069787719646869</v>
      </c>
      <c r="H27" s="8">
        <f t="shared" si="10"/>
        <v>1.4069787719646869</v>
      </c>
      <c r="I27" s="8">
        <f t="shared" si="11"/>
        <v>-0.37895754392937375</v>
      </c>
      <c r="J27" s="8">
        <f t="shared" si="12"/>
        <v>0.35000000000000003</v>
      </c>
      <c r="K27" s="8">
        <f t="shared" si="13"/>
        <v>2.5701385097289635</v>
      </c>
      <c r="L27" s="8">
        <f t="shared" si="14"/>
        <v>1.4254729805420723</v>
      </c>
      <c r="M27" s="8">
        <f t="shared" si="15"/>
        <v>1.4254729805420723</v>
      </c>
      <c r="N27" s="8">
        <f t="shared" si="16"/>
        <v>-0.4159459610841445</v>
      </c>
      <c r="O27" s="8">
        <f t="shared" si="17"/>
        <v>0.4</v>
      </c>
      <c r="P27" s="8">
        <f t="shared" si="18"/>
        <v>2.6423368691849363</v>
      </c>
      <c r="Q27" s="8">
        <f t="shared" si="19"/>
        <v>1.4028262616301264</v>
      </c>
      <c r="R27" s="8">
        <f t="shared" si="20"/>
        <v>1.4028262616301264</v>
      </c>
      <c r="S27" s="8">
        <f t="shared" si="21"/>
        <v>-4.5652523260252487E-2</v>
      </c>
    </row>
    <row r="28" spans="1:19" x14ac:dyDescent="0.3">
      <c r="A28" s="75">
        <f t="shared" si="22"/>
        <v>2.6416587482037657</v>
      </c>
      <c r="B28" s="8">
        <f t="shared" si="23"/>
        <v>1.4046825035924682</v>
      </c>
      <c r="C28" s="8">
        <f t="shared" si="5"/>
        <v>1.4046825035924682</v>
      </c>
      <c r="D28" s="8">
        <f t="shared" si="6"/>
        <v>-4.9365007184936083E-2</v>
      </c>
      <c r="E28" s="8">
        <f t="shared" si="7"/>
        <v>0.45</v>
      </c>
      <c r="F28" s="8">
        <f t="shared" si="8"/>
        <v>2.7118928733833889</v>
      </c>
      <c r="G28" s="8">
        <f t="shared" si="9"/>
        <v>1.4022142532332214</v>
      </c>
      <c r="H28" s="8">
        <f t="shared" si="10"/>
        <v>1.4022142532332214</v>
      </c>
      <c r="I28" s="8">
        <f t="shared" si="11"/>
        <v>0.31057149353355751</v>
      </c>
      <c r="J28" s="8">
        <f t="shared" si="12"/>
        <v>0.45</v>
      </c>
      <c r="K28" s="8">
        <f t="shared" si="13"/>
        <v>2.7117694608654266</v>
      </c>
      <c r="L28" s="8">
        <f t="shared" si="14"/>
        <v>1.4202110782691459</v>
      </c>
      <c r="M28" s="8">
        <f t="shared" si="15"/>
        <v>1.4202110782691459</v>
      </c>
      <c r="N28" s="8">
        <f t="shared" si="16"/>
        <v>0.27457784346170833</v>
      </c>
      <c r="O28" s="8">
        <f t="shared" si="17"/>
        <v>0.5</v>
      </c>
      <c r="P28" s="8">
        <f t="shared" si="18"/>
        <v>2.7836798560306804</v>
      </c>
      <c r="Q28" s="8">
        <f t="shared" si="19"/>
        <v>1.4321402879386389</v>
      </c>
      <c r="R28" s="8">
        <f t="shared" si="20"/>
        <v>1.4321402879386389</v>
      </c>
      <c r="S28" s="8">
        <f t="shared" si="21"/>
        <v>0.6357194241227222</v>
      </c>
    </row>
    <row r="29" spans="1:19" x14ac:dyDescent="0.3">
      <c r="A29" s="75">
        <f t="shared" si="22"/>
        <v>2.7830199724460298</v>
      </c>
      <c r="B29" s="8">
        <f t="shared" si="23"/>
        <v>1.4339600551079401</v>
      </c>
      <c r="C29" s="8">
        <f t="shared" si="5"/>
        <v>1.4339600551079401</v>
      </c>
      <c r="D29" s="8">
        <f t="shared" si="6"/>
        <v>0.63207988978411977</v>
      </c>
      <c r="E29" s="8">
        <f t="shared" si="7"/>
        <v>0.55000000000000004</v>
      </c>
      <c r="F29" s="8">
        <f t="shared" si="8"/>
        <v>2.8547179752014267</v>
      </c>
      <c r="G29" s="8">
        <f t="shared" si="9"/>
        <v>1.465564049597146</v>
      </c>
      <c r="H29" s="8">
        <f t="shared" si="10"/>
        <v>1.465564049597146</v>
      </c>
      <c r="I29" s="8">
        <f t="shared" si="11"/>
        <v>0.98387190080570841</v>
      </c>
      <c r="J29" s="8">
        <f t="shared" si="12"/>
        <v>0.55000000000000004</v>
      </c>
      <c r="K29" s="8">
        <f t="shared" si="13"/>
        <v>2.8562981749258873</v>
      </c>
      <c r="L29" s="8">
        <f t="shared" si="14"/>
        <v>1.4831536501482256</v>
      </c>
      <c r="M29" s="8">
        <f t="shared" si="15"/>
        <v>1.4831536501482256</v>
      </c>
      <c r="N29" s="8">
        <f t="shared" si="16"/>
        <v>0.94869269970354919</v>
      </c>
      <c r="O29" s="8">
        <f t="shared" si="17"/>
        <v>0.6</v>
      </c>
      <c r="P29" s="8">
        <f t="shared" si="18"/>
        <v>2.9313353374608524</v>
      </c>
      <c r="Q29" s="8">
        <f t="shared" si="19"/>
        <v>1.5288293250782949</v>
      </c>
      <c r="R29" s="8">
        <f t="shared" si="20"/>
        <v>1.5288293250782949</v>
      </c>
      <c r="S29" s="8">
        <f t="shared" si="21"/>
        <v>1.3023413498434104</v>
      </c>
    </row>
    <row r="30" spans="1:19" x14ac:dyDescent="0.3">
      <c r="A30" s="75">
        <f t="shared" si="22"/>
        <v>2.9306903854406463</v>
      </c>
      <c r="B30" s="8">
        <f t="shared" si="23"/>
        <v>1.5306192291187075</v>
      </c>
      <c r="C30" s="8">
        <f t="shared" si="5"/>
        <v>1.5306192291187075</v>
      </c>
      <c r="D30" s="8">
        <f t="shared" si="6"/>
        <v>1.2987615417625853</v>
      </c>
      <c r="E30" s="8">
        <f t="shared" si="7"/>
        <v>0.65</v>
      </c>
      <c r="F30" s="8">
        <f t="shared" si="8"/>
        <v>3.0072213468965816</v>
      </c>
      <c r="G30" s="8">
        <f t="shared" si="9"/>
        <v>1.5955573062068367</v>
      </c>
      <c r="H30" s="8">
        <f t="shared" si="10"/>
        <v>1.5955573062068367</v>
      </c>
      <c r="I30" s="8">
        <f t="shared" si="11"/>
        <v>1.6438853875863266</v>
      </c>
      <c r="J30" s="8">
        <f t="shared" si="12"/>
        <v>0.65</v>
      </c>
      <c r="K30" s="8">
        <f t="shared" si="13"/>
        <v>3.0104682507509883</v>
      </c>
      <c r="L30" s="8">
        <f t="shared" si="14"/>
        <v>1.6128134984980238</v>
      </c>
      <c r="M30" s="8">
        <f t="shared" si="15"/>
        <v>1.6128134984980238</v>
      </c>
      <c r="N30" s="8">
        <f t="shared" si="16"/>
        <v>1.6093730030039524</v>
      </c>
      <c r="O30" s="8">
        <f t="shared" si="17"/>
        <v>0.7</v>
      </c>
      <c r="P30" s="8">
        <f t="shared" si="18"/>
        <v>3.0919717352904486</v>
      </c>
      <c r="Q30" s="8">
        <f t="shared" si="19"/>
        <v>1.6915565294191028</v>
      </c>
      <c r="R30" s="8">
        <f t="shared" si="20"/>
        <v>1.6915565294191028</v>
      </c>
      <c r="S30" s="8">
        <f t="shared" si="21"/>
        <v>1.9568869411617942</v>
      </c>
    </row>
    <row r="31" spans="1:19" x14ac:dyDescent="0.3">
      <c r="A31" s="75">
        <f t="shared" si="22"/>
        <v>3.091339008239772</v>
      </c>
      <c r="B31" s="8">
        <f t="shared" si="23"/>
        <v>1.6933219835204565</v>
      </c>
      <c r="C31" s="8">
        <f t="shared" si="5"/>
        <v>1.6933219835204565</v>
      </c>
      <c r="D31" s="8">
        <f t="shared" si="6"/>
        <v>1.9533560329590869</v>
      </c>
      <c r="E31" s="8">
        <f t="shared" si="7"/>
        <v>0.75</v>
      </c>
      <c r="F31" s="8">
        <f t="shared" si="8"/>
        <v>3.1760051074157949</v>
      </c>
      <c r="G31" s="8">
        <f t="shared" si="9"/>
        <v>1.7909897851684109</v>
      </c>
      <c r="H31" s="8">
        <f t="shared" si="10"/>
        <v>1.7909897851684109</v>
      </c>
      <c r="I31" s="8">
        <f t="shared" si="11"/>
        <v>2.2930204296631782</v>
      </c>
      <c r="J31" s="8">
        <f t="shared" si="12"/>
        <v>0.75</v>
      </c>
      <c r="K31" s="8">
        <f t="shared" si="13"/>
        <v>3.1808884974981924</v>
      </c>
      <c r="L31" s="8">
        <f t="shared" si="14"/>
        <v>1.8079730050036154</v>
      </c>
      <c r="M31" s="8">
        <f t="shared" si="15"/>
        <v>1.8079730050036154</v>
      </c>
      <c r="N31" s="8">
        <f t="shared" si="16"/>
        <v>2.2590539899927693</v>
      </c>
      <c r="O31" s="8">
        <f t="shared" si="17"/>
        <v>0.79999999999999993</v>
      </c>
      <c r="P31" s="8">
        <f t="shared" si="18"/>
        <v>3.2721363087401336</v>
      </c>
      <c r="Q31" s="8">
        <f t="shared" si="19"/>
        <v>1.9192273825197335</v>
      </c>
      <c r="R31" s="8">
        <f t="shared" si="20"/>
        <v>1.9192273825197335</v>
      </c>
      <c r="S31" s="8">
        <f t="shared" si="21"/>
        <v>2.6015452349605326</v>
      </c>
    </row>
    <row r="32" spans="1:19" x14ac:dyDescent="0.3">
      <c r="A32" s="75">
        <f t="shared" si="22"/>
        <v>3.2715135906795094</v>
      </c>
      <c r="B32" s="8">
        <f t="shared" si="23"/>
        <v>1.9209728186409818</v>
      </c>
      <c r="C32" s="8">
        <f t="shared" si="5"/>
        <v>1.9209728186409818</v>
      </c>
      <c r="D32" s="8">
        <f t="shared" si="6"/>
        <v>2.5980543627180359</v>
      </c>
      <c r="E32" s="8">
        <f t="shared" si="7"/>
        <v>0.85</v>
      </c>
      <c r="F32" s="8">
        <f t="shared" si="8"/>
        <v>3.3675622316115583</v>
      </c>
      <c r="G32" s="8">
        <f t="shared" si="9"/>
        <v>2.0508755367768834</v>
      </c>
      <c r="H32" s="8">
        <f t="shared" si="10"/>
        <v>2.0508755367768834</v>
      </c>
      <c r="I32" s="8">
        <f t="shared" si="11"/>
        <v>2.9332489264462325</v>
      </c>
      <c r="J32" s="8">
        <f t="shared" si="12"/>
        <v>0.85</v>
      </c>
      <c r="K32" s="8">
        <f t="shared" si="13"/>
        <v>3.3740573675183536</v>
      </c>
      <c r="L32" s="8">
        <f t="shared" si="14"/>
        <v>2.0676352649632932</v>
      </c>
      <c r="M32" s="8">
        <f t="shared" si="15"/>
        <v>2.0676352649632932</v>
      </c>
      <c r="N32" s="8">
        <f t="shared" si="16"/>
        <v>2.8997294700734129</v>
      </c>
      <c r="O32" s="8">
        <f t="shared" si="17"/>
        <v>0.89999999999999991</v>
      </c>
      <c r="P32" s="8">
        <f t="shared" si="18"/>
        <v>3.4782771171758387</v>
      </c>
      <c r="Q32" s="8">
        <f t="shared" si="19"/>
        <v>2.2109457656483231</v>
      </c>
      <c r="R32" s="8">
        <f t="shared" si="20"/>
        <v>2.2109457656483231</v>
      </c>
      <c r="S32" s="8">
        <f t="shared" si="21"/>
        <v>3.238108468703353</v>
      </c>
    </row>
    <row r="33" spans="1:19" x14ac:dyDescent="0.3">
      <c r="A33" s="75">
        <f t="shared" si="22"/>
        <v>3.4776625938090038</v>
      </c>
      <c r="B33" s="8">
        <f t="shared" si="23"/>
        <v>2.212674812381993</v>
      </c>
      <c r="C33" s="8">
        <f t="shared" si="5"/>
        <v>2.212674812381993</v>
      </c>
      <c r="D33" s="8">
        <f t="shared" si="6"/>
        <v>3.2346503752360132</v>
      </c>
      <c r="E33" s="8">
        <f t="shared" si="7"/>
        <v>0.95</v>
      </c>
      <c r="F33" s="8">
        <f t="shared" si="8"/>
        <v>3.5882963344281036</v>
      </c>
      <c r="G33" s="8">
        <f t="shared" si="9"/>
        <v>2.3744073311437939</v>
      </c>
      <c r="H33" s="8">
        <f t="shared" si="10"/>
        <v>2.3744073311437939</v>
      </c>
      <c r="I33" s="8">
        <f t="shared" si="11"/>
        <v>3.5661853377124118</v>
      </c>
      <c r="J33" s="8">
        <f t="shared" si="12"/>
        <v>0.95</v>
      </c>
      <c r="K33" s="8">
        <f t="shared" si="13"/>
        <v>3.5963829603661934</v>
      </c>
      <c r="L33" s="8">
        <f t="shared" si="14"/>
        <v>2.3909840792676138</v>
      </c>
      <c r="M33" s="8">
        <f t="shared" si="15"/>
        <v>2.3909840792676138</v>
      </c>
      <c r="N33" s="8">
        <f t="shared" si="16"/>
        <v>3.5330318414647719</v>
      </c>
      <c r="O33" s="8">
        <f t="shared" si="17"/>
        <v>0.99999999999999989</v>
      </c>
      <c r="P33" s="8">
        <f t="shared" si="18"/>
        <v>3.7167610017357653</v>
      </c>
      <c r="Q33" s="8">
        <f t="shared" si="19"/>
        <v>2.5659779965284701</v>
      </c>
      <c r="R33" s="8">
        <f t="shared" si="20"/>
        <v>2.5659779965284701</v>
      </c>
      <c r="S33" s="8">
        <f t="shared" si="21"/>
        <v>3.8680440069430579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Задание 1</vt:lpstr>
      <vt:lpstr>Задание 2</vt:lpstr>
      <vt:lpstr>Задание 3</vt:lpstr>
      <vt:lpstr>Задание 4 Показательная </vt:lpstr>
      <vt:lpstr>Задание 4 Степенная</vt:lpstr>
      <vt:lpstr>Задание 5</vt:lpstr>
      <vt:lpstr>Задание 6</vt:lpstr>
      <vt:lpstr>Задание 7</vt:lpstr>
      <vt:lpstr>Задание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2018-12-21T13:08:27Z</dcterms:modified>
</cp:coreProperties>
</file>