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scho\Desktop\Institute\3 cource\1 sem\EMM\"/>
    </mc:Choice>
  </mc:AlternateContent>
  <xr:revisionPtr revIDLastSave="0" documentId="13_ncr:1_{25C3B7E5-D6BA-424F-B496-43CC02732A97}" xr6:coauthVersionLast="45" xr6:coauthVersionMax="45" xr10:uidLastSave="{00000000-0000-0000-0000-000000000000}"/>
  <bookViews>
    <workbookView xWindow="828" yWindow="-108" windowWidth="22320" windowHeight="13176" activeTab="1" xr2:uid="{00000000-000D-0000-FFFF-FFFF00000000}"/>
  </bookViews>
  <sheets>
    <sheet name="Лабораторная работа 1" sheetId="1" r:id="rId1"/>
    <sheet name="Лабораторная работа 2-3" sheetId="2" r:id="rId2"/>
    <sheet name="Лабораторная работа 4" sheetId="3" r:id="rId3"/>
  </sheets>
  <definedNames>
    <definedName name="solver_adj" localSheetId="2" hidden="1">'Лабораторная работа 4'!$G$32:$G$34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100</definedName>
    <definedName name="solver_lhs1" localSheetId="2" hidden="1">'Лабораторная работа 4'!$G$32:$G$34</definedName>
    <definedName name="solver_lhs2" localSheetId="2" hidden="1">'Лабораторная работа 4'!$K$29</definedName>
    <definedName name="solver_lhs3" localSheetId="2" hidden="1">'Лабораторная работа 4'!$K$30</definedName>
    <definedName name="solver_lhs4" localSheetId="2" hidden="1">'Лабораторная работа 4'!$K$31</definedName>
    <definedName name="solver_lhs5" localSheetId="2" hidden="1">'Лабораторная работа 4'!$K$32</definedName>
    <definedName name="solver_lhs6" localSheetId="2" hidden="1">'Лабораторная работа 4'!$K$33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'Лабораторная работа 4'!$I$30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hs1" localSheetId="2" hidden="1">0</definedName>
    <definedName name="solver_rhs2" localSheetId="2" hidden="1">'Лабораторная работа 4'!$B$29</definedName>
    <definedName name="solver_rhs3" localSheetId="2" hidden="1">'Лабораторная работа 4'!$C$29</definedName>
    <definedName name="solver_rhs4" localSheetId="2" hidden="1">'Лабораторная работа 4'!$D$29</definedName>
    <definedName name="solver_rhs5" localSheetId="2" hidden="1">'Лабораторная работа 4'!$E$29</definedName>
    <definedName name="solver_rhs6" localSheetId="2" hidden="1">'Лабораторная работа 4'!$F$29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2" l="1"/>
  <c r="B17" i="2" s="1"/>
  <c r="B15" i="2"/>
  <c r="O10" i="2"/>
  <c r="O7" i="2"/>
  <c r="O8" i="2"/>
  <c r="B10" i="2"/>
  <c r="O12" i="2"/>
  <c r="O11" i="2"/>
  <c r="B6" i="2"/>
  <c r="K33" i="3" l="1"/>
  <c r="K32" i="3"/>
  <c r="K31" i="3"/>
  <c r="K30" i="3"/>
  <c r="K29" i="3"/>
  <c r="I30" i="3"/>
  <c r="I26" i="3"/>
  <c r="K27" i="3"/>
  <c r="K26" i="3"/>
  <c r="K25" i="3"/>
  <c r="M25" i="3"/>
  <c r="M26" i="3"/>
  <c r="M27" i="3"/>
  <c r="M32" i="3"/>
  <c r="M31" i="3"/>
  <c r="M30" i="3"/>
  <c r="M29" i="3"/>
  <c r="M16" i="3"/>
  <c r="M17" i="3"/>
  <c r="M15" i="3"/>
  <c r="K15" i="3"/>
  <c r="K16" i="3"/>
  <c r="K17" i="3"/>
  <c r="I16" i="3"/>
  <c r="K9" i="3"/>
  <c r="K8" i="3"/>
  <c r="K7" i="3"/>
  <c r="I7" i="3"/>
  <c r="M9" i="3"/>
  <c r="M8" i="3"/>
  <c r="M7" i="3"/>
  <c r="M6" i="3"/>
  <c r="K6" i="3"/>
  <c r="M4" i="3"/>
  <c r="M3" i="3"/>
  <c r="M2" i="3"/>
  <c r="K3" i="3"/>
  <c r="K4" i="3"/>
  <c r="K2" i="3"/>
  <c r="I3" i="3"/>
  <c r="B62" i="2" l="1"/>
  <c r="B61" i="2"/>
  <c r="B59" i="2"/>
  <c r="O30" i="2" l="1"/>
  <c r="I10" i="2"/>
  <c r="J10" i="2"/>
  <c r="L10" i="2"/>
  <c r="M10" i="2"/>
  <c r="H6" i="2"/>
  <c r="H10" i="2" s="1"/>
  <c r="C6" i="2"/>
  <c r="C10" i="2" s="1"/>
  <c r="N3" i="2"/>
  <c r="F7" i="2" s="1"/>
  <c r="F11" i="2" s="1"/>
  <c r="N2" i="2"/>
  <c r="E7" i="2"/>
  <c r="E11" i="2" s="1"/>
  <c r="I7" i="2"/>
  <c r="I11" i="2" s="1"/>
  <c r="M7" i="2"/>
  <c r="M11" i="2" s="1"/>
  <c r="D6" i="2"/>
  <c r="D10" i="2" s="1"/>
  <c r="E6" i="2"/>
  <c r="E10" i="2" s="1"/>
  <c r="F6" i="2"/>
  <c r="F10" i="2" s="1"/>
  <c r="G6" i="2"/>
  <c r="G10" i="2" s="1"/>
  <c r="I6" i="2"/>
  <c r="J6" i="2"/>
  <c r="K6" i="2"/>
  <c r="K10" i="2" s="1"/>
  <c r="L6" i="2"/>
  <c r="M6" i="2"/>
  <c r="N4" i="2"/>
  <c r="F8" i="2" s="1"/>
  <c r="F12" i="2" s="1"/>
  <c r="I8" i="1"/>
  <c r="J2" i="1" a="1"/>
  <c r="J2" i="1" s="1"/>
  <c r="B10" i="1" l="1"/>
  <c r="D8" i="2"/>
  <c r="D12" i="2" s="1"/>
  <c r="M8" i="2"/>
  <c r="M12" i="2" s="1"/>
  <c r="I8" i="2"/>
  <c r="I12" i="2" s="1"/>
  <c r="E8" i="2"/>
  <c r="E12" i="2" s="1"/>
  <c r="L7" i="2"/>
  <c r="L11" i="2" s="1"/>
  <c r="H7" i="2"/>
  <c r="H11" i="2" s="1"/>
  <c r="D7" i="2"/>
  <c r="D11" i="2" s="1"/>
  <c r="L8" i="2"/>
  <c r="L12" i="2" s="1"/>
  <c r="H8" i="2"/>
  <c r="H12" i="2" s="1"/>
  <c r="K7" i="2"/>
  <c r="K11" i="2" s="1"/>
  <c r="G7" i="2"/>
  <c r="G11" i="2" s="1"/>
  <c r="C7" i="2"/>
  <c r="C11" i="2" s="1"/>
  <c r="K8" i="2"/>
  <c r="K12" i="2" s="1"/>
  <c r="G8" i="2"/>
  <c r="G12" i="2" s="1"/>
  <c r="C8" i="2"/>
  <c r="C12" i="2" s="1"/>
  <c r="B7" i="2"/>
  <c r="J7" i="2"/>
  <c r="J11" i="2" s="1"/>
  <c r="B8" i="2"/>
  <c r="B12" i="2" s="1"/>
  <c r="J8" i="2"/>
  <c r="J12" i="2" s="1"/>
  <c r="J5" i="1"/>
  <c r="E10" i="1" s="1"/>
  <c r="J4" i="1"/>
  <c r="D10" i="1" s="1"/>
  <c r="J7" i="1"/>
  <c r="G10" i="1" s="1"/>
  <c r="J3" i="1"/>
  <c r="C10" i="1" s="1"/>
  <c r="J6" i="1"/>
  <c r="F10" i="1" s="1"/>
  <c r="B11" i="2" l="1"/>
  <c r="G6" i="1"/>
  <c r="G3" i="1"/>
  <c r="G8" i="1" s="1"/>
  <c r="G7" i="1"/>
  <c r="G2" i="1"/>
  <c r="G4" i="1"/>
  <c r="G9" i="1"/>
  <c r="G5" i="1"/>
  <c r="C6" i="1"/>
  <c r="C3" i="1"/>
  <c r="C7" i="1"/>
  <c r="C2" i="1"/>
  <c r="C4" i="1"/>
  <c r="C5" i="1"/>
  <c r="D5" i="1"/>
  <c r="D6" i="1"/>
  <c r="D3" i="1"/>
  <c r="D7" i="1"/>
  <c r="D2" i="1"/>
  <c r="D4" i="1"/>
  <c r="B4" i="1"/>
  <c r="B2" i="1"/>
  <c r="H10" i="1"/>
  <c r="B5" i="1"/>
  <c r="B6" i="1"/>
  <c r="B3" i="1"/>
  <c r="B7" i="1"/>
  <c r="B22" i="2"/>
  <c r="B21" i="2" s="1"/>
  <c r="F3" i="1"/>
  <c r="F7" i="1"/>
  <c r="F2" i="1"/>
  <c r="F4" i="1"/>
  <c r="F5" i="1"/>
  <c r="F6" i="1"/>
  <c r="E4" i="1"/>
  <c r="E5" i="1"/>
  <c r="E6" i="1"/>
  <c r="E7" i="1"/>
  <c r="E2" i="1"/>
  <c r="E3" i="1"/>
  <c r="J8" i="1"/>
  <c r="H7" i="1" l="1"/>
  <c r="F8" i="1"/>
  <c r="F9" i="1" s="1"/>
  <c r="H3" i="1"/>
  <c r="H2" i="1"/>
  <c r="H8" i="1" s="1"/>
  <c r="K8" i="1" s="1"/>
  <c r="B8" i="1"/>
  <c r="B9" i="1" s="1"/>
  <c r="D8" i="1"/>
  <c r="D9" i="1" s="1"/>
  <c r="E8" i="1"/>
  <c r="E9" i="1" s="1"/>
  <c r="H6" i="1"/>
  <c r="H4" i="1"/>
  <c r="E62" i="2"/>
  <c r="E61" i="2"/>
  <c r="B26" i="2"/>
  <c r="F24" i="2"/>
  <c r="F27" i="2" s="1"/>
  <c r="J24" i="2"/>
  <c r="J27" i="2" s="1"/>
  <c r="B24" i="2"/>
  <c r="B27" i="2" s="1"/>
  <c r="C24" i="2"/>
  <c r="C27" i="2" s="1"/>
  <c r="G24" i="2"/>
  <c r="G27" i="2" s="1"/>
  <c r="K24" i="2"/>
  <c r="K27" i="2" s="1"/>
  <c r="D24" i="2"/>
  <c r="D27" i="2" s="1"/>
  <c r="H24" i="2"/>
  <c r="H27" i="2" s="1"/>
  <c r="L24" i="2"/>
  <c r="L27" i="2" s="1"/>
  <c r="E24" i="2"/>
  <c r="E27" i="2" s="1"/>
  <c r="I24" i="2"/>
  <c r="I27" i="2" s="1"/>
  <c r="M24" i="2"/>
  <c r="M27" i="2" s="1"/>
  <c r="H5" i="1"/>
  <c r="C8" i="1"/>
  <c r="C9" i="1" s="1"/>
  <c r="B19" i="2"/>
  <c r="M28" i="2" l="1"/>
  <c r="M29" i="2" s="1"/>
  <c r="M44" i="2"/>
  <c r="M45" i="2" s="1"/>
  <c r="M43" i="2"/>
  <c r="D43" i="2"/>
  <c r="D44" i="2"/>
  <c r="D45" i="2" s="1"/>
  <c r="D28" i="2"/>
  <c r="D29" i="2" s="1"/>
  <c r="B51" i="2"/>
  <c r="B43" i="2"/>
  <c r="O27" i="2"/>
  <c r="B50" i="2"/>
  <c r="B28" i="2"/>
  <c r="C28" i="2"/>
  <c r="C29" i="2" s="1"/>
  <c r="C43" i="2"/>
  <c r="C44" i="2"/>
  <c r="C45" i="2" s="1"/>
  <c r="E43" i="2"/>
  <c r="E28" i="2"/>
  <c r="E29" i="2" s="1"/>
  <c r="E44" i="2"/>
  <c r="E45" i="2" s="1"/>
  <c r="K28" i="2"/>
  <c r="K29" i="2" s="1"/>
  <c r="K44" i="2"/>
  <c r="K45" i="2" s="1"/>
  <c r="K43" i="2"/>
  <c r="J28" i="2"/>
  <c r="J29" i="2" s="1"/>
  <c r="J44" i="2"/>
  <c r="J45" i="2" s="1"/>
  <c r="J43" i="2"/>
  <c r="H44" i="2"/>
  <c r="H45" i="2" s="1"/>
  <c r="H28" i="2"/>
  <c r="H29" i="2" s="1"/>
  <c r="H43" i="2"/>
  <c r="I44" i="2"/>
  <c r="I45" i="2" s="1"/>
  <c r="I28" i="2"/>
  <c r="I29" i="2" s="1"/>
  <c r="I43" i="2"/>
  <c r="L43" i="2"/>
  <c r="L44" i="2"/>
  <c r="L45" i="2" s="1"/>
  <c r="L28" i="2"/>
  <c r="L29" i="2" s="1"/>
  <c r="G43" i="2"/>
  <c r="G44" i="2"/>
  <c r="G45" i="2" s="1"/>
  <c r="G28" i="2"/>
  <c r="G29" i="2" s="1"/>
  <c r="F43" i="2"/>
  <c r="F44" i="2"/>
  <c r="F45" i="2" s="1"/>
  <c r="F28" i="2"/>
  <c r="F29" i="2" s="1"/>
  <c r="H9" i="1"/>
  <c r="O43" i="2" l="1"/>
  <c r="B29" i="2"/>
  <c r="O29" i="2" s="1"/>
  <c r="O50" i="2" s="1"/>
  <c r="B56" i="2" s="1"/>
  <c r="O28" i="2"/>
  <c r="O45" i="2"/>
  <c r="B47" i="2" l="1"/>
  <c r="B52" i="2"/>
  <c r="B53" i="2" s="1"/>
  <c r="B64" i="2"/>
  <c r="B67" i="2" l="1"/>
  <c r="B66" i="2"/>
  <c r="E66" i="2" l="1"/>
  <c r="G66" i="2"/>
  <c r="G67" i="2"/>
  <c r="E67" i="2"/>
</calcChain>
</file>

<file path=xl/sharedStrings.xml><?xml version="1.0" encoding="utf-8"?>
<sst xmlns="http://schemas.openxmlformats.org/spreadsheetml/2006/main" count="171" uniqueCount="100">
  <si>
    <t>Отрасль</t>
  </si>
  <si>
    <t>тяжелая пром-сть</t>
  </si>
  <si>
    <t>легкая пром-сть</t>
  </si>
  <si>
    <t>с/х</t>
  </si>
  <si>
    <t>строительство</t>
  </si>
  <si>
    <t>строи-тельство</t>
  </si>
  <si>
    <t>транс-порт</t>
  </si>
  <si>
    <t>про-чие</t>
  </si>
  <si>
    <t>Конеч. Прод.</t>
  </si>
  <si>
    <t>тяж. пром-сть</t>
  </si>
  <si>
    <t>легк. пром-сть</t>
  </si>
  <si>
    <t>транспорт</t>
  </si>
  <si>
    <t>прочие</t>
  </si>
  <si>
    <t>Итого</t>
  </si>
  <si>
    <t>Условно чистая продукция</t>
  </si>
  <si>
    <t>Валовая продукция</t>
  </si>
  <si>
    <t>Конеч. прод.</t>
  </si>
  <si>
    <t>Показатели</t>
  </si>
  <si>
    <t>Зафиксированные значения</t>
  </si>
  <si>
    <t>Производительность</t>
  </si>
  <si>
    <t>Фондовооруженность</t>
  </si>
  <si>
    <t>Доля некачественного сырья</t>
  </si>
  <si>
    <t>Среднее значение</t>
  </si>
  <si>
    <t>Разницы по производительности</t>
  </si>
  <si>
    <t>Разницы по фондовооруженности</t>
  </si>
  <si>
    <t>Разница по доле</t>
  </si>
  <si>
    <t>Квадрат по производительности</t>
  </si>
  <si>
    <t>Квадрат по фондовооруженности</t>
  </si>
  <si>
    <t>Квадрат по доле</t>
  </si>
  <si>
    <t>Сумма произведения:</t>
  </si>
  <si>
    <t>Сумма:</t>
  </si>
  <si>
    <t>Корень по фондовооруженности</t>
  </si>
  <si>
    <t>Коэффициент парной корреляции по фондовооруженности:</t>
  </si>
  <si>
    <t>a=</t>
  </si>
  <si>
    <t>b=</t>
  </si>
  <si>
    <t>Уравнение парной линейной регрессии:</t>
  </si>
  <si>
    <t>Коэффициент эластичности:</t>
  </si>
  <si>
    <t>Случайная компонента:</t>
  </si>
  <si>
    <t>Сумма случайных компонент:</t>
  </si>
  <si>
    <t>Количество поворотных точек:</t>
  </si>
  <si>
    <t>p&gt;количества поворотных точек</t>
  </si>
  <si>
    <t>Квадрат случайной компоненты:</t>
  </si>
  <si>
    <t>Разность компонент:</t>
  </si>
  <si>
    <t>Квадрат разностей:</t>
  </si>
  <si>
    <t>Коэффициент независимости:</t>
  </si>
  <si>
    <t>d1</t>
  </si>
  <si>
    <t>d2</t>
  </si>
  <si>
    <t>Автокорреляция отсутствует</t>
  </si>
  <si>
    <t>максимальный уровень ряда остатков:</t>
  </si>
  <si>
    <t>минимальный уровень ряда остатков:</t>
  </si>
  <si>
    <t>Среднеквадратичное отклонение:</t>
  </si>
  <si>
    <t>RS-критерий:</t>
  </si>
  <si>
    <t>Вероятности ошибки:</t>
  </si>
  <si>
    <t>Сумма модулей:</t>
  </si>
  <si>
    <t>Модули случайных компонент:</t>
  </si>
  <si>
    <t>Табличное нижнее:</t>
  </si>
  <si>
    <t>Табличное верхнее:</t>
  </si>
  <si>
    <t>Нормальное распределение</t>
  </si>
  <si>
    <t>Точность:</t>
  </si>
  <si>
    <t>Корень по доле</t>
  </si>
  <si>
    <t>Коэффициент парной корреляции по доле:</t>
  </si>
  <si>
    <t>y=107,29-1,0359*x</t>
  </si>
  <si>
    <t>p = 4</t>
  </si>
  <si>
    <t>Прогнозы</t>
  </si>
  <si>
    <t>средний прирост:</t>
  </si>
  <si>
    <t>x13=</t>
  </si>
  <si>
    <t>x14=</t>
  </si>
  <si>
    <t>y13=</t>
  </si>
  <si>
    <t>y14=</t>
  </si>
  <si>
    <t>Точеченые прогнозы</t>
  </si>
  <si>
    <t>Интервальные прогнозы</t>
  </si>
  <si>
    <t>Среднее квадратичное отклонение зависимой переменной:</t>
  </si>
  <si>
    <t>t-статистика Стьюдента:</t>
  </si>
  <si>
    <t>U1=</t>
  </si>
  <si>
    <t>U2=</t>
  </si>
  <si>
    <t>Граница прогноза(</t>
  </si>
  <si>
    <t>)</t>
  </si>
  <si>
    <t>;</t>
  </si>
  <si>
    <t>Тип сырья</t>
  </si>
  <si>
    <t>Нормы расхода сырья на одно изделие</t>
  </si>
  <si>
    <t>А</t>
  </si>
  <si>
    <t>Б</t>
  </si>
  <si>
    <t>В</t>
  </si>
  <si>
    <t>Г</t>
  </si>
  <si>
    <t>Запасы сырья</t>
  </si>
  <si>
    <t>I</t>
  </si>
  <si>
    <t>II</t>
  </si>
  <si>
    <t>III</t>
  </si>
  <si>
    <t>Цена изделия</t>
  </si>
  <si>
    <t>Прямая оптимизационная задача</t>
  </si>
  <si>
    <t>9x1+6x2+4x3+7x4</t>
  </si>
  <si>
    <t>Двойственная задача</t>
  </si>
  <si>
    <t>120y1+240y2+800y3</t>
  </si>
  <si>
    <t>Ограничения</t>
  </si>
  <si>
    <t>X</t>
  </si>
  <si>
    <t>Y</t>
  </si>
  <si>
    <t>&lt;=</t>
  </si>
  <si>
    <t>&gt;=</t>
  </si>
  <si>
    <t>Д</t>
  </si>
  <si>
    <t>9x1+6x2+4x3+7x4+12x5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</si>
</sst>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0.000"/>
    <numFmt numFmtId="166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15" xfId="0" applyNumberFormat="1" applyBorder="1" applyAlignment="1">
      <alignment horizontal="center" vertical="center" wrapText="1"/>
    </xf>
    <xf numFmtId="165" fontId="0" fillId="0" borderId="17" xfId="0" applyNumberFormat="1" applyBorder="1"/>
    <xf numFmtId="165" fontId="0" fillId="0" borderId="22" xfId="0" applyNumberFormat="1" applyBorder="1"/>
    <xf numFmtId="165" fontId="0" fillId="0" borderId="7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6" fontId="0" fillId="0" borderId="0" xfId="0" applyNumberFormat="1"/>
    <xf numFmtId="2" fontId="0" fillId="0" borderId="0" xfId="1" applyNumberFormat="1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2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0" fillId="0" borderId="8" xfId="0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Проверка случайности последовательности случайных</a:t>
            </a:r>
            <a:r>
              <a:rPr lang="ru-RU" baseline="0"/>
              <a:t> компонент</a:t>
            </a:r>
          </a:p>
        </c:rich>
      </c:tx>
      <c:layout>
        <c:manualLayout>
          <c:xMode val="edge"/>
          <c:yMode val="edge"/>
          <c:x val="0.1301804461942257"/>
          <c:y val="2.8673835125448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'Лабораторная работа 2-3'!$B$2:$M$2</c:f>
              <c:numCache>
                <c:formatCode>General</c:formatCode>
                <c:ptCount val="12"/>
                <c:pt idx="0">
                  <c:v>30</c:v>
                </c:pt>
                <c:pt idx="1">
                  <c:v>34</c:v>
                </c:pt>
                <c:pt idx="2">
                  <c:v>36</c:v>
                </c:pt>
                <c:pt idx="3">
                  <c:v>40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52</c:v>
                </c:pt>
                <c:pt idx="8">
                  <c:v>53</c:v>
                </c:pt>
                <c:pt idx="9">
                  <c:v>55</c:v>
                </c:pt>
                <c:pt idx="10">
                  <c:v>58</c:v>
                </c:pt>
                <c:pt idx="11">
                  <c:v>60</c:v>
                </c:pt>
              </c:numCache>
            </c:numRef>
          </c:xVal>
          <c:yVal>
            <c:numRef>
              <c:f>'Лабораторная работа 2-3'!$B$27:$M$27</c:f>
              <c:numCache>
                <c:formatCode>General</c:formatCode>
                <c:ptCount val="12"/>
                <c:pt idx="0">
                  <c:v>0.40838618745594601</c:v>
                </c:pt>
                <c:pt idx="1">
                  <c:v>-1.807258632840032</c:v>
                </c:pt>
                <c:pt idx="2">
                  <c:v>-3.9510218463706934</c:v>
                </c:pt>
                <c:pt idx="3">
                  <c:v>1.084918957011979</c:v>
                </c:pt>
                <c:pt idx="4">
                  <c:v>-2.0588442565186824</c:v>
                </c:pt>
                <c:pt idx="5">
                  <c:v>0.86927413671599396</c:v>
                </c:pt>
                <c:pt idx="6">
                  <c:v>4.9052149400986593</c:v>
                </c:pt>
                <c:pt idx="7">
                  <c:v>2.7255109231853396</c:v>
                </c:pt>
                <c:pt idx="8">
                  <c:v>0.61768851303734351</c:v>
                </c:pt>
                <c:pt idx="9">
                  <c:v>-0.49013389711064548</c:v>
                </c:pt>
                <c:pt idx="10">
                  <c:v>-1.6338971106412998</c:v>
                </c:pt>
                <c:pt idx="11">
                  <c:v>-0.6698379140239652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7E-45C3-A1E6-84848DDA5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49663"/>
        <c:axId val="105844671"/>
      </c:scatterChart>
      <c:valAx>
        <c:axId val="105849663"/>
        <c:scaling>
          <c:orientation val="minMax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844671"/>
        <c:crosses val="autoZero"/>
        <c:crossBetween val="midCat"/>
        <c:majorUnit val="2"/>
      </c:valAx>
      <c:valAx>
        <c:axId val="10584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849663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 однопараметрическая модель регрессии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'Лабораторная работа 2-3'!$B$4:$M$4</c:f>
              <c:numCache>
                <c:formatCode>General</c:formatCode>
                <c:ptCount val="12"/>
                <c:pt idx="0">
                  <c:v>75</c:v>
                </c:pt>
                <c:pt idx="1">
                  <c:v>69</c:v>
                </c:pt>
                <c:pt idx="2">
                  <c:v>65</c:v>
                </c:pt>
                <c:pt idx="3">
                  <c:v>66</c:v>
                </c:pt>
                <c:pt idx="4">
                  <c:v>62</c:v>
                </c:pt>
                <c:pt idx="5">
                  <c:v>60</c:v>
                </c:pt>
                <c:pt idx="6">
                  <c:v>61</c:v>
                </c:pt>
                <c:pt idx="7">
                  <c:v>56</c:v>
                </c:pt>
                <c:pt idx="8">
                  <c:v>53</c:v>
                </c:pt>
                <c:pt idx="9">
                  <c:v>50</c:v>
                </c:pt>
                <c:pt idx="10">
                  <c:v>46</c:v>
                </c:pt>
                <c:pt idx="11">
                  <c:v>45</c:v>
                </c:pt>
              </c:numCache>
            </c:numRef>
          </c:xVal>
          <c:yVal>
            <c:numRef>
              <c:f>'Лабораторная работа 2-3'!$B$24:$M$24</c:f>
              <c:numCache>
                <c:formatCode>General</c:formatCode>
                <c:ptCount val="12"/>
                <c:pt idx="0">
                  <c:v>29.591613812544054</c:v>
                </c:pt>
                <c:pt idx="1">
                  <c:v>35.807258632840032</c:v>
                </c:pt>
                <c:pt idx="2">
                  <c:v>39.951021846370693</c:v>
                </c:pt>
                <c:pt idx="3">
                  <c:v>38.915081042988021</c:v>
                </c:pt>
                <c:pt idx="4">
                  <c:v>43.058844256518682</c:v>
                </c:pt>
                <c:pt idx="5">
                  <c:v>45.130725863284006</c:v>
                </c:pt>
                <c:pt idx="6">
                  <c:v>44.094785059901341</c:v>
                </c:pt>
                <c:pt idx="7">
                  <c:v>49.27448907681466</c:v>
                </c:pt>
                <c:pt idx="8">
                  <c:v>52.382311486962656</c:v>
                </c:pt>
                <c:pt idx="9">
                  <c:v>55.490133897110645</c:v>
                </c:pt>
                <c:pt idx="10">
                  <c:v>59.6338971106413</c:v>
                </c:pt>
                <c:pt idx="11">
                  <c:v>60.669837914023965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97-44F3-A2E3-1EABA3CA0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389856"/>
        <c:axId val="872392768"/>
      </c:scatte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'Лабораторная работа 2-3'!$B$4:$M$4</c:f>
              <c:numCache>
                <c:formatCode>General</c:formatCode>
                <c:ptCount val="12"/>
                <c:pt idx="0">
                  <c:v>75</c:v>
                </c:pt>
                <c:pt idx="1">
                  <c:v>69</c:v>
                </c:pt>
                <c:pt idx="2">
                  <c:v>65</c:v>
                </c:pt>
                <c:pt idx="3">
                  <c:v>66</c:v>
                </c:pt>
                <c:pt idx="4">
                  <c:v>62</c:v>
                </c:pt>
                <c:pt idx="5">
                  <c:v>60</c:v>
                </c:pt>
                <c:pt idx="6">
                  <c:v>61</c:v>
                </c:pt>
                <c:pt idx="7">
                  <c:v>56</c:v>
                </c:pt>
                <c:pt idx="8">
                  <c:v>53</c:v>
                </c:pt>
                <c:pt idx="9">
                  <c:v>50</c:v>
                </c:pt>
                <c:pt idx="10">
                  <c:v>46</c:v>
                </c:pt>
                <c:pt idx="11">
                  <c:v>45</c:v>
                </c:pt>
              </c:numCache>
            </c:numRef>
          </c:xVal>
          <c:yVal>
            <c:numRef>
              <c:f>'Лабораторная работа 2-3'!$B$2:$M$2</c:f>
              <c:numCache>
                <c:formatCode>General</c:formatCode>
                <c:ptCount val="12"/>
                <c:pt idx="0">
                  <c:v>30</c:v>
                </c:pt>
                <c:pt idx="1">
                  <c:v>34</c:v>
                </c:pt>
                <c:pt idx="2">
                  <c:v>36</c:v>
                </c:pt>
                <c:pt idx="3">
                  <c:v>40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52</c:v>
                </c:pt>
                <c:pt idx="8">
                  <c:v>53</c:v>
                </c:pt>
                <c:pt idx="9">
                  <c:v>55</c:v>
                </c:pt>
                <c:pt idx="10">
                  <c:v>58</c:v>
                </c:pt>
                <c:pt idx="11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97-44F3-A2E3-1EABA3CA0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389856"/>
        <c:axId val="872392768"/>
      </c:scatterChart>
      <c:valAx>
        <c:axId val="87238985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2392768"/>
        <c:crosses val="autoZero"/>
        <c:crossBetween val="midCat"/>
        <c:majorUnit val="2"/>
      </c:valAx>
      <c:valAx>
        <c:axId val="8723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238985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'Лабораторная работа 2-3'!$B$4:$M$4</c:f>
              <c:numCache>
                <c:formatCode>General</c:formatCode>
                <c:ptCount val="12"/>
                <c:pt idx="0">
                  <c:v>75</c:v>
                </c:pt>
                <c:pt idx="1">
                  <c:v>69</c:v>
                </c:pt>
                <c:pt idx="2">
                  <c:v>65</c:v>
                </c:pt>
                <c:pt idx="3">
                  <c:v>66</c:v>
                </c:pt>
                <c:pt idx="4">
                  <c:v>62</c:v>
                </c:pt>
                <c:pt idx="5">
                  <c:v>60</c:v>
                </c:pt>
                <c:pt idx="6">
                  <c:v>61</c:v>
                </c:pt>
                <c:pt idx="7">
                  <c:v>56</c:v>
                </c:pt>
                <c:pt idx="8">
                  <c:v>53</c:v>
                </c:pt>
                <c:pt idx="9">
                  <c:v>50</c:v>
                </c:pt>
                <c:pt idx="10">
                  <c:v>46</c:v>
                </c:pt>
                <c:pt idx="11">
                  <c:v>45</c:v>
                </c:pt>
              </c:numCache>
            </c:numRef>
          </c:xVal>
          <c:yVal>
            <c:numRef>
              <c:f>'Лабораторная работа 2-3'!$B$24:$M$24</c:f>
              <c:numCache>
                <c:formatCode>General</c:formatCode>
                <c:ptCount val="12"/>
                <c:pt idx="0">
                  <c:v>29.591613812544054</c:v>
                </c:pt>
                <c:pt idx="1">
                  <c:v>35.807258632840032</c:v>
                </c:pt>
                <c:pt idx="2">
                  <c:v>39.951021846370693</c:v>
                </c:pt>
                <c:pt idx="3">
                  <c:v>38.915081042988021</c:v>
                </c:pt>
                <c:pt idx="4">
                  <c:v>43.058844256518682</c:v>
                </c:pt>
                <c:pt idx="5">
                  <c:v>45.130725863284006</c:v>
                </c:pt>
                <c:pt idx="6">
                  <c:v>44.094785059901341</c:v>
                </c:pt>
                <c:pt idx="7">
                  <c:v>49.27448907681466</c:v>
                </c:pt>
                <c:pt idx="8">
                  <c:v>52.382311486962656</c:v>
                </c:pt>
                <c:pt idx="9">
                  <c:v>55.490133897110645</c:v>
                </c:pt>
                <c:pt idx="10">
                  <c:v>59.6338971106413</c:v>
                </c:pt>
                <c:pt idx="11">
                  <c:v>60.669837914023965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0-4A00-9B67-1F2B6F747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389856"/>
        <c:axId val="872392768"/>
      </c:scatte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C00-4A00-9B67-1F2B6F7472FA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C00-4A00-9B67-1F2B6F7472FA}"/>
              </c:ext>
            </c:extLst>
          </c:dPt>
          <c:xVal>
            <c:numRef>
              <c:f>('Лабораторная работа 2-3'!$B$4:$M$4,'Лабораторная работа 2-3'!$B$61,'Лабораторная работа 2-3'!$B$62)</c:f>
              <c:numCache>
                <c:formatCode>General</c:formatCode>
                <c:ptCount val="14"/>
                <c:pt idx="0">
                  <c:v>75</c:v>
                </c:pt>
                <c:pt idx="1">
                  <c:v>69</c:v>
                </c:pt>
                <c:pt idx="2">
                  <c:v>65</c:v>
                </c:pt>
                <c:pt idx="3">
                  <c:v>66</c:v>
                </c:pt>
                <c:pt idx="4">
                  <c:v>62</c:v>
                </c:pt>
                <c:pt idx="5">
                  <c:v>60</c:v>
                </c:pt>
                <c:pt idx="6">
                  <c:v>61</c:v>
                </c:pt>
                <c:pt idx="7">
                  <c:v>56</c:v>
                </c:pt>
                <c:pt idx="8">
                  <c:v>53</c:v>
                </c:pt>
                <c:pt idx="9">
                  <c:v>50</c:v>
                </c:pt>
                <c:pt idx="10">
                  <c:v>46</c:v>
                </c:pt>
                <c:pt idx="11">
                  <c:v>45</c:v>
                </c:pt>
                <c:pt idx="12">
                  <c:v>42.272727272727273</c:v>
                </c:pt>
                <c:pt idx="13">
                  <c:v>39.545454545454547</c:v>
                </c:pt>
              </c:numCache>
            </c:numRef>
          </c:xVal>
          <c:yVal>
            <c:numRef>
              <c:f>('Лабораторная работа 2-3'!$B$2:$M$2,'Лабораторная работа 2-3'!$E$61,'Лабораторная работа 2-3'!$E$62)</c:f>
              <c:numCache>
                <c:formatCode>General</c:formatCode>
                <c:ptCount val="14"/>
                <c:pt idx="0">
                  <c:v>30</c:v>
                </c:pt>
                <c:pt idx="1">
                  <c:v>34</c:v>
                </c:pt>
                <c:pt idx="2">
                  <c:v>36</c:v>
                </c:pt>
                <c:pt idx="3">
                  <c:v>40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52</c:v>
                </c:pt>
                <c:pt idx="8">
                  <c:v>53</c:v>
                </c:pt>
                <c:pt idx="9">
                  <c:v>55</c:v>
                </c:pt>
                <c:pt idx="10">
                  <c:v>58</c:v>
                </c:pt>
                <c:pt idx="11">
                  <c:v>60</c:v>
                </c:pt>
                <c:pt idx="12">
                  <c:v>63.495131014158503</c:v>
                </c:pt>
                <c:pt idx="13">
                  <c:v>66.320424114293047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00-4A00-9B67-1F2B6F747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389856"/>
        <c:axId val="872392768"/>
      </c:scatterChart>
      <c:valAx>
        <c:axId val="872389856"/>
        <c:scaling>
          <c:orientation val="minMax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2392768"/>
        <c:crosses val="autoZero"/>
        <c:crossBetween val="midCat"/>
        <c:majorUnit val="2"/>
      </c:valAx>
      <c:valAx>
        <c:axId val="8723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238985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29</xdr:row>
      <xdr:rowOff>104775</xdr:rowOff>
    </xdr:from>
    <xdr:to>
      <xdr:col>12</xdr:col>
      <xdr:colOff>400050</xdr:colOff>
      <xdr:row>41</xdr:row>
      <xdr:rowOff>95250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100012</xdr:colOff>
      <xdr:row>12</xdr:row>
      <xdr:rowOff>85725</xdr:rowOff>
    </xdr:from>
    <xdr:to>
      <xdr:col>13</xdr:col>
      <xdr:colOff>509587</xdr:colOff>
      <xdr:row>22</xdr:row>
      <xdr:rowOff>161925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171450</xdr:colOff>
      <xdr:row>57</xdr:row>
      <xdr:rowOff>57150</xdr:rowOff>
    </xdr:from>
    <xdr:to>
      <xdr:col>16</xdr:col>
      <xdr:colOff>180975</xdr:colOff>
      <xdr:row>67</xdr:row>
      <xdr:rowOff>133350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workbookViewId="0">
      <selection sqref="A1:K10"/>
    </sheetView>
  </sheetViews>
  <sheetFormatPr defaultRowHeight="14.4" x14ac:dyDescent="0.3"/>
  <cols>
    <col min="1" max="1" width="16" customWidth="1"/>
    <col min="2" max="2" width="11.6640625" bestFit="1" customWidth="1"/>
    <col min="3" max="6" width="11.5546875" bestFit="1" customWidth="1"/>
    <col min="7" max="7" width="10.5546875" customWidth="1"/>
    <col min="8" max="8" width="17" customWidth="1"/>
    <col min="9" max="9" width="9.109375" customWidth="1"/>
    <col min="10" max="10" width="11.6640625" customWidth="1"/>
    <col min="11" max="11" width="11.5546875" bestFit="1" customWidth="1"/>
    <col min="12" max="12" width="21.88671875" customWidth="1"/>
  </cols>
  <sheetData>
    <row r="1" spans="1:27" ht="28.8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19" t="s">
        <v>13</v>
      </c>
      <c r="I1" s="24" t="s">
        <v>16</v>
      </c>
      <c r="J1" s="19" t="s">
        <v>15</v>
      </c>
      <c r="K1" s="2"/>
      <c r="L1" s="12" t="s">
        <v>0</v>
      </c>
      <c r="M1" s="13" t="s">
        <v>1</v>
      </c>
      <c r="N1" s="13" t="s">
        <v>2</v>
      </c>
      <c r="O1" s="13" t="s">
        <v>3</v>
      </c>
      <c r="P1" s="13" t="s">
        <v>5</v>
      </c>
      <c r="Q1" s="13" t="s">
        <v>6</v>
      </c>
      <c r="R1" s="13" t="s">
        <v>7</v>
      </c>
      <c r="S1" s="14" t="s">
        <v>8</v>
      </c>
      <c r="U1" s="30"/>
    </row>
    <row r="2" spans="1:27" x14ac:dyDescent="0.3">
      <c r="A2" s="8" t="s">
        <v>9</v>
      </c>
      <c r="B2" s="9">
        <f>M2*B$10</f>
        <v>41800.890079750403</v>
      </c>
      <c r="C2" s="9">
        <f>N2*C$10</f>
        <v>33698.810748577736</v>
      </c>
      <c r="D2" s="9">
        <f t="shared" ref="D2:G2" si="0">O2*D$10</f>
        <v>59081.020950689148</v>
      </c>
      <c r="E2" s="9">
        <f t="shared" si="0"/>
        <v>43397.781959100452</v>
      </c>
      <c r="F2" s="9">
        <f t="shared" si="0"/>
        <v>65092.20973784566</v>
      </c>
      <c r="G2" s="9">
        <f t="shared" si="0"/>
        <v>13559.533079367826</v>
      </c>
      <c r="H2" s="34">
        <f>SUM(B2:G2)</f>
        <v>256630.24655533125</v>
      </c>
      <c r="I2" s="25">
        <v>86000</v>
      </c>
      <c r="J2" s="28">
        <f t="array" ref="J2:J7">MMULT(MINVERSE(_xlfn.MUNIT(6)-$M$2:$R$7),$S$2:$S$7)</f>
        <v>342630.24655533116</v>
      </c>
      <c r="K2" s="2"/>
      <c r="L2" s="15" t="s">
        <v>9</v>
      </c>
      <c r="M2" s="9">
        <v>0.122</v>
      </c>
      <c r="N2" s="9">
        <v>0.14299999999999999</v>
      </c>
      <c r="O2" s="9">
        <v>0.17599999999999999</v>
      </c>
      <c r="P2" s="9">
        <v>0.1</v>
      </c>
      <c r="Q2" s="9">
        <v>0.19500000000000001</v>
      </c>
      <c r="R2" s="9">
        <v>4.2000000000000003E-2</v>
      </c>
      <c r="S2" s="16">
        <v>86000</v>
      </c>
    </row>
    <row r="3" spans="1:27" x14ac:dyDescent="0.3">
      <c r="A3" s="8" t="s">
        <v>10</v>
      </c>
      <c r="B3" s="9">
        <f t="shared" ref="B3:B7" si="1">M3*B$10</f>
        <v>31864.612929645798</v>
      </c>
      <c r="C3" s="9">
        <f t="shared" ref="C3:C7" si="2">N3*C$10</f>
        <v>24036.91396052398</v>
      </c>
      <c r="D3" s="9">
        <f t="shared" ref="D3:D7" si="3">O3*D$10</f>
        <v>29876.19809438258</v>
      </c>
      <c r="E3" s="9">
        <f t="shared" ref="E3:E7" si="4">P3*E$10</f>
        <v>37322.092484826382</v>
      </c>
      <c r="F3" s="9">
        <f t="shared" ref="F3:F7" si="5">Q3*F$10</f>
        <v>19360.759819461786</v>
      </c>
      <c r="G3" s="9">
        <f t="shared" ref="G3:G7" si="6">R3*G$10</f>
        <v>49395.441931982787</v>
      </c>
      <c r="H3" s="34">
        <f t="shared" ref="H3:H7" si="7">SUM(B3:G3)</f>
        <v>191856.01922082331</v>
      </c>
      <c r="I3" s="25">
        <v>43800</v>
      </c>
      <c r="J3" s="28">
        <v>235656.01922082333</v>
      </c>
      <c r="K3" s="2"/>
      <c r="L3" s="15" t="s">
        <v>10</v>
      </c>
      <c r="M3" s="9">
        <v>9.2999999999999999E-2</v>
      </c>
      <c r="N3" s="9">
        <v>0.10199999999999999</v>
      </c>
      <c r="O3" s="9">
        <v>8.8999999999999996E-2</v>
      </c>
      <c r="P3" s="9">
        <v>8.5999999999999993E-2</v>
      </c>
      <c r="Q3" s="9">
        <v>5.8000000000000003E-2</v>
      </c>
      <c r="R3" s="9">
        <v>0.153</v>
      </c>
      <c r="S3" s="16">
        <v>43800</v>
      </c>
    </row>
    <row r="4" spans="1:27" x14ac:dyDescent="0.3">
      <c r="A4" s="8" t="s">
        <v>3</v>
      </c>
      <c r="B4" s="9">
        <f t="shared" si="1"/>
        <v>37004.066627975764</v>
      </c>
      <c r="C4" s="9">
        <f t="shared" si="2"/>
        <v>18381.169499224219</v>
      </c>
      <c r="D4" s="9">
        <f t="shared" si="3"/>
        <v>83586.217140463617</v>
      </c>
      <c r="E4" s="9">
        <f t="shared" si="4"/>
        <v>60756.894742740631</v>
      </c>
      <c r="F4" s="9">
        <f t="shared" si="5"/>
        <v>39389.132046491213</v>
      </c>
      <c r="G4" s="9">
        <f t="shared" si="6"/>
        <v>37450.138981111137</v>
      </c>
      <c r="H4" s="34">
        <f t="shared" si="7"/>
        <v>276567.61903800658</v>
      </c>
      <c r="I4" s="25">
        <v>59120</v>
      </c>
      <c r="J4" s="28">
        <v>335687.61903800652</v>
      </c>
      <c r="K4" s="2"/>
      <c r="L4" s="15" t="s">
        <v>3</v>
      </c>
      <c r="M4" s="9">
        <v>0.108</v>
      </c>
      <c r="N4" s="9">
        <v>7.8E-2</v>
      </c>
      <c r="O4" s="9">
        <v>0.249</v>
      </c>
      <c r="P4" s="9">
        <v>0.14000000000000001</v>
      </c>
      <c r="Q4" s="9">
        <v>0.11799999999999999</v>
      </c>
      <c r="R4" s="9">
        <v>0.11600000000000001</v>
      </c>
      <c r="S4" s="16">
        <v>59120</v>
      </c>
    </row>
    <row r="5" spans="1:27" x14ac:dyDescent="0.3">
      <c r="A5" s="8" t="s">
        <v>4</v>
      </c>
      <c r="B5" s="9">
        <f t="shared" si="1"/>
        <v>75378.654242172852</v>
      </c>
      <c r="C5" s="9">
        <f t="shared" si="2"/>
        <v>51608.668209360309</v>
      </c>
      <c r="D5" s="9">
        <f t="shared" si="3"/>
        <v>40953.889522636797</v>
      </c>
      <c r="E5" s="9">
        <f t="shared" si="4"/>
        <v>73776.229330470756</v>
      </c>
      <c r="F5" s="9">
        <f t="shared" si="5"/>
        <v>46732.868529735344</v>
      </c>
      <c r="G5" s="9">
        <f t="shared" si="6"/>
        <v>72317.509756628395</v>
      </c>
      <c r="H5" s="34">
        <f t="shared" si="7"/>
        <v>360767.81959100452</v>
      </c>
      <c r="I5" s="25">
        <v>73210</v>
      </c>
      <c r="J5" s="28">
        <v>433977.81959100446</v>
      </c>
      <c r="K5" s="2"/>
      <c r="L5" s="15" t="s">
        <v>4</v>
      </c>
      <c r="M5" s="9">
        <v>0.22</v>
      </c>
      <c r="N5" s="9">
        <v>0.219</v>
      </c>
      <c r="O5" s="9">
        <v>0.122</v>
      </c>
      <c r="P5" s="9">
        <v>0.17</v>
      </c>
      <c r="Q5" s="9">
        <v>0.14000000000000001</v>
      </c>
      <c r="R5" s="9">
        <v>0.224</v>
      </c>
      <c r="S5" s="16">
        <v>73210</v>
      </c>
    </row>
    <row r="6" spans="1:27" x14ac:dyDescent="0.3">
      <c r="A6" s="8" t="s">
        <v>11</v>
      </c>
      <c r="B6" s="9">
        <f t="shared" si="1"/>
        <v>51394.536983299673</v>
      </c>
      <c r="C6" s="9">
        <f t="shared" si="2"/>
        <v>27571.754248836332</v>
      </c>
      <c r="D6" s="9">
        <f t="shared" si="3"/>
        <v>53038.643808005028</v>
      </c>
      <c r="E6" s="9">
        <f t="shared" si="4"/>
        <v>79851.918804744826</v>
      </c>
      <c r="F6" s="9">
        <f t="shared" si="5"/>
        <v>22698.821857300027</v>
      </c>
      <c r="G6" s="9">
        <f t="shared" si="6"/>
        <v>26150.528081637949</v>
      </c>
      <c r="H6" s="34">
        <f t="shared" si="7"/>
        <v>260706.20378382388</v>
      </c>
      <c r="I6" s="25">
        <v>73100</v>
      </c>
      <c r="J6" s="28">
        <v>333806.20378382388</v>
      </c>
      <c r="K6" s="2"/>
      <c r="L6" s="15" t="s">
        <v>11</v>
      </c>
      <c r="M6" s="9">
        <v>0.15</v>
      </c>
      <c r="N6" s="9">
        <v>0.11700000000000001</v>
      </c>
      <c r="O6" s="9">
        <v>0.158</v>
      </c>
      <c r="P6" s="9">
        <v>0.184</v>
      </c>
      <c r="Q6" s="9">
        <v>6.8000000000000005E-2</v>
      </c>
      <c r="R6" s="9">
        <v>8.1000000000000003E-2</v>
      </c>
      <c r="S6" s="16">
        <v>73100</v>
      </c>
    </row>
    <row r="7" spans="1:27" x14ac:dyDescent="0.3">
      <c r="A7" s="10" t="s">
        <v>12</v>
      </c>
      <c r="B7" s="5">
        <f t="shared" si="1"/>
        <v>47282.974024635703</v>
      </c>
      <c r="C7" s="5">
        <f t="shared" si="2"/>
        <v>38883.243171435854</v>
      </c>
      <c r="D7" s="5">
        <f t="shared" si="3"/>
        <v>24505.196189774473</v>
      </c>
      <c r="E7" s="5">
        <f t="shared" si="4"/>
        <v>67266.562036605697</v>
      </c>
      <c r="F7" s="5">
        <f t="shared" si="5"/>
        <v>54076.605012979468</v>
      </c>
      <c r="G7" s="33">
        <f t="shared" si="6"/>
        <v>41001.445263802707</v>
      </c>
      <c r="H7" s="34">
        <f t="shared" si="7"/>
        <v>273016.02569923393</v>
      </c>
      <c r="I7" s="26">
        <v>49830</v>
      </c>
      <c r="J7" s="28">
        <v>322846.02569923393</v>
      </c>
      <c r="K7" s="2"/>
      <c r="L7" s="17" t="s">
        <v>12</v>
      </c>
      <c r="M7" s="5">
        <v>0.13800000000000001</v>
      </c>
      <c r="N7" s="5">
        <v>0.16500000000000001</v>
      </c>
      <c r="O7" s="5">
        <v>7.2999999999999995E-2</v>
      </c>
      <c r="P7" s="5">
        <v>0.155</v>
      </c>
      <c r="Q7" s="5">
        <v>0.16200000000000001</v>
      </c>
      <c r="R7" s="5">
        <v>0.127</v>
      </c>
      <c r="S7" s="18">
        <v>49830</v>
      </c>
    </row>
    <row r="8" spans="1:27" ht="15" thickBot="1" x14ac:dyDescent="0.35">
      <c r="A8" s="11" t="s">
        <v>13</v>
      </c>
      <c r="B8" s="36">
        <f>SUM(B2:B7)</f>
        <v>284725.73488748021</v>
      </c>
      <c r="C8" s="36">
        <f t="shared" ref="C8:G8" si="8">SUM(C2:C7)</f>
        <v>194180.55983795843</v>
      </c>
      <c r="D8" s="36">
        <f t="shared" si="8"/>
        <v>291041.16570595169</v>
      </c>
      <c r="E8" s="36">
        <f t="shared" si="8"/>
        <v>362371.47935848869</v>
      </c>
      <c r="F8" s="36">
        <f t="shared" si="8"/>
        <v>247350.3970038135</v>
      </c>
      <c r="G8" s="36">
        <f t="shared" si="8"/>
        <v>239874.59709453082</v>
      </c>
      <c r="H8" s="35">
        <f>SUM(H2:H7)</f>
        <v>1619543.9338882235</v>
      </c>
      <c r="I8" s="37">
        <f>SUM(I2:I7)</f>
        <v>385060</v>
      </c>
      <c r="J8" s="23">
        <f>SUM(J2:J7)</f>
        <v>2004603.9338882233</v>
      </c>
      <c r="K8" s="4">
        <f>I8+H8</f>
        <v>2004603.9338882235</v>
      </c>
      <c r="L8" s="3"/>
      <c r="M8" s="3"/>
    </row>
    <row r="9" spans="1:27" ht="28.8" x14ac:dyDescent="0.3">
      <c r="A9" s="20" t="s">
        <v>14</v>
      </c>
      <c r="B9" s="5">
        <f>B10-B8</f>
        <v>57904.511667850951</v>
      </c>
      <c r="C9" s="5">
        <f t="shared" ref="C9:G9" si="9">C10-C8</f>
        <v>41475.459382864909</v>
      </c>
      <c r="D9" s="5">
        <f t="shared" si="9"/>
        <v>44646.453332054836</v>
      </c>
      <c r="E9" s="5">
        <f t="shared" si="9"/>
        <v>71606.340232515766</v>
      </c>
      <c r="F9" s="5">
        <f t="shared" si="9"/>
        <v>86455.806780010374</v>
      </c>
      <c r="G9" s="5">
        <f t="shared" si="9"/>
        <v>82971.428604703106</v>
      </c>
      <c r="H9" s="34">
        <f>SUM(B9:G9)</f>
        <v>385059.99999999994</v>
      </c>
      <c r="I9" s="10"/>
      <c r="J9" s="29"/>
      <c r="K9" s="2"/>
      <c r="L9" s="3"/>
      <c r="M9" s="31"/>
      <c r="V9" s="32"/>
      <c r="W9" s="32"/>
      <c r="X9" s="32"/>
      <c r="Y9" s="32"/>
      <c r="Z9" s="32"/>
      <c r="AA9" s="32"/>
    </row>
    <row r="10" spans="1:27" ht="29.4" thickBot="1" x14ac:dyDescent="0.35">
      <c r="A10" s="22" t="s">
        <v>15</v>
      </c>
      <c r="B10" s="21">
        <f>J2</f>
        <v>342630.24655533116</v>
      </c>
      <c r="C10" s="21">
        <f>J3</f>
        <v>235656.01922082333</v>
      </c>
      <c r="D10" s="21">
        <f>J4</f>
        <v>335687.61903800652</v>
      </c>
      <c r="E10" s="21">
        <f>J5</f>
        <v>433977.81959100446</v>
      </c>
      <c r="F10" s="21">
        <f>J6</f>
        <v>333806.20378382388</v>
      </c>
      <c r="G10" s="21">
        <f>J7</f>
        <v>322846.02569923393</v>
      </c>
      <c r="H10" s="35">
        <f>SUM(B10:G10)</f>
        <v>2004603.9338882233</v>
      </c>
      <c r="I10" s="27"/>
      <c r="J10" s="23"/>
      <c r="K10" s="2"/>
      <c r="L10" s="3"/>
      <c r="M10" s="3"/>
      <c r="V10" s="32"/>
      <c r="W10" s="32"/>
      <c r="X10" s="32"/>
      <c r="Y10" s="32"/>
      <c r="Z10" s="32"/>
      <c r="AA10" s="32"/>
    </row>
    <row r="11" spans="1:2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V11" s="32"/>
      <c r="W11" s="32"/>
      <c r="X11" s="32"/>
      <c r="Y11" s="32"/>
      <c r="Z11" s="32"/>
      <c r="AA11" s="32"/>
    </row>
    <row r="12" spans="1:2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V12" s="32"/>
      <c r="W12" s="32"/>
      <c r="X12" s="32"/>
      <c r="Y12" s="32"/>
      <c r="Z12" s="32"/>
      <c r="AA12" s="32"/>
    </row>
    <row r="13" spans="1:27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V13" s="32"/>
      <c r="W13" s="32"/>
      <c r="X13" s="32"/>
      <c r="Y13" s="32"/>
      <c r="Z13" s="32"/>
      <c r="AA13" s="32"/>
    </row>
    <row r="14" spans="1:27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V14" s="32"/>
      <c r="W14" s="32"/>
      <c r="X14" s="32"/>
      <c r="Y14" s="32"/>
      <c r="Z14" s="32"/>
      <c r="AA14" s="32"/>
    </row>
    <row r="15" spans="1:27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27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V16" s="32"/>
      <c r="W16" s="32"/>
      <c r="X16" s="32"/>
      <c r="Y16" s="32"/>
      <c r="Z16" s="32"/>
      <c r="AA16" s="32"/>
    </row>
    <row r="17" spans="1:2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V17" s="32"/>
      <c r="W17" s="32"/>
      <c r="X17" s="32"/>
      <c r="Y17" s="32"/>
      <c r="Z17" s="32"/>
      <c r="AA17" s="32"/>
    </row>
    <row r="18" spans="1:2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V18" s="32"/>
      <c r="W18" s="32"/>
      <c r="X18" s="32"/>
      <c r="Y18" s="32"/>
      <c r="Z18" s="32"/>
      <c r="AA18" s="32"/>
    </row>
    <row r="19" spans="1:2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V19" s="32"/>
      <c r="W19" s="32"/>
      <c r="X19" s="32"/>
      <c r="Y19" s="32"/>
      <c r="Z19" s="32"/>
      <c r="AA19" s="32"/>
    </row>
    <row r="20" spans="1:2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V20" s="32"/>
      <c r="W20" s="32"/>
      <c r="X20" s="32"/>
      <c r="Y20" s="32"/>
      <c r="Z20" s="32"/>
      <c r="AA20" s="32"/>
    </row>
    <row r="21" spans="1:2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V21" s="32"/>
      <c r="W21" s="32"/>
      <c r="X21" s="32"/>
      <c r="Y21" s="32"/>
      <c r="Z21" s="32"/>
      <c r="AA21" s="32"/>
    </row>
    <row r="22" spans="1:2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2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2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2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tabSelected="1" zoomScale="85" zoomScaleNormal="85" workbookViewId="0">
      <selection activeCell="Q15" sqref="Q15"/>
    </sheetView>
  </sheetViews>
  <sheetFormatPr defaultRowHeight="14.4" x14ac:dyDescent="0.3"/>
  <cols>
    <col min="1" max="1" width="28.109375" bestFit="1" customWidth="1"/>
    <col min="2" max="2" width="7.5546875" customWidth="1"/>
    <col min="3" max="3" width="6.33203125" bestFit="1" customWidth="1"/>
    <col min="4" max="4" width="10.44140625" customWidth="1"/>
    <col min="5" max="9" width="5.33203125" bestFit="1" customWidth="1"/>
    <col min="10" max="10" width="5.5546875" bestFit="1" customWidth="1"/>
    <col min="11" max="11" width="5.33203125" bestFit="1" customWidth="1"/>
    <col min="12" max="13" width="6.33203125" bestFit="1" customWidth="1"/>
    <col min="14" max="14" width="18.5546875" customWidth="1"/>
    <col min="15" max="15" width="12" bestFit="1" customWidth="1"/>
    <col min="16" max="16" width="13.33203125" customWidth="1"/>
  </cols>
  <sheetData>
    <row r="1" spans="1:15" x14ac:dyDescent="0.3">
      <c r="A1" s="38" t="s">
        <v>17</v>
      </c>
      <c r="B1" s="84" t="s">
        <v>18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t="s">
        <v>22</v>
      </c>
    </row>
    <row r="2" spans="1:15" x14ac:dyDescent="0.3">
      <c r="A2" s="38" t="s">
        <v>19</v>
      </c>
      <c r="B2" s="38">
        <v>30</v>
      </c>
      <c r="C2" s="38">
        <v>34</v>
      </c>
      <c r="D2" s="38">
        <v>36</v>
      </c>
      <c r="E2" s="38">
        <v>40</v>
      </c>
      <c r="F2" s="38">
        <v>41</v>
      </c>
      <c r="G2" s="38">
        <v>46</v>
      </c>
      <c r="H2" s="38">
        <v>49</v>
      </c>
      <c r="I2" s="38">
        <v>52</v>
      </c>
      <c r="J2" s="38">
        <v>53</v>
      </c>
      <c r="K2" s="38">
        <v>55</v>
      </c>
      <c r="L2" s="38">
        <v>58</v>
      </c>
      <c r="M2" s="38">
        <v>60</v>
      </c>
      <c r="N2" s="40">
        <f>AVERAGE(B2:M2)</f>
        <v>46.166666666666664</v>
      </c>
      <c r="O2" s="39"/>
    </row>
    <row r="3" spans="1:15" x14ac:dyDescent="0.3">
      <c r="A3" s="38" t="s">
        <v>20</v>
      </c>
      <c r="B3" s="38">
        <v>45</v>
      </c>
      <c r="C3" s="38">
        <v>54</v>
      </c>
      <c r="D3" s="38">
        <v>55</v>
      </c>
      <c r="E3" s="38">
        <v>56</v>
      </c>
      <c r="F3" s="38">
        <v>60</v>
      </c>
      <c r="G3" s="38">
        <v>62</v>
      </c>
      <c r="H3" s="38">
        <v>58</v>
      </c>
      <c r="I3" s="38">
        <v>66</v>
      </c>
      <c r="J3" s="38">
        <v>75</v>
      </c>
      <c r="K3" s="38">
        <v>65</v>
      </c>
      <c r="L3" s="38">
        <v>71</v>
      </c>
      <c r="M3" s="38">
        <v>74</v>
      </c>
      <c r="N3" s="40">
        <f>AVERAGE(B3:M3)</f>
        <v>61.75</v>
      </c>
    </row>
    <row r="4" spans="1:15" x14ac:dyDescent="0.3">
      <c r="A4" s="38" t="s">
        <v>21</v>
      </c>
      <c r="B4" s="38">
        <v>75</v>
      </c>
      <c r="C4" s="38">
        <v>69</v>
      </c>
      <c r="D4" s="38">
        <v>65</v>
      </c>
      <c r="E4" s="38">
        <v>66</v>
      </c>
      <c r="F4" s="38">
        <v>62</v>
      </c>
      <c r="G4" s="38">
        <v>60</v>
      </c>
      <c r="H4" s="38">
        <v>61</v>
      </c>
      <c r="I4" s="38">
        <v>56</v>
      </c>
      <c r="J4" s="38">
        <v>53</v>
      </c>
      <c r="K4" s="38">
        <v>50</v>
      </c>
      <c r="L4" s="38">
        <v>46</v>
      </c>
      <c r="M4" s="38">
        <v>45</v>
      </c>
      <c r="N4" s="40">
        <f t="shared" ref="N4" si="0">AVERAGE(B4:M4)</f>
        <v>59</v>
      </c>
    </row>
    <row r="5" spans="1:1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8.8" x14ac:dyDescent="0.3">
      <c r="A6" s="2" t="s">
        <v>23</v>
      </c>
      <c r="B6" s="40">
        <f>B2-$N$2</f>
        <v>-16.166666666666664</v>
      </c>
      <c r="C6" s="40">
        <f>C2-$N$2</f>
        <v>-12.166666666666664</v>
      </c>
      <c r="D6" s="40">
        <f t="shared" ref="D6:M6" si="1">D2-$N$2</f>
        <v>-10.166666666666664</v>
      </c>
      <c r="E6" s="40">
        <f t="shared" si="1"/>
        <v>-6.1666666666666643</v>
      </c>
      <c r="F6" s="40">
        <f t="shared" si="1"/>
        <v>-5.1666666666666643</v>
      </c>
      <c r="G6" s="40">
        <f t="shared" si="1"/>
        <v>-0.1666666666666643</v>
      </c>
      <c r="H6" s="40">
        <f>H2-$N$2</f>
        <v>2.8333333333333357</v>
      </c>
      <c r="I6" s="40">
        <f t="shared" si="1"/>
        <v>5.8333333333333357</v>
      </c>
      <c r="J6" s="40">
        <f t="shared" si="1"/>
        <v>6.8333333333333357</v>
      </c>
      <c r="K6" s="40">
        <f t="shared" si="1"/>
        <v>8.8333333333333357</v>
      </c>
      <c r="L6" s="40">
        <f t="shared" si="1"/>
        <v>11.833333333333336</v>
      </c>
      <c r="M6" s="40">
        <f t="shared" si="1"/>
        <v>13.833333333333336</v>
      </c>
    </row>
    <row r="7" spans="1:15" ht="28.8" x14ac:dyDescent="0.3">
      <c r="A7" s="2" t="s">
        <v>24</v>
      </c>
      <c r="B7" s="40">
        <f>B3-$N$3</f>
        <v>-16.75</v>
      </c>
      <c r="C7" s="40">
        <f t="shared" ref="C7:M7" si="2">C3-$N$3</f>
        <v>-7.75</v>
      </c>
      <c r="D7" s="40">
        <f t="shared" si="2"/>
        <v>-6.75</v>
      </c>
      <c r="E7" s="40">
        <f t="shared" si="2"/>
        <v>-5.75</v>
      </c>
      <c r="F7" s="40">
        <f t="shared" si="2"/>
        <v>-1.75</v>
      </c>
      <c r="G7" s="40">
        <f t="shared" si="2"/>
        <v>0.25</v>
      </c>
      <c r="H7" s="40">
        <f t="shared" si="2"/>
        <v>-3.75</v>
      </c>
      <c r="I7" s="40">
        <f t="shared" si="2"/>
        <v>4.25</v>
      </c>
      <c r="J7" s="40">
        <f t="shared" si="2"/>
        <v>13.25</v>
      </c>
      <c r="K7" s="40">
        <f t="shared" si="2"/>
        <v>3.25</v>
      </c>
      <c r="L7" s="40">
        <f t="shared" si="2"/>
        <v>9.25</v>
      </c>
      <c r="M7" s="40">
        <f t="shared" si="2"/>
        <v>12.25</v>
      </c>
      <c r="N7" s="42" t="s">
        <v>29</v>
      </c>
      <c r="O7" s="39">
        <f>SUMPRODUCT(B7:M7,B$6:M$6)</f>
        <v>890.50000000000011</v>
      </c>
    </row>
    <row r="8" spans="1:15" ht="28.8" x14ac:dyDescent="0.3">
      <c r="A8" s="3" t="s">
        <v>25</v>
      </c>
      <c r="B8" s="40">
        <f>B4-$N$4</f>
        <v>16</v>
      </c>
      <c r="C8" s="40">
        <f t="shared" ref="C8:M8" si="3">C4-$N$4</f>
        <v>10</v>
      </c>
      <c r="D8" s="40">
        <f t="shared" si="3"/>
        <v>6</v>
      </c>
      <c r="E8" s="40">
        <f t="shared" si="3"/>
        <v>7</v>
      </c>
      <c r="F8" s="40">
        <f t="shared" si="3"/>
        <v>3</v>
      </c>
      <c r="G8" s="40">
        <f t="shared" si="3"/>
        <v>1</v>
      </c>
      <c r="H8" s="40">
        <f t="shared" si="3"/>
        <v>2</v>
      </c>
      <c r="I8" s="40">
        <f t="shared" si="3"/>
        <v>-3</v>
      </c>
      <c r="J8" s="40">
        <f t="shared" si="3"/>
        <v>-6</v>
      </c>
      <c r="K8" s="40">
        <f t="shared" si="3"/>
        <v>-9</v>
      </c>
      <c r="L8" s="40">
        <f t="shared" si="3"/>
        <v>-13</v>
      </c>
      <c r="M8" s="40">
        <f t="shared" si="3"/>
        <v>-14</v>
      </c>
      <c r="N8" s="42" t="s">
        <v>29</v>
      </c>
      <c r="O8" s="39">
        <f>SUMPRODUCT(B6:M6,B$8:M$8)</f>
        <v>-980</v>
      </c>
    </row>
    <row r="9" spans="1:15" x14ac:dyDescent="0.3">
      <c r="A9" s="3"/>
      <c r="B9" s="3"/>
      <c r="C9" s="3"/>
      <c r="D9" s="3"/>
      <c r="E9" s="3"/>
      <c r="F9" s="3"/>
      <c r="G9" s="3"/>
      <c r="I9" s="3"/>
      <c r="J9" s="3"/>
      <c r="K9" s="3"/>
      <c r="L9" s="3"/>
      <c r="M9" s="3"/>
    </row>
    <row r="10" spans="1:15" ht="28.8" x14ac:dyDescent="0.3">
      <c r="A10" s="2" t="s">
        <v>26</v>
      </c>
      <c r="B10" s="3">
        <f>POWER(B6,2)</f>
        <v>261.36111111111103</v>
      </c>
      <c r="C10" s="3">
        <f t="shared" ref="C10:M10" si="4">POWER(C6,2)</f>
        <v>148.02777777777771</v>
      </c>
      <c r="D10" s="3">
        <f t="shared" si="4"/>
        <v>103.36111111111106</v>
      </c>
      <c r="E10" s="3">
        <f t="shared" si="4"/>
        <v>38.02777777777775</v>
      </c>
      <c r="F10" s="3">
        <f t="shared" si="4"/>
        <v>26.694444444444422</v>
      </c>
      <c r="G10" s="3">
        <f t="shared" si="4"/>
        <v>2.7777777777776989E-2</v>
      </c>
      <c r="H10" s="3">
        <f t="shared" si="4"/>
        <v>8.027777777777791</v>
      </c>
      <c r="I10" s="3">
        <f t="shared" si="4"/>
        <v>34.027777777777807</v>
      </c>
      <c r="J10" s="3">
        <f t="shared" si="4"/>
        <v>46.694444444444478</v>
      </c>
      <c r="K10" s="3">
        <f t="shared" si="4"/>
        <v>78.027777777777814</v>
      </c>
      <c r="L10" s="3">
        <f t="shared" si="4"/>
        <v>140.02777777777783</v>
      </c>
      <c r="M10" s="3">
        <f t="shared" si="4"/>
        <v>191.36111111111117</v>
      </c>
      <c r="N10" s="41" t="s">
        <v>30</v>
      </c>
      <c r="O10" s="3">
        <f>SUM(B10:M10)</f>
        <v>1075.6666666666667</v>
      </c>
    </row>
    <row r="11" spans="1:15" ht="28.8" x14ac:dyDescent="0.3">
      <c r="A11" s="2" t="s">
        <v>27</v>
      </c>
      <c r="B11" s="3">
        <f>POWER(B7,2)</f>
        <v>280.5625</v>
      </c>
      <c r="C11" s="3">
        <f t="shared" ref="C11:M11" si="5">POWER(C7,2)</f>
        <v>60.0625</v>
      </c>
      <c r="D11" s="3">
        <f t="shared" si="5"/>
        <v>45.5625</v>
      </c>
      <c r="E11" s="3">
        <f t="shared" si="5"/>
        <v>33.0625</v>
      </c>
      <c r="F11" s="3">
        <f t="shared" si="5"/>
        <v>3.0625</v>
      </c>
      <c r="G11" s="3">
        <f t="shared" si="5"/>
        <v>6.25E-2</v>
      </c>
      <c r="H11" s="3">
        <f t="shared" si="5"/>
        <v>14.0625</v>
      </c>
      <c r="I11" s="3">
        <f t="shared" si="5"/>
        <v>18.0625</v>
      </c>
      <c r="J11" s="3">
        <f t="shared" si="5"/>
        <v>175.5625</v>
      </c>
      <c r="K11" s="3">
        <f t="shared" si="5"/>
        <v>10.5625</v>
      </c>
      <c r="L11" s="3">
        <f t="shared" si="5"/>
        <v>85.5625</v>
      </c>
      <c r="M11" s="3">
        <f t="shared" si="5"/>
        <v>150.0625</v>
      </c>
      <c r="N11" s="41" t="s">
        <v>30</v>
      </c>
      <c r="O11" s="3">
        <f>SUM(B11:M11)</f>
        <v>876.25</v>
      </c>
    </row>
    <row r="12" spans="1:15" x14ac:dyDescent="0.3">
      <c r="A12" s="2" t="s">
        <v>28</v>
      </c>
      <c r="B12" s="3">
        <f>POWER(B8,2)</f>
        <v>256</v>
      </c>
      <c r="C12" s="3">
        <f t="shared" ref="C12:M12" si="6">POWER(C8,2)</f>
        <v>100</v>
      </c>
      <c r="D12" s="3">
        <f t="shared" si="6"/>
        <v>36</v>
      </c>
      <c r="E12" s="3">
        <f t="shared" si="6"/>
        <v>49</v>
      </c>
      <c r="F12" s="3">
        <f t="shared" si="6"/>
        <v>9</v>
      </c>
      <c r="G12" s="3">
        <f t="shared" si="6"/>
        <v>1</v>
      </c>
      <c r="H12" s="3">
        <f t="shared" si="6"/>
        <v>4</v>
      </c>
      <c r="I12" s="3">
        <f t="shared" si="6"/>
        <v>9</v>
      </c>
      <c r="J12" s="3">
        <f t="shared" si="6"/>
        <v>36</v>
      </c>
      <c r="K12" s="3">
        <f t="shared" si="6"/>
        <v>81</v>
      </c>
      <c r="L12" s="3">
        <f t="shared" si="6"/>
        <v>169</v>
      </c>
      <c r="M12" s="3">
        <f t="shared" si="6"/>
        <v>196</v>
      </c>
      <c r="N12" s="41" t="s">
        <v>30</v>
      </c>
      <c r="O12" s="3">
        <f>SUM(B12:M12)</f>
        <v>946</v>
      </c>
    </row>
    <row r="14" spans="1:15" x14ac:dyDescent="0.3">
      <c r="A14" s="2" t="s">
        <v>59</v>
      </c>
      <c r="B14">
        <f>SQRT(O12*$O$10)</f>
        <v>1008.7520342813028</v>
      </c>
    </row>
    <row r="15" spans="1:15" ht="28.8" x14ac:dyDescent="0.3">
      <c r="A15" s="2" t="s">
        <v>31</v>
      </c>
      <c r="B15">
        <f>SQRT(O11*$O$10)</f>
        <v>970.85164503474311</v>
      </c>
    </row>
    <row r="17" spans="1:16" ht="28.8" x14ac:dyDescent="0.3">
      <c r="A17" s="46" t="s">
        <v>60</v>
      </c>
      <c r="B17" s="47">
        <f>O8/B14</f>
        <v>-0.97149742126489236</v>
      </c>
    </row>
    <row r="18" spans="1:16" x14ac:dyDescent="0.3">
      <c r="A18" s="48"/>
      <c r="B18" s="48"/>
    </row>
    <row r="19" spans="1:16" ht="43.2" x14ac:dyDescent="0.3">
      <c r="A19" s="46" t="s">
        <v>32</v>
      </c>
      <c r="B19" s="48">
        <f>O7/B15</f>
        <v>0.9172359181284927</v>
      </c>
    </row>
    <row r="21" spans="1:16" x14ac:dyDescent="0.3">
      <c r="A21" s="41" t="s">
        <v>33</v>
      </c>
      <c r="B21">
        <f>N2-B22*N4</f>
        <v>107.28717406624384</v>
      </c>
    </row>
    <row r="22" spans="1:16" x14ac:dyDescent="0.3">
      <c r="A22" s="41" t="s">
        <v>34</v>
      </c>
      <c r="B22">
        <f>O8/O12</f>
        <v>-1.0359408033826638</v>
      </c>
    </row>
    <row r="23" spans="1:16" ht="28.8" x14ac:dyDescent="0.3">
      <c r="A23" s="49" t="s">
        <v>35</v>
      </c>
    </row>
    <row r="24" spans="1:16" x14ac:dyDescent="0.3">
      <c r="A24" s="50" t="s">
        <v>61</v>
      </c>
      <c r="B24" s="48">
        <f>$B$21+$B$22*B4</f>
        <v>29.591613812544054</v>
      </c>
      <c r="C24" s="48">
        <f t="shared" ref="C24:M24" si="7">$B$21+$B$22*C4</f>
        <v>35.807258632840032</v>
      </c>
      <c r="D24" s="48">
        <f t="shared" si="7"/>
        <v>39.951021846370693</v>
      </c>
      <c r="E24" s="48">
        <f t="shared" si="7"/>
        <v>38.915081042988021</v>
      </c>
      <c r="F24" s="48">
        <f t="shared" si="7"/>
        <v>43.058844256518682</v>
      </c>
      <c r="G24" s="48">
        <f t="shared" si="7"/>
        <v>45.130725863284006</v>
      </c>
      <c r="H24" s="48">
        <f t="shared" si="7"/>
        <v>44.094785059901341</v>
      </c>
      <c r="I24" s="48">
        <f t="shared" si="7"/>
        <v>49.27448907681466</v>
      </c>
      <c r="J24" s="48">
        <f t="shared" si="7"/>
        <v>52.382311486962656</v>
      </c>
      <c r="K24" s="48">
        <f t="shared" si="7"/>
        <v>55.490133897110645</v>
      </c>
      <c r="L24" s="48">
        <f t="shared" si="7"/>
        <v>59.6338971106413</v>
      </c>
      <c r="M24" s="48">
        <f t="shared" si="7"/>
        <v>60.669837914023965</v>
      </c>
    </row>
    <row r="26" spans="1:16" x14ac:dyDescent="0.3">
      <c r="A26" s="51" t="s">
        <v>36</v>
      </c>
      <c r="B26" s="47">
        <f>B21*(N4/N2)</f>
        <v>137.11068454675208</v>
      </c>
    </row>
    <row r="27" spans="1:16" ht="28.8" x14ac:dyDescent="0.3">
      <c r="A27" s="41" t="s">
        <v>37</v>
      </c>
      <c r="B27">
        <f>B2-B24</f>
        <v>0.40838618745594601</v>
      </c>
      <c r="C27">
        <f t="shared" ref="C27:M27" si="8">C2-C24</f>
        <v>-1.807258632840032</v>
      </c>
      <c r="D27">
        <f t="shared" si="8"/>
        <v>-3.9510218463706934</v>
      </c>
      <c r="E27">
        <f t="shared" si="8"/>
        <v>1.084918957011979</v>
      </c>
      <c r="F27">
        <f t="shared" si="8"/>
        <v>-2.0588442565186824</v>
      </c>
      <c r="G27">
        <f t="shared" si="8"/>
        <v>0.86927413671599396</v>
      </c>
      <c r="H27">
        <f t="shared" si="8"/>
        <v>4.9052149400986593</v>
      </c>
      <c r="I27">
        <f t="shared" si="8"/>
        <v>2.7255109231853396</v>
      </c>
      <c r="J27">
        <f t="shared" si="8"/>
        <v>0.61768851303734351</v>
      </c>
      <c r="K27">
        <f t="shared" si="8"/>
        <v>-0.49013389711064548</v>
      </c>
      <c r="L27">
        <f t="shared" si="8"/>
        <v>-1.6338971106412998</v>
      </c>
      <c r="M27">
        <f t="shared" si="8"/>
        <v>-0.6698379140239652</v>
      </c>
      <c r="N27" s="49" t="s">
        <v>38</v>
      </c>
      <c r="O27" s="52">
        <f>SUM(B27:M27)</f>
        <v>-5.6843418860808015E-14</v>
      </c>
      <c r="P27" s="1"/>
    </row>
    <row r="28" spans="1:16" ht="28.8" x14ac:dyDescent="0.3">
      <c r="A28" s="42" t="s">
        <v>54</v>
      </c>
      <c r="B28">
        <f>ABS(B27)</f>
        <v>0.40838618745594601</v>
      </c>
      <c r="C28">
        <f t="shared" ref="C28:M28" si="9">ABS(C27)</f>
        <v>1.807258632840032</v>
      </c>
      <c r="D28">
        <f t="shared" si="9"/>
        <v>3.9510218463706934</v>
      </c>
      <c r="E28">
        <f t="shared" si="9"/>
        <v>1.084918957011979</v>
      </c>
      <c r="F28">
        <f t="shared" si="9"/>
        <v>2.0588442565186824</v>
      </c>
      <c r="G28">
        <f t="shared" si="9"/>
        <v>0.86927413671599396</v>
      </c>
      <c r="H28">
        <f t="shared" si="9"/>
        <v>4.9052149400986593</v>
      </c>
      <c r="I28">
        <f t="shared" si="9"/>
        <v>2.7255109231853396</v>
      </c>
      <c r="J28">
        <f t="shared" si="9"/>
        <v>0.61768851303734351</v>
      </c>
      <c r="K28">
        <f t="shared" si="9"/>
        <v>0.49013389711064548</v>
      </c>
      <c r="L28">
        <f t="shared" si="9"/>
        <v>1.6338971106412998</v>
      </c>
      <c r="M28">
        <f t="shared" si="9"/>
        <v>0.6698379140239652</v>
      </c>
      <c r="N28" s="41" t="s">
        <v>53</v>
      </c>
      <c r="O28" s="43">
        <f>SUM(B28:M28)</f>
        <v>21.22198731501058</v>
      </c>
    </row>
    <row r="29" spans="1:16" x14ac:dyDescent="0.3">
      <c r="B29">
        <f>B28/B2</f>
        <v>1.36128729151982E-2</v>
      </c>
      <c r="C29">
        <f t="shared" ref="C29:M29" si="10">C28/C2</f>
        <v>5.3154665671765647E-2</v>
      </c>
      <c r="D29">
        <f t="shared" si="10"/>
        <v>0.10975060684363037</v>
      </c>
      <c r="E29">
        <f t="shared" si="10"/>
        <v>2.7122973925299478E-2</v>
      </c>
      <c r="F29">
        <f t="shared" si="10"/>
        <v>5.0215713573626398E-2</v>
      </c>
      <c r="G29">
        <f t="shared" si="10"/>
        <v>1.8897263841652044E-2</v>
      </c>
      <c r="H29">
        <f t="shared" si="10"/>
        <v>0.10010642734895223</v>
      </c>
      <c r="I29">
        <f t="shared" si="10"/>
        <v>5.2413671599718069E-2</v>
      </c>
      <c r="J29">
        <f t="shared" si="10"/>
        <v>1.1654500245987614E-2</v>
      </c>
      <c r="K29">
        <f t="shared" si="10"/>
        <v>8.9115254020117364E-3</v>
      </c>
      <c r="L29">
        <f t="shared" si="10"/>
        <v>2.81706398386431E-2</v>
      </c>
      <c r="M29">
        <f t="shared" si="10"/>
        <v>1.1163965233732753E-2</v>
      </c>
      <c r="N29" s="41" t="s">
        <v>30</v>
      </c>
      <c r="O29" s="43">
        <f>SUM(B29:M29)</f>
        <v>0.48517482644021764</v>
      </c>
    </row>
    <row r="30" spans="1:16" ht="28.8" x14ac:dyDescent="0.3">
      <c r="N30" s="1" t="s">
        <v>39</v>
      </c>
      <c r="O30">
        <f>INT(2*(12-2)/3-2*SQRT((16*12-29)/90))</f>
        <v>3</v>
      </c>
    </row>
    <row r="31" spans="1:16" x14ac:dyDescent="0.3">
      <c r="N31" t="s">
        <v>62</v>
      </c>
    </row>
    <row r="32" spans="1:16" ht="28.8" x14ac:dyDescent="0.3">
      <c r="N32" s="53" t="s">
        <v>40</v>
      </c>
    </row>
    <row r="43" spans="1:15" ht="28.8" x14ac:dyDescent="0.3">
      <c r="A43" s="42" t="s">
        <v>41</v>
      </c>
      <c r="B43">
        <f>POWER(B27,2)</f>
        <v>0.16677927810480309</v>
      </c>
      <c r="C43">
        <f t="shared" ref="C43:L43" si="11">POWER(C27,2)</f>
        <v>3.2661837659748216</v>
      </c>
      <c r="D43">
        <f t="shared" si="11"/>
        <v>15.610573630498484</v>
      </c>
      <c r="E43">
        <f t="shared" si="11"/>
        <v>1.1770491432839605</v>
      </c>
      <c r="F43">
        <f t="shared" si="11"/>
        <v>4.2388396725999664</v>
      </c>
      <c r="G43">
        <f t="shared" si="11"/>
        <v>0.75563752476333657</v>
      </c>
      <c r="H43">
        <f t="shared" si="11"/>
        <v>24.061133608567093</v>
      </c>
      <c r="I43">
        <f t="shared" si="11"/>
        <v>7.4284097924026025</v>
      </c>
      <c r="J43">
        <f t="shared" si="11"/>
        <v>0.38153909913828449</v>
      </c>
      <c r="K43">
        <f t="shared" si="11"/>
        <v>0.2402312370968688</v>
      </c>
      <c r="L43">
        <f t="shared" si="11"/>
        <v>2.6696197681619882</v>
      </c>
      <c r="M43">
        <f>POWER(M27,2)</f>
        <v>0.44868283106397699</v>
      </c>
      <c r="N43" s="41" t="s">
        <v>30</v>
      </c>
      <c r="O43" s="43">
        <f>SUM(B43:M43)</f>
        <v>60.444679351656191</v>
      </c>
    </row>
    <row r="44" spans="1:15" x14ac:dyDescent="0.3">
      <c r="A44" s="41" t="s">
        <v>42</v>
      </c>
      <c r="C44">
        <f>C27-B27</f>
        <v>-2.215644820295978</v>
      </c>
      <c r="D44">
        <f t="shared" ref="D44:M44" si="12">D27-C27</f>
        <v>-2.1437632135306615</v>
      </c>
      <c r="E44">
        <f t="shared" si="12"/>
        <v>5.0359408033826725</v>
      </c>
      <c r="F44">
        <f t="shared" si="12"/>
        <v>-3.1437632135306615</v>
      </c>
      <c r="G44">
        <f t="shared" si="12"/>
        <v>2.9281183932346764</v>
      </c>
      <c r="H44">
        <f t="shared" si="12"/>
        <v>4.0359408033826654</v>
      </c>
      <c r="I44">
        <f t="shared" si="12"/>
        <v>-2.1797040169133197</v>
      </c>
      <c r="J44">
        <f t="shared" si="12"/>
        <v>-2.1078224101479961</v>
      </c>
      <c r="K44">
        <f t="shared" si="12"/>
        <v>-1.107822410147989</v>
      </c>
      <c r="L44">
        <f t="shared" si="12"/>
        <v>-1.1437632135306544</v>
      </c>
      <c r="M44">
        <f t="shared" si="12"/>
        <v>0.96405919661733463</v>
      </c>
    </row>
    <row r="45" spans="1:15" x14ac:dyDescent="0.3">
      <c r="A45" s="41" t="s">
        <v>43</v>
      </c>
      <c r="C45">
        <f>POWER(C44,2)</f>
        <v>4.9090819697043964</v>
      </c>
      <c r="D45">
        <f t="shared" ref="D45:M45" si="13">POWER(D44,2)</f>
        <v>4.5957207156873086</v>
      </c>
      <c r="E45">
        <f t="shared" si="13"/>
        <v>25.360699775174517</v>
      </c>
      <c r="F45">
        <f t="shared" si="13"/>
        <v>9.8832471427486315</v>
      </c>
      <c r="G45">
        <f t="shared" si="13"/>
        <v>8.5738773247992235</v>
      </c>
      <c r="H45">
        <f t="shared" si="13"/>
        <v>16.288818168409115</v>
      </c>
      <c r="I45">
        <f t="shared" si="13"/>
        <v>4.7511096013480616</v>
      </c>
      <c r="J45">
        <f t="shared" si="13"/>
        <v>4.442915312722107</v>
      </c>
      <c r="K45">
        <f t="shared" si="13"/>
        <v>1.2272704924260991</v>
      </c>
      <c r="L45">
        <f t="shared" si="13"/>
        <v>1.3081942886259692</v>
      </c>
      <c r="M45">
        <f t="shared" si="13"/>
        <v>0.92941013458246069</v>
      </c>
      <c r="N45" s="41" t="s">
        <v>30</v>
      </c>
      <c r="O45" s="43">
        <f>SUM(C45:M45)</f>
        <v>82.270344926227892</v>
      </c>
    </row>
    <row r="46" spans="1:15" x14ac:dyDescent="0.3">
      <c r="A46" s="41"/>
    </row>
    <row r="47" spans="1:15" x14ac:dyDescent="0.3">
      <c r="A47" s="54" t="s">
        <v>44</v>
      </c>
      <c r="B47" s="55">
        <f>O45/O43</f>
        <v>1.3610849756947825</v>
      </c>
      <c r="C47" s="45"/>
      <c r="D47" s="45" t="s">
        <v>45</v>
      </c>
      <c r="E47" s="45">
        <v>1.08</v>
      </c>
    </row>
    <row r="48" spans="1:15" x14ac:dyDescent="0.3">
      <c r="A48" s="56" t="s">
        <v>47</v>
      </c>
      <c r="B48" s="57"/>
      <c r="C48" s="45"/>
      <c r="D48" s="45" t="s">
        <v>46</v>
      </c>
      <c r="E48" s="45">
        <v>1.36</v>
      </c>
    </row>
    <row r="50" spans="1:15" ht="28.8" x14ac:dyDescent="0.3">
      <c r="A50" s="42" t="s">
        <v>48</v>
      </c>
      <c r="B50">
        <f>MAX(B27:M27)</f>
        <v>4.9052149400986593</v>
      </c>
      <c r="N50" s="42" t="s">
        <v>52</v>
      </c>
      <c r="O50" s="44">
        <f>1/12*O29</f>
        <v>4.0431235536684804E-2</v>
      </c>
    </row>
    <row r="51" spans="1:15" ht="28.8" x14ac:dyDescent="0.3">
      <c r="A51" s="42" t="s">
        <v>49</v>
      </c>
      <c r="B51">
        <f>MIN(B27:M27)</f>
        <v>-3.9510218463706934</v>
      </c>
      <c r="N51" t="s">
        <v>55</v>
      </c>
      <c r="O51">
        <v>2.72</v>
      </c>
    </row>
    <row r="52" spans="1:15" ht="28.8" x14ac:dyDescent="0.3">
      <c r="A52" s="42" t="s">
        <v>50</v>
      </c>
      <c r="B52">
        <f>SQRT(O43/(12-1))</f>
        <v>2.3441354163423584</v>
      </c>
      <c r="N52" t="s">
        <v>56</v>
      </c>
      <c r="O52">
        <v>4.0199999999999996</v>
      </c>
    </row>
    <row r="53" spans="1:15" x14ac:dyDescent="0.3">
      <c r="A53" s="50" t="s">
        <v>51</v>
      </c>
      <c r="B53" s="47">
        <f>(B50-B51)/B52</f>
        <v>3.7780397517682949</v>
      </c>
    </row>
    <row r="54" spans="1:15" x14ac:dyDescent="0.3">
      <c r="A54" s="51" t="s">
        <v>57</v>
      </c>
      <c r="B54" s="48"/>
    </row>
    <row r="56" spans="1:15" x14ac:dyDescent="0.3">
      <c r="A56" s="51" t="s">
        <v>58</v>
      </c>
      <c r="B56" s="52">
        <f>1-O50</f>
        <v>0.95956876446331518</v>
      </c>
    </row>
    <row r="58" spans="1:15" x14ac:dyDescent="0.3">
      <c r="A58" t="s">
        <v>63</v>
      </c>
    </row>
    <row r="59" spans="1:15" x14ac:dyDescent="0.3">
      <c r="A59" s="41" t="s">
        <v>64</v>
      </c>
      <c r="B59">
        <f>(M4-B4)/(12-1)</f>
        <v>-2.7272727272727271</v>
      </c>
    </row>
    <row r="60" spans="1:15" x14ac:dyDescent="0.3">
      <c r="A60" s="48" t="s">
        <v>69</v>
      </c>
    </row>
    <row r="61" spans="1:15" x14ac:dyDescent="0.3">
      <c r="A61" s="41" t="s">
        <v>65</v>
      </c>
      <c r="B61">
        <f>M4+$B$59*1</f>
        <v>42.272727272727273</v>
      </c>
      <c r="D61" t="s">
        <v>67</v>
      </c>
      <c r="E61">
        <f>$B$21+$B$22*B61</f>
        <v>63.495131014158503</v>
      </c>
    </row>
    <row r="62" spans="1:15" x14ac:dyDescent="0.3">
      <c r="A62" s="41" t="s">
        <v>66</v>
      </c>
      <c r="B62">
        <f>M4+$B$59*2</f>
        <v>39.545454545454547</v>
      </c>
      <c r="D62" t="s">
        <v>68</v>
      </c>
      <c r="E62">
        <f>$B$21+$B$22*B62</f>
        <v>66.320424114293047</v>
      </c>
    </row>
    <row r="63" spans="1:15" x14ac:dyDescent="0.3">
      <c r="A63" s="58" t="s">
        <v>70</v>
      </c>
    </row>
    <row r="64" spans="1:15" ht="43.2" x14ac:dyDescent="0.3">
      <c r="A64" s="42" t="s">
        <v>71</v>
      </c>
      <c r="B64">
        <f>SQRT(O43/12-1)</f>
        <v>2.0092427958407653</v>
      </c>
    </row>
    <row r="65" spans="1:8" x14ac:dyDescent="0.3">
      <c r="A65" s="41" t="s">
        <v>72</v>
      </c>
      <c r="B65">
        <v>1.7959000000000001</v>
      </c>
    </row>
    <row r="66" spans="1:8" ht="28.8" x14ac:dyDescent="0.3">
      <c r="A66" s="41" t="s">
        <v>73</v>
      </c>
      <c r="B66">
        <f>$B$64*$B$65*SQRT(1+1/12+(POWER(B61-$N$4,2)/$O$12))</f>
        <v>4.2375370897838467</v>
      </c>
      <c r="D66" s="1" t="s">
        <v>75</v>
      </c>
      <c r="E66">
        <f>E61-B66</f>
        <v>59.257593924374653</v>
      </c>
      <c r="F66" s="59" t="s">
        <v>77</v>
      </c>
      <c r="G66">
        <f>E61+B66</f>
        <v>67.732668103942345</v>
      </c>
      <c r="H66" t="s">
        <v>76</v>
      </c>
    </row>
    <row r="67" spans="1:8" ht="28.8" x14ac:dyDescent="0.3">
      <c r="A67" s="41" t="s">
        <v>74</v>
      </c>
      <c r="B67">
        <f>$B$64*$B$65*SQRT(1+1/12+(POWER(B62-$N$4,2)/$O$12))</f>
        <v>4.3948719468585242</v>
      </c>
      <c r="D67" s="1" t="s">
        <v>75</v>
      </c>
      <c r="E67">
        <f>E62-B67</f>
        <v>61.925552167434525</v>
      </c>
      <c r="F67" s="59" t="s">
        <v>77</v>
      </c>
      <c r="G67">
        <f>E62+B67</f>
        <v>70.715296061151577</v>
      </c>
      <c r="H67" t="s">
        <v>76</v>
      </c>
    </row>
  </sheetData>
  <mergeCells count="1">
    <mergeCell ref="B1:M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I30" sqref="I30"/>
    </sheetView>
  </sheetViews>
  <sheetFormatPr defaultRowHeight="14.4" x14ac:dyDescent="0.3"/>
  <cols>
    <col min="1" max="1" width="13.88671875" style="3" bestFit="1" customWidth="1"/>
    <col min="2" max="5" width="9.109375" style="3"/>
    <col min="6" max="6" width="13.44140625" style="3" bestFit="1" customWidth="1"/>
    <col min="7" max="7" width="13.44140625" bestFit="1" customWidth="1"/>
    <col min="8" max="8" width="31.88671875" bestFit="1" customWidth="1"/>
    <col min="11" max="11" width="13.109375" bestFit="1" customWidth="1"/>
  </cols>
  <sheetData>
    <row r="1" spans="1:13" x14ac:dyDescent="0.3">
      <c r="A1" s="84" t="s">
        <v>78</v>
      </c>
      <c r="B1" s="84" t="s">
        <v>79</v>
      </c>
      <c r="C1" s="84"/>
      <c r="D1" s="84"/>
      <c r="E1" s="84"/>
      <c r="F1" s="60" t="s">
        <v>84</v>
      </c>
      <c r="K1" t="s">
        <v>93</v>
      </c>
    </row>
    <row r="2" spans="1:13" x14ac:dyDescent="0.3">
      <c r="A2" s="84"/>
      <c r="B2" s="60" t="s">
        <v>80</v>
      </c>
      <c r="C2" s="60" t="s">
        <v>81</v>
      </c>
      <c r="D2" s="60" t="s">
        <v>82</v>
      </c>
      <c r="E2" s="60" t="s">
        <v>83</v>
      </c>
      <c r="F2" s="60"/>
      <c r="H2" s="48" t="s">
        <v>89</v>
      </c>
      <c r="K2" s="73">
        <f>SUMPRODUCT($B$8:$E$8,B3:E3)</f>
        <v>80</v>
      </c>
      <c r="L2" s="3" t="s">
        <v>96</v>
      </c>
      <c r="M2" s="3">
        <f>F3</f>
        <v>120</v>
      </c>
    </row>
    <row r="3" spans="1:13" x14ac:dyDescent="0.3">
      <c r="A3" s="3" t="s">
        <v>85</v>
      </c>
      <c r="B3" s="61">
        <v>1</v>
      </c>
      <c r="C3" s="61">
        <v>0</v>
      </c>
      <c r="D3" s="61">
        <v>2</v>
      </c>
      <c r="E3" s="61">
        <v>1</v>
      </c>
      <c r="F3" s="64">
        <v>120</v>
      </c>
      <c r="H3" s="70" t="s">
        <v>90</v>
      </c>
      <c r="I3" s="73">
        <f>SUMPRODUCT(B6:E6,B8:E8)</f>
        <v>2160</v>
      </c>
      <c r="K3" s="73">
        <f>SUMPRODUCT($B$8:$E$8,B4:E4)</f>
        <v>240</v>
      </c>
      <c r="L3" s="3" t="s">
        <v>96</v>
      </c>
      <c r="M3" s="3">
        <f>F4</f>
        <v>240</v>
      </c>
    </row>
    <row r="4" spans="1:13" x14ac:dyDescent="0.3">
      <c r="A4" s="3" t="s">
        <v>86</v>
      </c>
      <c r="B4" s="62">
        <v>0</v>
      </c>
      <c r="C4" s="62">
        <v>1</v>
      </c>
      <c r="D4" s="62">
        <v>3</v>
      </c>
      <c r="E4" s="62">
        <v>2</v>
      </c>
      <c r="F4" s="66">
        <v>240</v>
      </c>
      <c r="K4" s="73">
        <f>SUMPRODUCT($B$8:$E$8,B5:E5)</f>
        <v>800</v>
      </c>
      <c r="L4" s="3" t="s">
        <v>96</v>
      </c>
      <c r="M4" s="3">
        <f>F5</f>
        <v>800</v>
      </c>
    </row>
    <row r="5" spans="1:13" x14ac:dyDescent="0.3">
      <c r="A5" s="3" t="s">
        <v>87</v>
      </c>
      <c r="B5" s="63">
        <v>4</v>
      </c>
      <c r="C5" s="63">
        <v>2</v>
      </c>
      <c r="D5" s="63">
        <v>0</v>
      </c>
      <c r="E5" s="63">
        <v>4</v>
      </c>
      <c r="F5" s="67">
        <v>800</v>
      </c>
    </row>
    <row r="6" spans="1:13" x14ac:dyDescent="0.3">
      <c r="A6" s="60" t="s">
        <v>88</v>
      </c>
      <c r="B6" s="60">
        <v>9</v>
      </c>
      <c r="C6" s="60">
        <v>6</v>
      </c>
      <c r="D6" s="60">
        <v>4</v>
      </c>
      <c r="E6" s="60">
        <v>7</v>
      </c>
      <c r="F6" s="60"/>
      <c r="H6" s="71" t="s">
        <v>91</v>
      </c>
      <c r="K6" s="74">
        <f>SUMPRODUCT($F$9:$F$11,B3:B5)</f>
        <v>9</v>
      </c>
      <c r="L6" s="3" t="s">
        <v>97</v>
      </c>
      <c r="M6">
        <f>B6</f>
        <v>9</v>
      </c>
    </row>
    <row r="7" spans="1:13" x14ac:dyDescent="0.3">
      <c r="H7" s="3" t="s">
        <v>92</v>
      </c>
      <c r="I7" s="74">
        <f>SUMPRODUCT(F9:F11,F3:F5)</f>
        <v>2160</v>
      </c>
      <c r="K7" s="74">
        <f>SUMPRODUCT($F$9:$F$11,C3:C5)</f>
        <v>6</v>
      </c>
      <c r="L7" s="3" t="s">
        <v>97</v>
      </c>
      <c r="M7">
        <f>C6</f>
        <v>6</v>
      </c>
    </row>
    <row r="8" spans="1:13" x14ac:dyDescent="0.3">
      <c r="A8" s="69" t="s">
        <v>94</v>
      </c>
      <c r="B8" s="68">
        <v>80</v>
      </c>
      <c r="C8" s="68">
        <v>240</v>
      </c>
      <c r="D8" s="68">
        <v>0</v>
      </c>
      <c r="E8" s="68">
        <v>0</v>
      </c>
      <c r="F8" s="3" t="s">
        <v>95</v>
      </c>
      <c r="K8" s="74">
        <f>SUMPRODUCT($F$9:$F$11,D3:D5)</f>
        <v>4.5000000000000009</v>
      </c>
      <c r="L8" s="3" t="s">
        <v>97</v>
      </c>
      <c r="M8">
        <f>D6</f>
        <v>4</v>
      </c>
    </row>
    <row r="9" spans="1:13" x14ac:dyDescent="0.3">
      <c r="A9" s="30"/>
      <c r="B9" s="70"/>
      <c r="C9" s="70"/>
      <c r="D9" s="70"/>
      <c r="E9" s="70"/>
      <c r="F9" s="75">
        <v>0</v>
      </c>
      <c r="K9" s="74">
        <f>SUMPRODUCT($F$9:$F$11,E3:E5)</f>
        <v>12</v>
      </c>
      <c r="L9" s="3" t="s">
        <v>97</v>
      </c>
      <c r="M9">
        <f>E6</f>
        <v>7</v>
      </c>
    </row>
    <row r="10" spans="1:13" x14ac:dyDescent="0.3">
      <c r="A10" s="72"/>
      <c r="B10" s="65"/>
      <c r="C10" s="65"/>
      <c r="D10" s="65"/>
      <c r="E10" s="65"/>
      <c r="F10" s="76">
        <v>1.5000000000000002</v>
      </c>
    </row>
    <row r="11" spans="1:13" x14ac:dyDescent="0.3">
      <c r="A11" s="72"/>
      <c r="B11" s="65"/>
      <c r="C11" s="65"/>
      <c r="D11" s="65"/>
      <c r="E11" s="65"/>
      <c r="F11" s="75">
        <v>2.25</v>
      </c>
    </row>
    <row r="12" spans="1:13" x14ac:dyDescent="0.3">
      <c r="A12" s="72"/>
      <c r="B12" s="65"/>
      <c r="C12" s="65"/>
      <c r="D12" s="65"/>
      <c r="E12" s="65"/>
    </row>
    <row r="13" spans="1:13" x14ac:dyDescent="0.3">
      <c r="A13" s="65"/>
      <c r="B13" s="65"/>
      <c r="C13" s="65"/>
      <c r="D13" s="65"/>
      <c r="E13" s="65"/>
    </row>
    <row r="14" spans="1:13" x14ac:dyDescent="0.3">
      <c r="A14" s="84" t="s">
        <v>78</v>
      </c>
      <c r="B14" s="84" t="s">
        <v>79</v>
      </c>
      <c r="C14" s="84"/>
      <c r="D14" s="84"/>
      <c r="E14" s="84"/>
      <c r="F14" s="60" t="s">
        <v>84</v>
      </c>
    </row>
    <row r="15" spans="1:13" x14ac:dyDescent="0.3">
      <c r="A15" s="84"/>
      <c r="B15" s="60" t="s">
        <v>80</v>
      </c>
      <c r="C15" s="60" t="s">
        <v>81</v>
      </c>
      <c r="D15" s="60" t="s">
        <v>82</v>
      </c>
      <c r="E15" s="60" t="s">
        <v>83</v>
      </c>
      <c r="F15" s="60"/>
      <c r="H15" s="48"/>
      <c r="K15" s="78">
        <f>SUMPRODUCT($B$21:$E$21,B16:E16)</f>
        <v>60</v>
      </c>
      <c r="L15" s="3" t="s">
        <v>96</v>
      </c>
      <c r="M15" s="3">
        <f>F16</f>
        <v>60</v>
      </c>
    </row>
    <row r="16" spans="1:13" x14ac:dyDescent="0.3">
      <c r="A16" s="3" t="s">
        <v>85</v>
      </c>
      <c r="B16" s="61">
        <v>1</v>
      </c>
      <c r="C16" s="61">
        <v>0</v>
      </c>
      <c r="D16" s="61">
        <v>2</v>
      </c>
      <c r="E16" s="61">
        <v>1</v>
      </c>
      <c r="F16" s="64">
        <v>60</v>
      </c>
      <c r="H16" s="70" t="s">
        <v>90</v>
      </c>
      <c r="I16" s="78">
        <f>SUMPRODUCT(B19:E19,B21:E21)</f>
        <v>2700</v>
      </c>
      <c r="K16" s="78">
        <f t="shared" ref="K16:K17" si="0">SUMPRODUCT($B$21:$E$21,B17:E17)</f>
        <v>360</v>
      </c>
      <c r="L16" s="3" t="s">
        <v>96</v>
      </c>
      <c r="M16" s="3">
        <f t="shared" ref="M16:M17" si="1">F17</f>
        <v>360</v>
      </c>
    </row>
    <row r="17" spans="1:13" x14ac:dyDescent="0.3">
      <c r="A17" s="3" t="s">
        <v>86</v>
      </c>
      <c r="B17" s="62">
        <v>0</v>
      </c>
      <c r="C17" s="62">
        <v>1</v>
      </c>
      <c r="D17" s="62">
        <v>3</v>
      </c>
      <c r="E17" s="62">
        <v>2</v>
      </c>
      <c r="F17" s="66">
        <v>360</v>
      </c>
      <c r="K17" s="78">
        <f t="shared" si="0"/>
        <v>960</v>
      </c>
      <c r="L17" s="3" t="s">
        <v>96</v>
      </c>
      <c r="M17" s="3">
        <f t="shared" si="1"/>
        <v>960</v>
      </c>
    </row>
    <row r="18" spans="1:13" x14ac:dyDescent="0.3">
      <c r="A18" s="3" t="s">
        <v>87</v>
      </c>
      <c r="B18" s="63">
        <v>4</v>
      </c>
      <c r="C18" s="63">
        <v>2</v>
      </c>
      <c r="D18" s="63">
        <v>0</v>
      </c>
      <c r="E18" s="63">
        <v>4</v>
      </c>
      <c r="F18" s="67">
        <v>960</v>
      </c>
    </row>
    <row r="19" spans="1:13" x14ac:dyDescent="0.3">
      <c r="A19" s="60" t="s">
        <v>88</v>
      </c>
      <c r="B19" s="60">
        <v>9</v>
      </c>
      <c r="C19" s="60">
        <v>6</v>
      </c>
      <c r="D19" s="60">
        <v>4</v>
      </c>
      <c r="E19" s="60">
        <v>7</v>
      </c>
      <c r="F19" s="60"/>
    </row>
    <row r="21" spans="1:13" x14ac:dyDescent="0.3">
      <c r="A21" s="3" t="s">
        <v>94</v>
      </c>
      <c r="B21" s="77">
        <v>60</v>
      </c>
      <c r="C21" s="77">
        <v>360</v>
      </c>
      <c r="D21" s="77">
        <v>0</v>
      </c>
      <c r="E21" s="77">
        <v>0</v>
      </c>
    </row>
    <row r="24" spans="1:13" x14ac:dyDescent="0.3">
      <c r="A24" s="84" t="s">
        <v>78</v>
      </c>
      <c r="B24" s="84" t="s">
        <v>79</v>
      </c>
      <c r="C24" s="84"/>
      <c r="D24" s="84"/>
      <c r="E24" s="84"/>
      <c r="F24" s="84"/>
      <c r="G24" s="60" t="s">
        <v>84</v>
      </c>
      <c r="K24" t="s">
        <v>93</v>
      </c>
    </row>
    <row r="25" spans="1:13" x14ac:dyDescent="0.3">
      <c r="A25" s="84"/>
      <c r="B25" s="63" t="s">
        <v>80</v>
      </c>
      <c r="C25" s="63" t="s">
        <v>81</v>
      </c>
      <c r="D25" s="63" t="s">
        <v>82</v>
      </c>
      <c r="E25" s="63" t="s">
        <v>83</v>
      </c>
      <c r="F25" s="60" t="s">
        <v>98</v>
      </c>
      <c r="G25" s="60"/>
      <c r="H25" s="48" t="s">
        <v>89</v>
      </c>
      <c r="K25" s="83">
        <f>SUMPRODUCT($B$31:$F$31,B26:F26)</f>
        <v>120</v>
      </c>
      <c r="L25" s="3" t="s">
        <v>96</v>
      </c>
      <c r="M25" s="3">
        <f>G26</f>
        <v>120</v>
      </c>
    </row>
    <row r="26" spans="1:13" x14ac:dyDescent="0.3">
      <c r="A26" s="3" t="s">
        <v>85</v>
      </c>
      <c r="B26" s="61">
        <v>1</v>
      </c>
      <c r="C26" s="61">
        <v>0</v>
      </c>
      <c r="D26" s="61">
        <v>2</v>
      </c>
      <c r="E26" s="61">
        <v>1</v>
      </c>
      <c r="F26" s="62">
        <v>2</v>
      </c>
      <c r="G26" s="64">
        <v>120</v>
      </c>
      <c r="H26" s="70" t="s">
        <v>99</v>
      </c>
      <c r="I26" s="83">
        <f>SUMPRODUCT(B29:F29,B31:F31)</f>
        <v>2232</v>
      </c>
      <c r="K26" s="83">
        <f>SUMPRODUCT($B$31:$F$31,B27:F27)</f>
        <v>240</v>
      </c>
      <c r="L26" s="3" t="s">
        <v>96</v>
      </c>
      <c r="M26" s="3">
        <f t="shared" ref="M26:M27" si="2">G27</f>
        <v>240</v>
      </c>
    </row>
    <row r="27" spans="1:13" x14ac:dyDescent="0.3">
      <c r="A27" s="3" t="s">
        <v>86</v>
      </c>
      <c r="B27" s="62">
        <v>0</v>
      </c>
      <c r="C27" s="62">
        <v>1</v>
      </c>
      <c r="D27" s="62">
        <v>3</v>
      </c>
      <c r="E27" s="62">
        <v>2</v>
      </c>
      <c r="F27" s="62">
        <v>2</v>
      </c>
      <c r="G27" s="66">
        <v>240</v>
      </c>
      <c r="K27" s="83">
        <f>SUMPRODUCT($B$31:$F$31,B28:F28)</f>
        <v>800</v>
      </c>
      <c r="L27" s="3" t="s">
        <v>96</v>
      </c>
      <c r="M27" s="3">
        <f t="shared" si="2"/>
        <v>800</v>
      </c>
    </row>
    <row r="28" spans="1:13" x14ac:dyDescent="0.3">
      <c r="A28" s="3" t="s">
        <v>87</v>
      </c>
      <c r="B28" s="63">
        <v>4</v>
      </c>
      <c r="C28" s="63">
        <v>2</v>
      </c>
      <c r="D28" s="63">
        <v>0</v>
      </c>
      <c r="E28" s="63">
        <v>4</v>
      </c>
      <c r="F28" s="62">
        <v>2</v>
      </c>
      <c r="G28" s="67">
        <v>800</v>
      </c>
    </row>
    <row r="29" spans="1:13" x14ac:dyDescent="0.3">
      <c r="A29" s="60" t="s">
        <v>88</v>
      </c>
      <c r="B29" s="60">
        <v>9</v>
      </c>
      <c r="C29" s="60">
        <v>6</v>
      </c>
      <c r="D29" s="60">
        <v>4</v>
      </c>
      <c r="E29" s="60">
        <v>7</v>
      </c>
      <c r="F29" s="60">
        <v>12</v>
      </c>
      <c r="G29" s="60"/>
      <c r="H29" s="71" t="s">
        <v>91</v>
      </c>
      <c r="K29" s="82">
        <f>SUMPRODUCT($G$32:$G$34,B26:B28)</f>
        <v>9</v>
      </c>
      <c r="L29" s="3" t="s">
        <v>97</v>
      </c>
      <c r="M29">
        <f>B29</f>
        <v>9</v>
      </c>
    </row>
    <row r="30" spans="1:13" x14ac:dyDescent="0.3">
      <c r="H30" s="3" t="s">
        <v>92</v>
      </c>
      <c r="I30" s="82">
        <f>SUMPRODUCT(G32:G34,G26:G28)</f>
        <v>2232</v>
      </c>
      <c r="K30" s="82">
        <f>SUMPRODUCT($G$32:$G$34,C26:C28)</f>
        <v>6</v>
      </c>
      <c r="L30" s="3" t="s">
        <v>97</v>
      </c>
      <c r="M30">
        <f>C29</f>
        <v>6</v>
      </c>
    </row>
    <row r="31" spans="1:13" x14ac:dyDescent="0.3">
      <c r="A31" s="69" t="s">
        <v>94</v>
      </c>
      <c r="B31" s="79">
        <v>88</v>
      </c>
      <c r="C31" s="79">
        <v>208</v>
      </c>
      <c r="D31" s="79">
        <v>0</v>
      </c>
      <c r="E31" s="79">
        <v>0</v>
      </c>
      <c r="F31" s="79">
        <v>16</v>
      </c>
      <c r="G31" s="3" t="s">
        <v>95</v>
      </c>
      <c r="K31" s="82">
        <f>SUMPRODUCT($G$32:$G$34,D26:D28)</f>
        <v>10.799999999999999</v>
      </c>
      <c r="L31" s="3" t="s">
        <v>97</v>
      </c>
      <c r="M31">
        <f>D29</f>
        <v>4</v>
      </c>
    </row>
    <row r="32" spans="1:13" x14ac:dyDescent="0.3">
      <c r="A32" s="30"/>
      <c r="B32" s="70"/>
      <c r="C32" s="70"/>
      <c r="D32" s="70"/>
      <c r="E32" s="70"/>
      <c r="G32" s="80">
        <v>1.8</v>
      </c>
      <c r="K32" s="82">
        <f>SUMPRODUCT($G$32:$G$34,E26:E28)</f>
        <v>13.8</v>
      </c>
      <c r="L32" s="3" t="s">
        <v>97</v>
      </c>
      <c r="M32">
        <f>E29</f>
        <v>7</v>
      </c>
    </row>
    <row r="33" spans="1:13" x14ac:dyDescent="0.3">
      <c r="A33" s="72"/>
      <c r="B33" s="65"/>
      <c r="C33" s="65"/>
      <c r="D33" s="65"/>
      <c r="E33" s="65"/>
      <c r="G33" s="81">
        <v>2.4</v>
      </c>
      <c r="K33" s="82">
        <f>SUMPRODUCT($G$32:$G$34,F26:F28)</f>
        <v>12</v>
      </c>
      <c r="L33" s="3" t="s">
        <v>97</v>
      </c>
      <c r="M33">
        <v>12</v>
      </c>
    </row>
    <row r="34" spans="1:13" x14ac:dyDescent="0.3">
      <c r="A34" s="72"/>
      <c r="B34" s="65"/>
      <c r="C34" s="65"/>
      <c r="D34" s="65"/>
      <c r="E34" s="65"/>
      <c r="G34" s="80">
        <v>1.8</v>
      </c>
    </row>
  </sheetData>
  <mergeCells count="6">
    <mergeCell ref="A1:A2"/>
    <mergeCell ref="B1:E1"/>
    <mergeCell ref="A14:A15"/>
    <mergeCell ref="B14:E14"/>
    <mergeCell ref="A24:A25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Лабораторная работа 1</vt:lpstr>
      <vt:lpstr>Лабораторная работа 2-3</vt:lpstr>
      <vt:lpstr>Лабораторная работа 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Vlad Shorin</cp:lastModifiedBy>
  <dcterms:created xsi:type="dcterms:W3CDTF">2019-11-07T09:06:16Z</dcterms:created>
  <dcterms:modified xsi:type="dcterms:W3CDTF">2019-11-22T19:26:41Z</dcterms:modified>
</cp:coreProperties>
</file>