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cnco-my.sharepoint.com/personal/endo_rodriguez_externos-co_cencosud_com/Documents/Documentos/Scrip cuadratura/cuadratura/resource/"/>
    </mc:Choice>
  </mc:AlternateContent>
  <xr:revisionPtr revIDLastSave="469" documentId="11_6F474AE45A59140F62355476585DCE3A87CEE3AB" xr6:coauthVersionLast="47" xr6:coauthVersionMax="47" xr10:uidLastSave="{24BF9568-E6CE-498D-801D-2E8CEF81D381}"/>
  <bookViews>
    <workbookView xWindow="-120" yWindow="-120" windowWidth="19905" windowHeight="11160" activeTab="1" xr2:uid="{00000000-000D-0000-FFFF-FFFF00000000}"/>
  </bookViews>
  <sheets>
    <sheet name="Ventas" sheetId="1" r:id="rId1"/>
    <sheet name="Devoluciones" sheetId="4" r:id="rId2"/>
    <sheet name="Calculos" sheetId="3" r:id="rId3"/>
  </sheets>
  <externalReferences>
    <externalReference r:id="rId4"/>
  </externalReferences>
  <definedNames>
    <definedName name="_xlnm._FilterDatabase" localSheetId="0" hidden="1">Ventas!$A$1:$P$41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5" i="3" l="1"/>
  <c r="B35" i="3"/>
  <c r="E38" i="3"/>
  <c r="E31" i="3"/>
  <c r="E30" i="3"/>
  <c r="E26" i="3"/>
  <c r="E25" i="3"/>
  <c r="E24" i="3"/>
  <c r="E23" i="3"/>
  <c r="E19" i="3"/>
  <c r="E18" i="3"/>
  <c r="E17" i="3"/>
  <c r="E16" i="3"/>
  <c r="E12" i="3"/>
  <c r="E11" i="3"/>
  <c r="E10" i="3"/>
  <c r="E9" i="3"/>
  <c r="E13" i="3"/>
  <c r="E5" i="3"/>
  <c r="B5" i="3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2" i="4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2" i="1"/>
  <c r="Q3" i="3"/>
  <c r="N3" i="3"/>
  <c r="B38" i="3"/>
  <c r="B25" i="3"/>
  <c r="B26" i="3"/>
  <c r="B24" i="3"/>
  <c r="K10" i="3"/>
  <c r="Q10" i="3"/>
  <c r="N10" i="3"/>
  <c r="Q9" i="3"/>
  <c r="Q8" i="3"/>
  <c r="Q6" i="3"/>
  <c r="N6" i="3"/>
  <c r="Q4" i="3"/>
  <c r="N4" i="3"/>
  <c r="K3" i="3"/>
  <c r="K9" i="3"/>
  <c r="K8" i="3"/>
  <c r="K7" i="3"/>
  <c r="K6" i="3"/>
  <c r="K5" i="3"/>
  <c r="K4" i="3"/>
  <c r="Q2" i="3" a="1"/>
  <c r="Q2" i="3" s="1"/>
  <c r="N9" i="3"/>
  <c r="N8" i="3"/>
  <c r="N7" i="3"/>
  <c r="N5" i="3"/>
  <c r="N2" i="3" a="1"/>
  <c r="N2" i="3" s="1"/>
  <c r="Q7" i="3"/>
  <c r="Q5" i="3"/>
  <c r="K2" i="3" a="1"/>
  <c r="K2" i="3" s="1"/>
  <c r="B31" i="3"/>
  <c r="B30" i="3"/>
  <c r="B23" i="3"/>
  <c r="B16" i="3"/>
  <c r="B12" i="3"/>
  <c r="B11" i="3"/>
  <c r="B10" i="3"/>
  <c r="B9" i="3"/>
  <c r="E32" i="3" l="1"/>
  <c r="E27" i="3"/>
  <c r="E20" i="3"/>
  <c r="H5" i="3"/>
  <c r="B32" i="3"/>
  <c r="B18" i="3"/>
  <c r="B19" i="3"/>
  <c r="B27" i="3"/>
  <c r="B17" i="3"/>
  <c r="E6" i="3"/>
  <c r="H6" i="3" l="1"/>
  <c r="H23" i="3"/>
  <c r="H16" i="3"/>
  <c r="T9" i="3"/>
  <c r="T7" i="3"/>
  <c r="H31" i="3"/>
  <c r="T10" i="3"/>
  <c r="H35" i="3"/>
  <c r="H19" i="3"/>
  <c r="H12" i="3"/>
  <c r="H11" i="3"/>
  <c r="H10" i="3"/>
  <c r="T5" i="3"/>
  <c r="H26" i="3"/>
  <c r="H17" i="3"/>
  <c r="T8" i="3"/>
  <c r="T4" i="3"/>
  <c r="H38" i="3"/>
  <c r="H30" i="3"/>
  <c r="T2" i="3"/>
  <c r="H18" i="3"/>
  <c r="H9" i="3"/>
  <c r="T6" i="3"/>
  <c r="H25" i="3"/>
  <c r="T3" i="3"/>
  <c r="B13" i="3"/>
  <c r="H24" i="3"/>
  <c r="B20" i="3"/>
  <c r="H27" i="3" l="1"/>
  <c r="H13" i="3"/>
  <c r="H2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tc={5DA13620-534E-41DC-9280-B97E070C468E}</author>
    <author>laa0501</author>
  </authors>
  <commentList>
    <comment ref="J2" authorId="0" shapeId="0" xr:uid="{5DA13620-534E-41DC-9280-B97E070C468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Calculo manual</t>
      </text>
    </comment>
    <comment ref="A5" authorId="1" shapeId="0" xr:uid="{489E174B-057B-4DFA-A545-46010CDE4F93}">
      <text>
        <r>
          <rPr>
            <b/>
            <sz val="9"/>
            <color indexed="81"/>
            <rFont val="Tahoma"/>
            <charset val="1"/>
          </rPr>
          <t>laa0501:</t>
        </r>
        <r>
          <rPr>
            <sz val="9"/>
            <color indexed="81"/>
            <rFont val="Tahoma"/>
            <charset val="1"/>
          </rPr>
          <t xml:space="preserve">
En Zfiscal: Total ventas
</t>
        </r>
      </text>
    </comment>
    <comment ref="D5" authorId="1" shapeId="0" xr:uid="{B2DC2EBD-979F-4744-B740-E9194AB93A68}">
      <text>
        <r>
          <rPr>
            <b/>
            <sz val="9"/>
            <color indexed="81"/>
            <rFont val="Tahoma"/>
            <charset val="1"/>
          </rPr>
          <t>laa0501:</t>
        </r>
        <r>
          <rPr>
            <sz val="9"/>
            <color indexed="81"/>
            <rFont val="Tahoma"/>
            <charset val="1"/>
          </rPr>
          <t xml:space="preserve">
En Zfiscal: Total ventas
</t>
        </r>
      </text>
    </comment>
    <comment ref="G5" authorId="1" shapeId="0" xr:uid="{F8DA993A-10D6-4DBA-91E3-50383DCAA18C}">
      <text>
        <r>
          <rPr>
            <b/>
            <sz val="9"/>
            <color indexed="81"/>
            <rFont val="Tahoma"/>
            <charset val="1"/>
          </rPr>
          <t>laa0501:</t>
        </r>
        <r>
          <rPr>
            <sz val="9"/>
            <color indexed="81"/>
            <rFont val="Tahoma"/>
            <charset val="1"/>
          </rPr>
          <t xml:space="preserve">
En Zfiscal: Total ventas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<sst xmlns="http://schemas.openxmlformats.org/spreadsheetml/2006/main" count="246" uniqueCount="92">
  <si>
    <t>transaccion</t>
  </si>
  <si>
    <t>Subtotal</t>
  </si>
  <si>
    <t>Descuento</t>
  </si>
  <si>
    <t>Redondeo</t>
  </si>
  <si>
    <t>Donacion</t>
  </si>
  <si>
    <t>07702007205503</t>
  </si>
  <si>
    <t>Factura</t>
  </si>
  <si>
    <t>Neto</t>
  </si>
  <si>
    <t>Neto Final</t>
  </si>
  <si>
    <t>Neto Devoluciones</t>
  </si>
  <si>
    <t>Neto Ventas</t>
  </si>
  <si>
    <t>Promociones</t>
  </si>
  <si>
    <t xml:space="preserve">Ajuste al cambio </t>
  </si>
  <si>
    <t>Saludable</t>
  </si>
  <si>
    <t>Salutables</t>
  </si>
  <si>
    <t>Preparados</t>
  </si>
  <si>
    <t>Bolsas</t>
  </si>
  <si>
    <t>Cigarros y bedidas</t>
  </si>
  <si>
    <t>Ipoconsumos</t>
  </si>
  <si>
    <t>EXENTO</t>
  </si>
  <si>
    <t>EXCLUIDO</t>
  </si>
  <si>
    <t>TOTAL IVAS</t>
  </si>
  <si>
    <t>Dsc.Factura</t>
  </si>
  <si>
    <t>Dsc.Boletas</t>
  </si>
  <si>
    <t>F.Imp.Salud</t>
  </si>
  <si>
    <t>B.Imp.Salud</t>
  </si>
  <si>
    <t>F.Imp.Licor</t>
  </si>
  <si>
    <t>B.Imp.Licor</t>
  </si>
  <si>
    <t>IVAS</t>
  </si>
  <si>
    <t>F.Imp.Bolsa</t>
  </si>
  <si>
    <t>B.Imp.Bolsa</t>
  </si>
  <si>
    <t>F.Imp.8%</t>
  </si>
  <si>
    <t>B.Imp.8%</t>
  </si>
  <si>
    <t>Total a pagar</t>
  </si>
  <si>
    <t>F.IVA 5%</t>
  </si>
  <si>
    <t>B.IVA 5%</t>
  </si>
  <si>
    <t>SUBTOTAL</t>
  </si>
  <si>
    <t>F.IVA 19%</t>
  </si>
  <si>
    <t>B.IVA 19%</t>
  </si>
  <si>
    <t>Total F.Produco</t>
  </si>
  <si>
    <t>F.Neto</t>
  </si>
  <si>
    <t>B.Neto</t>
  </si>
  <si>
    <t>Total Productos</t>
  </si>
  <si>
    <t>#Factura</t>
  </si>
  <si>
    <t># Boletas</t>
  </si>
  <si>
    <t>TOTALES</t>
  </si>
  <si>
    <t>Factura Unificada</t>
  </si>
  <si>
    <t>Factura Generica</t>
  </si>
  <si>
    <t>Factura Nominal</t>
  </si>
  <si>
    <t>Boletas</t>
  </si>
  <si>
    <t>CONSOLIDADO</t>
  </si>
  <si>
    <t>DEVOLUCIONES</t>
  </si>
  <si>
    <t>VENTAS</t>
  </si>
  <si>
    <t xml:space="preserve">Valor </t>
  </si>
  <si>
    <t>cajero</t>
  </si>
  <si>
    <t>tienda</t>
  </si>
  <si>
    <t>pos</t>
  </si>
  <si>
    <t>ean</t>
  </si>
  <si>
    <t>base</t>
  </si>
  <si>
    <t>iva</t>
  </si>
  <si>
    <t>valoriva</t>
  </si>
  <si>
    <t>ipo</t>
  </si>
  <si>
    <t>valoripo</t>
  </si>
  <si>
    <t>00000002503708</t>
  </si>
  <si>
    <t>07702450011119</t>
  </si>
  <si>
    <t>00000020037567</t>
  </si>
  <si>
    <t>07702123006916</t>
  </si>
  <si>
    <t>07702136645058</t>
  </si>
  <si>
    <t>07702085019023</t>
  </si>
  <si>
    <t>ok</t>
  </si>
  <si>
    <t>00000002500139</t>
  </si>
  <si>
    <t>00000078600010</t>
  </si>
  <si>
    <t>07702044253420</t>
  </si>
  <si>
    <t>00080432105528</t>
  </si>
  <si>
    <t>00000002500281</t>
  </si>
  <si>
    <t>07702132002671</t>
  </si>
  <si>
    <t>07702085012093</t>
  </si>
  <si>
    <t>07702425546226</t>
  </si>
  <si>
    <t>07702001133611</t>
  </si>
  <si>
    <t>07702024341338</t>
  </si>
  <si>
    <t>00000002503714</t>
  </si>
  <si>
    <t>00799366186311</t>
  </si>
  <si>
    <t>07707275650505</t>
  </si>
  <si>
    <t>07702714100054</t>
  </si>
  <si>
    <t>07702084137520</t>
  </si>
  <si>
    <t>07702057162399</t>
  </si>
  <si>
    <t>00000002503715</t>
  </si>
  <si>
    <t>00000002504016</t>
  </si>
  <si>
    <t>00000002503264</t>
  </si>
  <si>
    <t>00000002504014</t>
  </si>
  <si>
    <t>00000002501235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</si>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</sst>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\ #,##0"/>
    <numFmt numFmtId="165" formatCode="_-&quot;$&quot;\ * #,##0_-;\-&quot;$&quot;\ * #,##0_-;_-&quot;$&quot;\ 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164" fontId="0" fillId="3" borderId="1" xfId="0" applyNumberFormat="1" applyFill="1" applyBorder="1"/>
    <xf numFmtId="0" fontId="2" fillId="2" borderId="1" xfId="0" applyFont="1" applyFill="1" applyBorder="1"/>
    <xf numFmtId="0" fontId="2" fillId="0" borderId="0" xfId="0" applyFont="1"/>
    <xf numFmtId="0" fontId="0" fillId="4" borderId="0" xfId="0" applyFill="1"/>
    <xf numFmtId="0" fontId="2" fillId="2" borderId="2" xfId="0" applyFont="1" applyFill="1" applyBorder="1" applyAlignment="1">
      <alignment horizontal="left" vertical="top"/>
    </xf>
    <xf numFmtId="164" fontId="0" fillId="0" borderId="1" xfId="0" applyNumberFormat="1" applyBorder="1"/>
    <xf numFmtId="165" fontId="0" fillId="0" borderId="0" xfId="0" applyNumberFormat="1"/>
    <xf numFmtId="0" fontId="2" fillId="2" borderId="1" xfId="0" applyFont="1" applyFill="1" applyBorder="1" applyAlignment="1">
      <alignment horizontal="left" vertical="top"/>
    </xf>
    <xf numFmtId="0" fontId="2" fillId="2" borderId="0" xfId="0" applyFont="1" applyFill="1"/>
    <xf numFmtId="165" fontId="0" fillId="0" borderId="0" xfId="0" applyNumberFormat="1" applyAlignment="1">
      <alignment horizontal="left"/>
    </xf>
    <xf numFmtId="0" fontId="0" fillId="3" borderId="1" xfId="0" applyFill="1" applyBorder="1"/>
    <xf numFmtId="0" fontId="2" fillId="2" borderId="5" xfId="0" applyFont="1" applyFill="1" applyBorder="1"/>
    <xf numFmtId="164" fontId="1" fillId="2" borderId="1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cnco-my.sharepoint.com/personal/endo_rodriguez_externos-co_cencosud_com/Documents/Documentos/Cencosud/Supermercados/Cuadratura/Cuadratura%2021%20dicienbre/Cuadratura%2021%20de%20Dic.xlsx" TargetMode="External"/><Relationship Id="rId1" Type="http://schemas.openxmlformats.org/officeDocument/2006/relationships/externalLinkPath" Target="/personal/endo_rodriguez_externos-co_cencosud_com/Documents/Documentos/Cencosud/Supermercados/Cuadratura/Cuadratura%2021%20dicienbre/Cuadratura%2021%20de%20Di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dios Pagos"/>
      <sheetName val="Ventas"/>
      <sheetName val="Devoluciones"/>
      <sheetName val="Recaudo"/>
    </sheetNames>
    <sheetDataSet>
      <sheetData sheetId="0"/>
      <sheetData sheetId="1"/>
      <sheetData sheetId="2">
        <row r="1">
          <cell r="H1" t="str">
            <v>Promocion</v>
          </cell>
          <cell r="N1" t="str">
            <v>Total a pagar</v>
          </cell>
        </row>
        <row r="2">
          <cell r="N2"/>
        </row>
        <row r="3">
          <cell r="N3"/>
        </row>
        <row r="4">
          <cell r="N4"/>
        </row>
        <row r="5">
          <cell r="N5"/>
        </row>
        <row r="6">
          <cell r="N6"/>
        </row>
        <row r="7">
          <cell r="N7"/>
        </row>
        <row r="8">
          <cell r="N8"/>
        </row>
        <row r="9">
          <cell r="N9"/>
        </row>
        <row r="10">
          <cell r="N10"/>
        </row>
        <row r="11">
          <cell r="N11"/>
        </row>
        <row r="12">
          <cell r="N12"/>
        </row>
        <row r="13">
          <cell r="N13"/>
        </row>
        <row r="14">
          <cell r="N14"/>
        </row>
        <row r="15">
          <cell r="N15"/>
        </row>
        <row r="16">
          <cell r="N16"/>
        </row>
        <row r="19">
          <cell r="N19"/>
        </row>
        <row r="20">
          <cell r="N20"/>
        </row>
        <row r="21">
          <cell r="N21"/>
        </row>
        <row r="22">
          <cell r="N22"/>
        </row>
        <row r="23">
          <cell r="N23"/>
        </row>
        <row r="24">
          <cell r="N24"/>
        </row>
        <row r="25">
          <cell r="N25"/>
        </row>
        <row r="26">
          <cell r="N26"/>
        </row>
        <row r="27">
          <cell r="N27"/>
        </row>
        <row r="28">
          <cell r="N28"/>
        </row>
        <row r="29">
          <cell r="N29"/>
        </row>
        <row r="30">
          <cell r="N30"/>
        </row>
        <row r="31">
          <cell r="N31"/>
        </row>
        <row r="32">
          <cell r="N32"/>
        </row>
        <row r="33">
          <cell r="N33"/>
        </row>
        <row r="34">
          <cell r="N34"/>
        </row>
        <row r="35">
          <cell r="N35"/>
        </row>
        <row r="36">
          <cell r="N36"/>
        </row>
        <row r="37">
          <cell r="N37"/>
        </row>
        <row r="38">
          <cell r="N38"/>
        </row>
        <row r="39">
          <cell r="N39"/>
        </row>
        <row r="40">
          <cell r="N40"/>
        </row>
        <row r="41">
          <cell r="N41"/>
        </row>
        <row r="42">
          <cell r="N42"/>
        </row>
        <row r="43">
          <cell r="N43"/>
        </row>
        <row r="44">
          <cell r="N44"/>
        </row>
        <row r="45">
          <cell r="N45"/>
        </row>
        <row r="46">
          <cell r="N46"/>
        </row>
        <row r="47">
          <cell r="N47"/>
        </row>
        <row r="48">
          <cell r="N48"/>
        </row>
        <row r="49">
          <cell r="N49"/>
        </row>
        <row r="50">
          <cell r="N50"/>
        </row>
        <row r="51">
          <cell r="N51"/>
        </row>
        <row r="52">
          <cell r="N52"/>
        </row>
        <row r="53">
          <cell r="N53"/>
        </row>
        <row r="54">
          <cell r="N54"/>
        </row>
        <row r="55">
          <cell r="N55"/>
        </row>
        <row r="56">
          <cell r="N56"/>
        </row>
        <row r="57">
          <cell r="N57"/>
        </row>
        <row r="58">
          <cell r="N58"/>
        </row>
        <row r="59">
          <cell r="N59"/>
        </row>
        <row r="60">
          <cell r="N60"/>
        </row>
        <row r="61">
          <cell r="N61"/>
        </row>
        <row r="62">
          <cell r="N62"/>
        </row>
        <row r="63">
          <cell r="N63"/>
        </row>
        <row r="64">
          <cell r="N64"/>
        </row>
        <row r="65">
          <cell r="N65"/>
        </row>
        <row r="66">
          <cell r="N66"/>
        </row>
        <row r="67">
          <cell r="N67"/>
        </row>
        <row r="68">
          <cell r="N68"/>
        </row>
        <row r="69">
          <cell r="N69"/>
        </row>
        <row r="70">
          <cell r="N70"/>
        </row>
        <row r="71">
          <cell r="N71"/>
        </row>
        <row r="72">
          <cell r="N72"/>
        </row>
        <row r="73">
          <cell r="N73"/>
        </row>
        <row r="74">
          <cell r="N74"/>
        </row>
        <row r="75">
          <cell r="N75"/>
        </row>
        <row r="76">
          <cell r="N76"/>
        </row>
        <row r="77">
          <cell r="N77"/>
        </row>
        <row r="78">
          <cell r="N78"/>
        </row>
        <row r="79">
          <cell r="N79"/>
        </row>
        <row r="80">
          <cell r="N80"/>
        </row>
        <row r="81">
          <cell r="N81"/>
        </row>
        <row r="82">
          <cell r="N82"/>
        </row>
        <row r="83">
          <cell r="N83"/>
        </row>
        <row r="84">
          <cell r="N84"/>
        </row>
        <row r="85">
          <cell r="N85"/>
        </row>
        <row r="86">
          <cell r="N86"/>
        </row>
        <row r="87">
          <cell r="N87"/>
        </row>
        <row r="88">
          <cell r="N88"/>
        </row>
        <row r="90">
          <cell r="N90"/>
        </row>
        <row r="91">
          <cell r="N91"/>
        </row>
        <row r="92">
          <cell r="N92"/>
        </row>
        <row r="93">
          <cell r="N93"/>
        </row>
        <row r="94">
          <cell r="N94"/>
        </row>
        <row r="95">
          <cell r="N95"/>
        </row>
        <row r="96">
          <cell r="N96"/>
        </row>
        <row r="97">
          <cell r="N97"/>
        </row>
        <row r="100">
          <cell r="N100"/>
        </row>
        <row r="101">
          <cell r="N101"/>
        </row>
        <row r="104">
          <cell r="N104"/>
        </row>
        <row r="105">
          <cell r="N105"/>
        </row>
        <row r="106">
          <cell r="N106"/>
        </row>
        <row r="107">
          <cell r="N107"/>
        </row>
        <row r="108">
          <cell r="N108"/>
        </row>
        <row r="109">
          <cell r="N109"/>
        </row>
        <row r="110">
          <cell r="N110"/>
        </row>
      </sheetData>
      <sheetData sheetId="3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Rodriguez Ariza, Endo Rodrigo (Externo - Q-VISION QUALITY VISION TECHNOLOGIES SA)" id="{7F29770C-135C-47C7-AE59-0A03564F6CE9}" userId="S::endo.rodriguez@externos-co.cencosud.com::e379a102-b174-4153-a503-5a5985d3947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3-10-31T01:14:54.62" personId="{7F29770C-135C-47C7-AE59-0A03564F6CE9}" id="{5DA13620-534E-41DC-9280-B97E070C468E}">
    <text>Calculo manual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zoomScale="82" zoomScaleNormal="82" workbookViewId="0">
      <selection activeCell="K1" sqref="K1:K1048576"/>
    </sheetView>
  </sheetViews>
  <sheetFormatPr baseColWidth="10" defaultColWidth="9.140625" defaultRowHeight="15" x14ac:dyDescent="0.25"/>
  <cols>
    <col min="1" max="1" width="13.5703125" style="26" bestFit="1" customWidth="1"/>
    <col min="2" max="3" width="9.140625" style="24"/>
    <col min="4" max="4" width="12.7109375" style="24" customWidth="1"/>
    <col min="5" max="5" width="19" style="24" customWidth="1"/>
    <col min="6" max="6" width="15.140625" style="27" customWidth="1"/>
    <col min="7" max="7" width="11.7109375" style="24" customWidth="1"/>
    <col min="8" max="8" width="13.5703125" style="24" customWidth="1"/>
    <col min="9" max="9" width="11.5703125" style="24" customWidth="1"/>
    <col min="10" max="10" width="11.7109375" style="24" customWidth="1"/>
    <col min="11" max="11" width="12.42578125" style="24" customWidth="1"/>
    <col min="12" max="12" width="13.85546875" style="24" customWidth="1"/>
    <col min="13" max="13" width="13.5703125" style="24" customWidth="1"/>
    <col min="14" max="14" width="13.7109375" style="24" customWidth="1"/>
    <col min="15" max="15" width="10.85546875" style="24" customWidth="1"/>
    <col min="16" max="16" width="11.7109375" style="27" customWidth="1"/>
    <col min="17" max="16384" width="9.140625" style="24"/>
  </cols>
  <sheetData>
    <row r="1" spans="1:16" s="22" customFormat="1" ht="30" customHeight="1" x14ac:dyDescent="0.25">
      <c r="A1" s="1" t="s">
        <v>54</v>
      </c>
      <c r="B1" s="1" t="s">
        <v>55</v>
      </c>
      <c r="C1" s="1" t="s">
        <v>56</v>
      </c>
      <c r="D1" s="1" t="s">
        <v>0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2</v>
      </c>
      <c r="L1" s="1" t="s">
        <v>1</v>
      </c>
      <c r="M1" s="1" t="s">
        <v>3</v>
      </c>
      <c r="N1" s="1" t="s">
        <v>4</v>
      </c>
      <c r="O1" s="1" t="s">
        <v>6</v>
      </c>
      <c r="P1" s="15" t="s">
        <v>53</v>
      </c>
    </row>
    <row r="2" spans="1:16" x14ac:dyDescent="0.25">
      <c r="A2" s="23">
        <v>1116666729</v>
      </c>
      <c r="B2" s="23">
        <v>2340</v>
      </c>
      <c r="C2" s="23">
        <v>2</v>
      </c>
      <c r="D2" s="23">
        <v>7329</v>
      </c>
      <c r="E2" s="23" t="s">
        <v>70</v>
      </c>
      <c r="F2" s="23">
        <v>5825</v>
      </c>
      <c r="G2" s="23">
        <v>0</v>
      </c>
      <c r="H2" s="23">
        <v>0</v>
      </c>
      <c r="I2" s="23">
        <v>1</v>
      </c>
      <c r="J2" s="23">
        <v>466</v>
      </c>
      <c r="K2" s="23">
        <v>26699</v>
      </c>
      <c r="L2" s="23">
        <v>240291</v>
      </c>
      <c r="M2" s="23">
        <v>-41</v>
      </c>
      <c r="N2" s="23"/>
      <c r="O2" s="23">
        <v>2</v>
      </c>
      <c r="P2" s="23">
        <f>F2+H2+J2</f>
        <v>6291</v>
      </c>
    </row>
    <row r="3" spans="1:16" x14ac:dyDescent="0.25">
      <c r="A3" s="23"/>
      <c r="B3" s="23"/>
      <c r="C3" s="23"/>
      <c r="D3" s="23"/>
      <c r="E3" s="23" t="s">
        <v>71</v>
      </c>
      <c r="F3" s="23">
        <v>1626</v>
      </c>
      <c r="G3" s="23">
        <v>4</v>
      </c>
      <c r="H3" s="23">
        <v>309</v>
      </c>
      <c r="I3" s="23"/>
      <c r="J3" s="23"/>
      <c r="K3" s="23"/>
      <c r="L3" s="23"/>
      <c r="M3" s="23"/>
      <c r="N3" s="23"/>
      <c r="O3" s="23">
        <v>2</v>
      </c>
      <c r="P3" s="23">
        <f t="shared" ref="P3:P41" si="0">F3+H3+J3</f>
        <v>1935</v>
      </c>
    </row>
    <row r="4" spans="1:16" x14ac:dyDescent="0.25">
      <c r="A4" s="23"/>
      <c r="B4" s="23"/>
      <c r="C4" s="23"/>
      <c r="D4" s="23"/>
      <c r="E4" s="23" t="s">
        <v>72</v>
      </c>
      <c r="F4" s="23">
        <v>8766</v>
      </c>
      <c r="G4" s="23">
        <v>4</v>
      </c>
      <c r="H4" s="23">
        <v>1665</v>
      </c>
      <c r="I4" s="23"/>
      <c r="J4" s="23"/>
      <c r="K4" s="23"/>
      <c r="L4" s="23"/>
      <c r="M4" s="23"/>
      <c r="N4" s="23"/>
      <c r="O4" s="23">
        <v>2</v>
      </c>
      <c r="P4" s="23">
        <f t="shared" si="0"/>
        <v>10431</v>
      </c>
    </row>
    <row r="5" spans="1:16" x14ac:dyDescent="0.25">
      <c r="A5" s="23"/>
      <c r="B5" s="23"/>
      <c r="C5" s="23"/>
      <c r="D5" s="23"/>
      <c r="E5" s="23" t="s">
        <v>73</v>
      </c>
      <c r="F5" s="23">
        <v>125276</v>
      </c>
      <c r="G5" s="23">
        <v>2</v>
      </c>
      <c r="H5" s="23">
        <v>6264</v>
      </c>
      <c r="I5" s="23">
        <v>3</v>
      </c>
      <c r="J5" s="23">
        <v>33151</v>
      </c>
      <c r="K5" s="23"/>
      <c r="L5" s="23"/>
      <c r="M5" s="23"/>
      <c r="N5" s="23"/>
      <c r="O5" s="23">
        <v>2</v>
      </c>
      <c r="P5" s="23">
        <f t="shared" si="0"/>
        <v>164691</v>
      </c>
    </row>
    <row r="6" spans="1:16" x14ac:dyDescent="0.25">
      <c r="A6" s="23"/>
      <c r="B6" s="23"/>
      <c r="C6" s="23"/>
      <c r="D6" s="23"/>
      <c r="E6" s="23" t="s">
        <v>74</v>
      </c>
      <c r="F6" s="23">
        <v>7065</v>
      </c>
      <c r="G6" s="23">
        <v>0</v>
      </c>
      <c r="H6" s="23">
        <v>0</v>
      </c>
      <c r="I6" s="23"/>
      <c r="J6" s="23"/>
      <c r="K6" s="23"/>
      <c r="L6" s="23"/>
      <c r="M6" s="23"/>
      <c r="N6" s="23"/>
      <c r="O6" s="23">
        <v>2</v>
      </c>
      <c r="P6" s="23">
        <f t="shared" si="0"/>
        <v>7065</v>
      </c>
    </row>
    <row r="7" spans="1:16" x14ac:dyDescent="0.25">
      <c r="A7" s="23"/>
      <c r="B7" s="23"/>
      <c r="C7" s="23"/>
      <c r="D7" s="23"/>
      <c r="E7" s="23" t="s">
        <v>75</v>
      </c>
      <c r="F7" s="23">
        <v>19431</v>
      </c>
      <c r="G7" s="23">
        <v>0</v>
      </c>
      <c r="H7" s="23">
        <v>0</v>
      </c>
      <c r="I7" s="23"/>
      <c r="J7" s="23"/>
      <c r="K7" s="23"/>
      <c r="L7" s="23"/>
      <c r="M7" s="23"/>
      <c r="N7" s="23"/>
      <c r="O7" s="23">
        <v>2</v>
      </c>
      <c r="P7" s="23">
        <f t="shared" si="0"/>
        <v>19431</v>
      </c>
    </row>
    <row r="8" spans="1:16" x14ac:dyDescent="0.25">
      <c r="A8" s="23"/>
      <c r="B8" s="23"/>
      <c r="C8" s="23"/>
      <c r="D8" s="23"/>
      <c r="E8" s="23" t="s">
        <v>76</v>
      </c>
      <c r="F8" s="23">
        <v>2100</v>
      </c>
      <c r="G8" s="23">
        <v>2</v>
      </c>
      <c r="H8" s="23">
        <v>105</v>
      </c>
      <c r="I8" s="23"/>
      <c r="J8" s="23"/>
      <c r="K8" s="23"/>
      <c r="L8" s="23"/>
      <c r="M8" s="23"/>
      <c r="N8" s="23"/>
      <c r="O8" s="23">
        <v>2</v>
      </c>
      <c r="P8" s="23">
        <f t="shared" si="0"/>
        <v>2205</v>
      </c>
    </row>
    <row r="9" spans="1:16" x14ac:dyDescent="0.25">
      <c r="A9" s="23"/>
      <c r="B9" s="23"/>
      <c r="C9" s="23"/>
      <c r="D9" s="23"/>
      <c r="E9" s="23" t="s">
        <v>77</v>
      </c>
      <c r="F9" s="23">
        <v>23571</v>
      </c>
      <c r="G9" s="23">
        <v>0</v>
      </c>
      <c r="H9" s="23">
        <v>0</v>
      </c>
      <c r="I9" s="23"/>
      <c r="J9" s="23"/>
      <c r="K9" s="23"/>
      <c r="L9" s="23"/>
      <c r="M9" s="23"/>
      <c r="N9" s="23"/>
      <c r="O9" s="23">
        <v>2</v>
      </c>
      <c r="P9" s="23">
        <f t="shared" si="0"/>
        <v>23571</v>
      </c>
    </row>
    <row r="10" spans="1:16" x14ac:dyDescent="0.25">
      <c r="A10" s="23"/>
      <c r="B10" s="23"/>
      <c r="C10" s="23"/>
      <c r="D10" s="23"/>
      <c r="E10" s="23" t="s">
        <v>78</v>
      </c>
      <c r="F10" s="23">
        <v>4671</v>
      </c>
      <c r="G10" s="23">
        <v>0</v>
      </c>
      <c r="H10" s="23">
        <v>0</v>
      </c>
      <c r="I10" s="23"/>
      <c r="J10" s="23"/>
      <c r="K10" s="23"/>
      <c r="L10" s="23"/>
      <c r="M10" s="23"/>
      <c r="N10" s="23"/>
      <c r="O10" s="23">
        <v>2</v>
      </c>
      <c r="P10" s="23">
        <f t="shared" si="0"/>
        <v>4671</v>
      </c>
    </row>
    <row r="11" spans="1:16" x14ac:dyDescent="0.25">
      <c r="A11" s="23">
        <v>1116666729</v>
      </c>
      <c r="B11" s="23">
        <v>2340</v>
      </c>
      <c r="C11" s="23">
        <v>2</v>
      </c>
      <c r="D11" s="23">
        <v>7328</v>
      </c>
      <c r="E11" s="23" t="s">
        <v>70</v>
      </c>
      <c r="F11" s="23">
        <v>6472</v>
      </c>
      <c r="G11" s="23">
        <v>0</v>
      </c>
      <c r="H11" s="23">
        <v>0</v>
      </c>
      <c r="I11" s="23">
        <v>1</v>
      </c>
      <c r="J11" s="23">
        <v>518</v>
      </c>
      <c r="K11" s="23"/>
      <c r="L11" s="23">
        <v>106830</v>
      </c>
      <c r="M11" s="23">
        <v>-30</v>
      </c>
      <c r="N11" s="23"/>
      <c r="O11" s="23">
        <v>1</v>
      </c>
      <c r="P11" s="23">
        <f t="shared" si="0"/>
        <v>6990</v>
      </c>
    </row>
    <row r="12" spans="1:16" x14ac:dyDescent="0.25">
      <c r="A12" s="23"/>
      <c r="B12" s="23"/>
      <c r="C12" s="23"/>
      <c r="D12" s="23"/>
      <c r="E12" s="23" t="s">
        <v>72</v>
      </c>
      <c r="F12" s="23">
        <v>19479</v>
      </c>
      <c r="G12" s="23">
        <v>4</v>
      </c>
      <c r="H12" s="23">
        <v>3701</v>
      </c>
      <c r="I12" s="23"/>
      <c r="J12" s="23"/>
      <c r="K12" s="23"/>
      <c r="L12" s="23"/>
      <c r="M12" s="23"/>
      <c r="N12" s="23"/>
      <c r="O12" s="23">
        <v>1</v>
      </c>
      <c r="P12" s="23">
        <f t="shared" si="0"/>
        <v>23180</v>
      </c>
    </row>
    <row r="13" spans="1:16" x14ac:dyDescent="0.25">
      <c r="A13" s="23"/>
      <c r="B13" s="23"/>
      <c r="C13" s="23"/>
      <c r="D13" s="23"/>
      <c r="E13" s="23" t="s">
        <v>71</v>
      </c>
      <c r="F13" s="23">
        <v>1807</v>
      </c>
      <c r="G13" s="23">
        <v>4</v>
      </c>
      <c r="H13" s="23">
        <v>343</v>
      </c>
      <c r="I13" s="23"/>
      <c r="J13" s="23"/>
      <c r="K13" s="23"/>
      <c r="L13" s="23"/>
      <c r="M13" s="23"/>
      <c r="N13" s="23"/>
      <c r="O13" s="23">
        <v>1</v>
      </c>
      <c r="P13" s="23">
        <f t="shared" si="0"/>
        <v>2150</v>
      </c>
    </row>
    <row r="14" spans="1:16" x14ac:dyDescent="0.25">
      <c r="A14" s="23"/>
      <c r="B14" s="23"/>
      <c r="C14" s="23"/>
      <c r="D14" s="23"/>
      <c r="E14" s="23" t="s">
        <v>64</v>
      </c>
      <c r="F14" s="23">
        <v>27839</v>
      </c>
      <c r="G14" s="23">
        <v>2</v>
      </c>
      <c r="H14" s="23">
        <v>1392</v>
      </c>
      <c r="I14" s="23">
        <v>3</v>
      </c>
      <c r="J14" s="23">
        <v>8759</v>
      </c>
      <c r="K14" s="23"/>
      <c r="L14" s="23"/>
      <c r="M14" s="23"/>
      <c r="N14" s="23"/>
      <c r="O14" s="23">
        <v>1</v>
      </c>
      <c r="P14" s="23">
        <f t="shared" si="0"/>
        <v>37990</v>
      </c>
    </row>
    <row r="15" spans="1:16" x14ac:dyDescent="0.25">
      <c r="A15" s="23"/>
      <c r="B15" s="23"/>
      <c r="C15" s="23"/>
      <c r="D15" s="23"/>
      <c r="E15" s="23" t="s">
        <v>65</v>
      </c>
      <c r="F15" s="23">
        <v>3193</v>
      </c>
      <c r="G15" s="23">
        <v>4</v>
      </c>
      <c r="H15" s="23">
        <v>607</v>
      </c>
      <c r="I15" s="23"/>
      <c r="J15" s="23"/>
      <c r="K15" s="23"/>
      <c r="L15" s="23"/>
      <c r="M15" s="23"/>
      <c r="N15" s="23"/>
      <c r="O15" s="23">
        <v>1</v>
      </c>
      <c r="P15" s="23">
        <f t="shared" si="0"/>
        <v>3800</v>
      </c>
    </row>
    <row r="16" spans="1:16" x14ac:dyDescent="0.25">
      <c r="A16" s="23"/>
      <c r="B16" s="23"/>
      <c r="C16" s="23"/>
      <c r="D16" s="23"/>
      <c r="E16" s="23" t="s">
        <v>66</v>
      </c>
      <c r="F16" s="23">
        <v>17990</v>
      </c>
      <c r="G16" s="23">
        <v>0</v>
      </c>
      <c r="H16" s="23">
        <v>0</v>
      </c>
      <c r="I16" s="23"/>
      <c r="J16" s="23"/>
      <c r="K16" s="23"/>
      <c r="L16" s="23"/>
      <c r="M16" s="23"/>
      <c r="N16" s="23"/>
      <c r="O16" s="23">
        <v>1</v>
      </c>
      <c r="P16" s="23">
        <f t="shared" si="0"/>
        <v>17990</v>
      </c>
    </row>
    <row r="17" spans="1:16" x14ac:dyDescent="0.25">
      <c r="A17" s="23"/>
      <c r="B17" s="23"/>
      <c r="C17" s="23"/>
      <c r="D17" s="23"/>
      <c r="E17" s="23" t="s">
        <v>76</v>
      </c>
      <c r="F17" s="23">
        <v>2333</v>
      </c>
      <c r="G17" s="23">
        <v>2</v>
      </c>
      <c r="H17" s="23">
        <v>117</v>
      </c>
      <c r="I17" s="23"/>
      <c r="J17" s="23"/>
      <c r="K17" s="23"/>
      <c r="L17" s="23"/>
      <c r="M17" s="23"/>
      <c r="N17" s="23"/>
      <c r="O17" s="23">
        <v>1</v>
      </c>
      <c r="P17" s="23">
        <f t="shared" si="0"/>
        <v>2450</v>
      </c>
    </row>
    <row r="18" spans="1:16" x14ac:dyDescent="0.25">
      <c r="A18" s="23"/>
      <c r="B18" s="23"/>
      <c r="C18" s="23"/>
      <c r="D18" s="23"/>
      <c r="E18" s="23" t="s">
        <v>5</v>
      </c>
      <c r="F18" s="23">
        <v>8371</v>
      </c>
      <c r="G18" s="23">
        <v>2</v>
      </c>
      <c r="H18" s="23">
        <v>419</v>
      </c>
      <c r="I18" s="23"/>
      <c r="J18" s="23"/>
      <c r="K18" s="23"/>
      <c r="L18" s="23"/>
      <c r="M18" s="23"/>
      <c r="N18" s="23"/>
      <c r="O18" s="23">
        <v>1</v>
      </c>
      <c r="P18" s="23">
        <f t="shared" si="0"/>
        <v>8790</v>
      </c>
    </row>
    <row r="19" spans="1:16" x14ac:dyDescent="0.25">
      <c r="A19" s="23"/>
      <c r="B19" s="23"/>
      <c r="C19" s="23"/>
      <c r="D19" s="23"/>
      <c r="E19" s="23" t="s">
        <v>79</v>
      </c>
      <c r="F19" s="23">
        <v>3490</v>
      </c>
      <c r="G19" s="23">
        <v>0</v>
      </c>
      <c r="H19" s="23">
        <v>0</v>
      </c>
      <c r="I19" s="23"/>
      <c r="J19" s="23"/>
      <c r="K19" s="23"/>
      <c r="L19" s="23"/>
      <c r="M19" s="23"/>
      <c r="N19" s="23"/>
      <c r="O19" s="23">
        <v>1</v>
      </c>
      <c r="P19" s="23">
        <f t="shared" si="0"/>
        <v>3490</v>
      </c>
    </row>
    <row r="20" spans="1:16" x14ac:dyDescent="0.25">
      <c r="A20" s="23">
        <v>1116666729</v>
      </c>
      <c r="B20" s="23">
        <v>2340</v>
      </c>
      <c r="C20" s="23">
        <v>2</v>
      </c>
      <c r="D20" s="23">
        <v>7330</v>
      </c>
      <c r="E20" s="23" t="s">
        <v>78</v>
      </c>
      <c r="F20" s="23">
        <v>4671</v>
      </c>
      <c r="G20" s="23">
        <v>0</v>
      </c>
      <c r="H20" s="23">
        <v>0</v>
      </c>
      <c r="I20" s="23"/>
      <c r="J20" s="23"/>
      <c r="K20" s="23">
        <v>29321</v>
      </c>
      <c r="L20" s="23">
        <v>263889</v>
      </c>
      <c r="M20" s="23">
        <v>-39</v>
      </c>
      <c r="N20" s="23"/>
      <c r="O20" s="23">
        <v>2</v>
      </c>
      <c r="P20" s="23">
        <f t="shared" si="0"/>
        <v>4671</v>
      </c>
    </row>
    <row r="21" spans="1:16" x14ac:dyDescent="0.25">
      <c r="A21" s="23"/>
      <c r="B21" s="23"/>
      <c r="C21" s="23"/>
      <c r="D21" s="23"/>
      <c r="E21" s="23" t="s">
        <v>70</v>
      </c>
      <c r="F21" s="23">
        <v>5825</v>
      </c>
      <c r="G21" s="23">
        <v>0</v>
      </c>
      <c r="H21" s="23">
        <v>0</v>
      </c>
      <c r="I21" s="23">
        <v>1</v>
      </c>
      <c r="J21" s="23">
        <v>466</v>
      </c>
      <c r="K21" s="23"/>
      <c r="L21" s="23"/>
      <c r="M21" s="23"/>
      <c r="N21" s="23"/>
      <c r="O21" s="23">
        <v>2</v>
      </c>
      <c r="P21" s="23">
        <f t="shared" si="0"/>
        <v>6291</v>
      </c>
    </row>
    <row r="22" spans="1:16" x14ac:dyDescent="0.25">
      <c r="A22" s="23"/>
      <c r="B22" s="23"/>
      <c r="C22" s="23"/>
      <c r="D22" s="23"/>
      <c r="E22" s="23" t="s">
        <v>80</v>
      </c>
      <c r="F22" s="23">
        <v>1625</v>
      </c>
      <c r="G22" s="23">
        <v>0</v>
      </c>
      <c r="H22" s="23">
        <v>0</v>
      </c>
      <c r="I22" s="23">
        <v>1</v>
      </c>
      <c r="J22" s="23">
        <v>130</v>
      </c>
      <c r="K22" s="23"/>
      <c r="L22" s="23"/>
      <c r="M22" s="23"/>
      <c r="N22" s="23"/>
      <c r="O22" s="23">
        <v>2</v>
      </c>
      <c r="P22" s="23">
        <f t="shared" si="0"/>
        <v>1755</v>
      </c>
    </row>
    <row r="23" spans="1:16" x14ac:dyDescent="0.25">
      <c r="A23" s="23"/>
      <c r="B23" s="23"/>
      <c r="C23" s="23"/>
      <c r="D23" s="23"/>
      <c r="E23" s="23" t="s">
        <v>72</v>
      </c>
      <c r="F23" s="23">
        <v>8766</v>
      </c>
      <c r="G23" s="23">
        <v>4</v>
      </c>
      <c r="H23" s="23">
        <v>1665</v>
      </c>
      <c r="I23" s="23"/>
      <c r="J23" s="23"/>
      <c r="K23" s="23"/>
      <c r="L23" s="23"/>
      <c r="M23" s="23"/>
      <c r="N23" s="23"/>
      <c r="O23" s="23">
        <v>2</v>
      </c>
      <c r="P23" s="23">
        <f t="shared" si="0"/>
        <v>10431</v>
      </c>
    </row>
    <row r="24" spans="1:16" x14ac:dyDescent="0.25">
      <c r="A24" s="23"/>
      <c r="B24" s="23"/>
      <c r="C24" s="23"/>
      <c r="D24" s="23"/>
      <c r="E24" s="23" t="s">
        <v>71</v>
      </c>
      <c r="F24" s="23">
        <v>1626</v>
      </c>
      <c r="G24" s="23">
        <v>4</v>
      </c>
      <c r="H24" s="23">
        <v>309</v>
      </c>
      <c r="I24" s="23"/>
      <c r="J24" s="23"/>
      <c r="K24" s="23"/>
      <c r="L24" s="23"/>
      <c r="M24" s="23"/>
      <c r="N24" s="23"/>
      <c r="O24" s="23">
        <v>2</v>
      </c>
      <c r="P24" s="23">
        <f t="shared" si="0"/>
        <v>1935</v>
      </c>
    </row>
    <row r="25" spans="1:16" x14ac:dyDescent="0.25">
      <c r="A25" s="23"/>
      <c r="B25" s="23"/>
      <c r="C25" s="23"/>
      <c r="D25" s="23"/>
      <c r="E25" s="23" t="s">
        <v>65</v>
      </c>
      <c r="F25" s="23">
        <v>2874</v>
      </c>
      <c r="G25" s="23">
        <v>4</v>
      </c>
      <c r="H25" s="23">
        <v>546</v>
      </c>
      <c r="I25" s="23"/>
      <c r="J25" s="23"/>
      <c r="K25" s="23"/>
      <c r="L25" s="23"/>
      <c r="M25" s="23"/>
      <c r="N25" s="23"/>
      <c r="O25" s="23">
        <v>2</v>
      </c>
      <c r="P25" s="23">
        <f t="shared" si="0"/>
        <v>3420</v>
      </c>
    </row>
    <row r="26" spans="1:16" x14ac:dyDescent="0.25">
      <c r="A26" s="23"/>
      <c r="B26" s="23"/>
      <c r="C26" s="23"/>
      <c r="D26" s="23"/>
      <c r="E26" s="23" t="s">
        <v>81</v>
      </c>
      <c r="F26" s="23">
        <v>45000</v>
      </c>
      <c r="G26" s="23">
        <v>0</v>
      </c>
      <c r="H26" s="23">
        <v>0</v>
      </c>
      <c r="I26" s="23"/>
      <c r="J26" s="23"/>
      <c r="K26" s="23"/>
      <c r="L26" s="23"/>
      <c r="M26" s="23"/>
      <c r="N26" s="23"/>
      <c r="O26" s="23">
        <v>2</v>
      </c>
      <c r="P26" s="23">
        <f t="shared" si="0"/>
        <v>45000</v>
      </c>
    </row>
    <row r="27" spans="1:16" x14ac:dyDescent="0.25">
      <c r="A27" s="23"/>
      <c r="B27" s="23"/>
      <c r="C27" s="23"/>
      <c r="D27" s="23"/>
      <c r="E27" s="23" t="s">
        <v>82</v>
      </c>
      <c r="F27" s="23">
        <v>3591</v>
      </c>
      <c r="G27" s="23">
        <v>0</v>
      </c>
      <c r="H27" s="23">
        <v>0</v>
      </c>
      <c r="I27" s="23"/>
      <c r="J27" s="23"/>
      <c r="K27" s="23"/>
      <c r="L27" s="23"/>
      <c r="M27" s="23"/>
      <c r="N27" s="23"/>
      <c r="O27" s="23">
        <v>2</v>
      </c>
      <c r="P27" s="23">
        <f t="shared" si="0"/>
        <v>3591</v>
      </c>
    </row>
    <row r="28" spans="1:16" x14ac:dyDescent="0.25">
      <c r="A28" s="23"/>
      <c r="B28" s="23"/>
      <c r="C28" s="23"/>
      <c r="D28" s="23"/>
      <c r="E28" s="23" t="s">
        <v>83</v>
      </c>
      <c r="F28" s="23">
        <v>5391</v>
      </c>
      <c r="G28" s="23">
        <v>0</v>
      </c>
      <c r="H28" s="23">
        <v>0</v>
      </c>
      <c r="I28" s="23"/>
      <c r="J28" s="23"/>
      <c r="K28" s="23"/>
      <c r="L28" s="23"/>
      <c r="M28" s="23"/>
      <c r="N28" s="23"/>
      <c r="O28" s="23">
        <v>2</v>
      </c>
      <c r="P28" s="23">
        <f t="shared" si="0"/>
        <v>5391</v>
      </c>
    </row>
    <row r="29" spans="1:16" x14ac:dyDescent="0.25">
      <c r="A29" s="23"/>
      <c r="B29" s="23"/>
      <c r="C29" s="23"/>
      <c r="D29" s="23"/>
      <c r="E29" s="23" t="s">
        <v>84</v>
      </c>
      <c r="F29" s="23">
        <v>8554</v>
      </c>
      <c r="G29" s="23">
        <v>2</v>
      </c>
      <c r="H29" s="23">
        <v>428</v>
      </c>
      <c r="I29" s="23"/>
      <c r="J29" s="23"/>
      <c r="K29" s="23"/>
      <c r="L29" s="23"/>
      <c r="M29" s="23"/>
      <c r="N29" s="23"/>
      <c r="O29" s="23">
        <v>2</v>
      </c>
      <c r="P29" s="23">
        <f t="shared" si="0"/>
        <v>8982</v>
      </c>
    </row>
    <row r="30" spans="1:16" x14ac:dyDescent="0.25">
      <c r="A30" s="23"/>
      <c r="B30" s="23"/>
      <c r="C30" s="23"/>
      <c r="D30" s="23"/>
      <c r="E30" s="23" t="s">
        <v>68</v>
      </c>
      <c r="F30" s="23">
        <v>5306</v>
      </c>
      <c r="G30" s="23">
        <v>2</v>
      </c>
      <c r="H30" s="23">
        <v>265</v>
      </c>
      <c r="I30" s="23"/>
      <c r="J30" s="23"/>
      <c r="K30" s="23"/>
      <c r="L30" s="23"/>
      <c r="M30" s="23"/>
      <c r="N30" s="23"/>
      <c r="O30" s="23">
        <v>2</v>
      </c>
      <c r="P30" s="23">
        <f t="shared" si="0"/>
        <v>5571</v>
      </c>
    </row>
    <row r="31" spans="1:16" x14ac:dyDescent="0.25">
      <c r="A31" s="23"/>
      <c r="B31" s="23"/>
      <c r="C31" s="23"/>
      <c r="D31" s="23"/>
      <c r="E31" s="23" t="s">
        <v>79</v>
      </c>
      <c r="F31" s="23">
        <v>3141</v>
      </c>
      <c r="G31" s="23">
        <v>0</v>
      </c>
      <c r="H31" s="23">
        <v>0</v>
      </c>
      <c r="I31" s="23"/>
      <c r="J31" s="23"/>
      <c r="K31" s="23"/>
      <c r="L31" s="23"/>
      <c r="M31" s="23"/>
      <c r="N31" s="23"/>
      <c r="O31" s="23">
        <v>2</v>
      </c>
      <c r="P31" s="23">
        <f t="shared" si="0"/>
        <v>3141</v>
      </c>
    </row>
    <row r="32" spans="1:16" x14ac:dyDescent="0.25">
      <c r="A32" s="23"/>
      <c r="B32" s="23"/>
      <c r="C32" s="23"/>
      <c r="D32" s="23"/>
      <c r="E32" s="23" t="s">
        <v>67</v>
      </c>
      <c r="F32" s="23">
        <v>3591</v>
      </c>
      <c r="G32" s="23">
        <v>0</v>
      </c>
      <c r="H32" s="23">
        <v>0</v>
      </c>
      <c r="I32" s="23"/>
      <c r="J32" s="23"/>
      <c r="K32" s="23"/>
      <c r="L32" s="23"/>
      <c r="M32" s="23"/>
      <c r="N32" s="23"/>
      <c r="O32" s="23">
        <v>2</v>
      </c>
      <c r="P32" s="23">
        <f t="shared" si="0"/>
        <v>3591</v>
      </c>
    </row>
    <row r="33" spans="1:16" x14ac:dyDescent="0.25">
      <c r="A33" s="23"/>
      <c r="B33" s="23"/>
      <c r="C33" s="23"/>
      <c r="D33" s="23"/>
      <c r="E33" s="23" t="s">
        <v>85</v>
      </c>
      <c r="F33" s="23">
        <v>18171</v>
      </c>
      <c r="G33" s="23">
        <v>0</v>
      </c>
      <c r="H33" s="23">
        <v>0</v>
      </c>
      <c r="I33" s="23"/>
      <c r="J33" s="23"/>
      <c r="K33" s="23"/>
      <c r="L33" s="23"/>
      <c r="M33" s="23"/>
      <c r="N33" s="23"/>
      <c r="O33" s="23">
        <v>2</v>
      </c>
      <c r="P33" s="23">
        <f t="shared" si="0"/>
        <v>18171</v>
      </c>
    </row>
    <row r="34" spans="1:16" x14ac:dyDescent="0.25">
      <c r="A34" s="23"/>
      <c r="B34" s="23"/>
      <c r="C34" s="23"/>
      <c r="D34" s="23"/>
      <c r="E34" s="23" t="s">
        <v>63</v>
      </c>
      <c r="F34" s="23">
        <v>6300</v>
      </c>
      <c r="G34" s="23">
        <v>0</v>
      </c>
      <c r="H34" s="23">
        <v>0</v>
      </c>
      <c r="I34" s="23">
        <v>1</v>
      </c>
      <c r="J34" s="23">
        <v>504</v>
      </c>
      <c r="K34" s="23"/>
      <c r="L34" s="23"/>
      <c r="M34" s="23"/>
      <c r="N34" s="23"/>
      <c r="O34" s="23">
        <v>2</v>
      </c>
      <c r="P34" s="23">
        <f t="shared" si="0"/>
        <v>6804</v>
      </c>
    </row>
    <row r="35" spans="1:16" x14ac:dyDescent="0.25">
      <c r="A35" s="23"/>
      <c r="B35" s="23"/>
      <c r="C35" s="23"/>
      <c r="D35" s="23"/>
      <c r="E35" s="23" t="s">
        <v>86</v>
      </c>
      <c r="F35" s="23">
        <v>15000</v>
      </c>
      <c r="G35" s="23">
        <v>0</v>
      </c>
      <c r="H35" s="23">
        <v>0</v>
      </c>
      <c r="I35" s="23">
        <v>1</v>
      </c>
      <c r="J35" s="23">
        <v>1200</v>
      </c>
      <c r="K35" s="23"/>
      <c r="L35" s="23"/>
      <c r="M35" s="23"/>
      <c r="N35" s="23"/>
      <c r="O35" s="23">
        <v>2</v>
      </c>
      <c r="P35" s="23">
        <f t="shared" si="0"/>
        <v>16200</v>
      </c>
    </row>
    <row r="36" spans="1:16" x14ac:dyDescent="0.25">
      <c r="A36" s="23"/>
      <c r="B36" s="23"/>
      <c r="C36" s="23"/>
      <c r="D36" s="23"/>
      <c r="E36" s="23" t="s">
        <v>87</v>
      </c>
      <c r="F36" s="23">
        <v>29933</v>
      </c>
      <c r="G36" s="23">
        <v>0</v>
      </c>
      <c r="H36" s="23">
        <v>0</v>
      </c>
      <c r="I36" s="23">
        <v>1</v>
      </c>
      <c r="J36" s="23">
        <v>2395</v>
      </c>
      <c r="K36" s="23"/>
      <c r="L36" s="23"/>
      <c r="M36" s="23"/>
      <c r="N36" s="23"/>
      <c r="O36" s="23">
        <v>2</v>
      </c>
      <c r="P36" s="23">
        <f t="shared" si="0"/>
        <v>32328</v>
      </c>
    </row>
    <row r="37" spans="1:16" x14ac:dyDescent="0.25">
      <c r="A37" s="23"/>
      <c r="B37" s="23"/>
      <c r="C37" s="23"/>
      <c r="D37" s="23"/>
      <c r="E37" s="23" t="s">
        <v>88</v>
      </c>
      <c r="F37" s="23">
        <v>33300</v>
      </c>
      <c r="G37" s="23">
        <v>0</v>
      </c>
      <c r="H37" s="23">
        <v>0</v>
      </c>
      <c r="I37" s="23">
        <v>1</v>
      </c>
      <c r="J37" s="23">
        <v>2664</v>
      </c>
      <c r="K37" s="23"/>
      <c r="L37" s="23"/>
      <c r="M37" s="23"/>
      <c r="N37" s="23"/>
      <c r="O37" s="23">
        <v>2</v>
      </c>
      <c r="P37" s="23">
        <f t="shared" si="0"/>
        <v>35964</v>
      </c>
    </row>
    <row r="38" spans="1:16" x14ac:dyDescent="0.25">
      <c r="A38" s="23"/>
      <c r="B38" s="23"/>
      <c r="C38" s="23"/>
      <c r="D38" s="23"/>
      <c r="E38" s="23" t="s">
        <v>89</v>
      </c>
      <c r="F38" s="23">
        <v>29925</v>
      </c>
      <c r="G38" s="23">
        <v>0</v>
      </c>
      <c r="H38" s="23">
        <v>0</v>
      </c>
      <c r="I38" s="23">
        <v>1</v>
      </c>
      <c r="J38" s="23">
        <v>2394</v>
      </c>
      <c r="K38" s="23"/>
      <c r="L38" s="23"/>
      <c r="M38" s="23"/>
      <c r="N38" s="23"/>
      <c r="O38" s="23">
        <v>2</v>
      </c>
      <c r="P38" s="23">
        <f t="shared" si="0"/>
        <v>32319</v>
      </c>
    </row>
    <row r="39" spans="1:16" x14ac:dyDescent="0.25">
      <c r="A39" s="23"/>
      <c r="B39" s="23"/>
      <c r="C39" s="23"/>
      <c r="D39" s="23"/>
      <c r="E39" s="23" t="s">
        <v>90</v>
      </c>
      <c r="F39" s="23">
        <v>16975</v>
      </c>
      <c r="G39" s="23">
        <v>0</v>
      </c>
      <c r="H39" s="23">
        <v>0</v>
      </c>
      <c r="I39" s="23">
        <v>1</v>
      </c>
      <c r="J39" s="23">
        <v>1358</v>
      </c>
      <c r="K39" s="23"/>
      <c r="L39" s="23"/>
      <c r="M39" s="23"/>
      <c r="N39" s="23"/>
      <c r="O39" s="23">
        <v>2</v>
      </c>
      <c r="P39" s="23">
        <f t="shared" si="0"/>
        <v>18333</v>
      </c>
    </row>
    <row r="40" spans="1:16" x14ac:dyDescent="0.25">
      <c r="A40" s="23"/>
      <c r="B40" s="23"/>
      <c r="C40" s="23"/>
      <c r="D40" s="23"/>
      <c r="E40" s="23"/>
      <c r="F40" s="25"/>
      <c r="G40" s="23"/>
      <c r="H40" s="23"/>
      <c r="I40" s="23"/>
      <c r="J40" s="23"/>
      <c r="K40" s="23"/>
      <c r="L40" s="23"/>
      <c r="M40" s="23"/>
      <c r="N40" s="23"/>
      <c r="O40" s="23"/>
      <c r="P40" s="23"/>
    </row>
    <row r="41" spans="1:16" x14ac:dyDescent="0.25">
      <c r="A41" s="23"/>
      <c r="B41" s="23"/>
      <c r="C41" s="23"/>
      <c r="D41" s="23"/>
      <c r="E41" s="23"/>
      <c r="F41" s="25"/>
      <c r="G41" s="23"/>
      <c r="H41" s="23"/>
      <c r="I41" s="23"/>
      <c r="J41" s="23"/>
      <c r="K41" s="23"/>
      <c r="L41" s="23"/>
      <c r="M41" s="23"/>
      <c r="N41" s="23"/>
      <c r="O41" s="23"/>
      <c r="P41" s="2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DAABD-3A36-426A-8C60-6A41CA5EE235}">
  <dimension ref="A1:P34"/>
  <sheetViews>
    <sheetView tabSelected="1" zoomScale="86" zoomScaleNormal="86" workbookViewId="0">
      <selection activeCell="P2" sqref="P2"/>
    </sheetView>
  </sheetViews>
  <sheetFormatPr baseColWidth="10" defaultRowHeight="15" x14ac:dyDescent="0.25"/>
  <cols>
    <col min="1" max="2" width="14.42578125" customWidth="1"/>
    <col min="5" max="5" width="18.5703125" customWidth="1"/>
  </cols>
  <sheetData>
    <row r="1" spans="1:16" ht="29.25" customHeight="1" x14ac:dyDescent="0.25">
      <c r="A1" s="1" t="s">
        <v>54</v>
      </c>
      <c r="B1" s="1" t="s">
        <v>55</v>
      </c>
      <c r="C1" s="1" t="s">
        <v>56</v>
      </c>
      <c r="D1" s="1" t="s">
        <v>0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2</v>
      </c>
      <c r="L1" s="1" t="s">
        <v>1</v>
      </c>
      <c r="M1" s="1" t="s">
        <v>3</v>
      </c>
      <c r="N1" s="1" t="s">
        <v>4</v>
      </c>
      <c r="O1" s="1" t="s">
        <v>6</v>
      </c>
      <c r="P1" s="21" t="s">
        <v>91</v>
      </c>
    </row>
    <row r="2" spans="1:16" x14ac:dyDescent="0.25">
      <c r="A2">
        <v>1116666729</v>
      </c>
      <c r="B2">
        <v>2340</v>
      </c>
      <c r="C2">
        <v>2</v>
      </c>
      <c r="D2">
        <v>7333</v>
      </c>
      <c r="E2" t="s">
        <v>70</v>
      </c>
      <c r="F2">
        <v>5825</v>
      </c>
      <c r="G2">
        <v>0</v>
      </c>
      <c r="H2">
        <v>0</v>
      </c>
      <c r="I2">
        <v>1</v>
      </c>
      <c r="J2">
        <v>466</v>
      </c>
      <c r="K2">
        <v>-26699</v>
      </c>
      <c r="L2">
        <v>-240291</v>
      </c>
      <c r="M2">
        <v>41</v>
      </c>
      <c r="O2">
        <v>2</v>
      </c>
      <c r="P2">
        <f>F2+H2+J2</f>
        <v>6291</v>
      </c>
    </row>
    <row r="3" spans="1:16" x14ac:dyDescent="0.25">
      <c r="E3" t="s">
        <v>71</v>
      </c>
      <c r="F3">
        <v>1626</v>
      </c>
      <c r="G3">
        <v>4</v>
      </c>
      <c r="H3">
        <v>309</v>
      </c>
      <c r="O3">
        <v>2</v>
      </c>
      <c r="P3">
        <f t="shared" ref="P3:P14" si="0">F3+H3+J3</f>
        <v>1935</v>
      </c>
    </row>
    <row r="4" spans="1:16" x14ac:dyDescent="0.25">
      <c r="E4" t="s">
        <v>72</v>
      </c>
      <c r="F4">
        <v>8766</v>
      </c>
      <c r="G4">
        <v>4</v>
      </c>
      <c r="H4">
        <v>1665</v>
      </c>
      <c r="O4">
        <v>2</v>
      </c>
      <c r="P4">
        <f t="shared" si="0"/>
        <v>10431</v>
      </c>
    </row>
    <row r="5" spans="1:16" x14ac:dyDescent="0.25">
      <c r="E5" t="s">
        <v>73</v>
      </c>
      <c r="F5">
        <v>125276</v>
      </c>
      <c r="G5">
        <v>2</v>
      </c>
      <c r="H5">
        <v>6264</v>
      </c>
      <c r="I5">
        <v>3</v>
      </c>
      <c r="J5">
        <v>33151</v>
      </c>
      <c r="O5">
        <v>2</v>
      </c>
      <c r="P5">
        <f t="shared" si="0"/>
        <v>164691</v>
      </c>
    </row>
    <row r="6" spans="1:16" x14ac:dyDescent="0.25">
      <c r="E6" t="s">
        <v>74</v>
      </c>
      <c r="F6">
        <v>7065</v>
      </c>
      <c r="G6">
        <v>0</v>
      </c>
      <c r="H6">
        <v>0</v>
      </c>
      <c r="O6">
        <v>2</v>
      </c>
      <c r="P6">
        <f t="shared" si="0"/>
        <v>7065</v>
      </c>
    </row>
    <row r="7" spans="1:16" x14ac:dyDescent="0.25">
      <c r="E7" t="s">
        <v>75</v>
      </c>
      <c r="F7">
        <v>19431</v>
      </c>
      <c r="G7">
        <v>0</v>
      </c>
      <c r="H7">
        <v>0</v>
      </c>
      <c r="O7">
        <v>2</v>
      </c>
      <c r="P7">
        <f t="shared" si="0"/>
        <v>19431</v>
      </c>
    </row>
    <row r="8" spans="1:16" x14ac:dyDescent="0.25">
      <c r="E8" t="s">
        <v>76</v>
      </c>
      <c r="F8">
        <v>2100</v>
      </c>
      <c r="G8">
        <v>2</v>
      </c>
      <c r="H8">
        <v>105</v>
      </c>
      <c r="O8">
        <v>2</v>
      </c>
      <c r="P8">
        <f t="shared" si="0"/>
        <v>2205</v>
      </c>
    </row>
    <row r="9" spans="1:16" x14ac:dyDescent="0.25">
      <c r="E9" t="s">
        <v>77</v>
      </c>
      <c r="F9">
        <v>23571</v>
      </c>
      <c r="G9">
        <v>0</v>
      </c>
      <c r="H9">
        <v>0</v>
      </c>
      <c r="O9">
        <v>2</v>
      </c>
      <c r="P9">
        <f t="shared" si="0"/>
        <v>23571</v>
      </c>
    </row>
    <row r="10" spans="1:16" x14ac:dyDescent="0.25">
      <c r="E10" t="s">
        <v>78</v>
      </c>
      <c r="F10">
        <v>4671</v>
      </c>
      <c r="G10">
        <v>0</v>
      </c>
      <c r="H10">
        <v>0</v>
      </c>
      <c r="O10">
        <v>2</v>
      </c>
      <c r="P10">
        <f t="shared" si="0"/>
        <v>4671</v>
      </c>
    </row>
    <row r="11" spans="1:16" x14ac:dyDescent="0.25">
      <c r="A11">
        <v>1116666729</v>
      </c>
      <c r="B11">
        <v>2340</v>
      </c>
      <c r="C11">
        <v>2</v>
      </c>
      <c r="D11">
        <v>7337</v>
      </c>
      <c r="E11" t="s">
        <v>70</v>
      </c>
      <c r="F11">
        <v>6472</v>
      </c>
      <c r="G11">
        <v>0</v>
      </c>
      <c r="H11">
        <v>0</v>
      </c>
      <c r="I11">
        <v>1</v>
      </c>
      <c r="J11">
        <v>518</v>
      </c>
      <c r="L11">
        <v>-58720</v>
      </c>
      <c r="M11">
        <v>-30</v>
      </c>
      <c r="O11">
        <v>1</v>
      </c>
      <c r="P11">
        <f t="shared" si="0"/>
        <v>6990</v>
      </c>
    </row>
    <row r="12" spans="1:16" x14ac:dyDescent="0.25">
      <c r="E12" t="s">
        <v>72</v>
      </c>
      <c r="F12">
        <v>9739</v>
      </c>
      <c r="G12">
        <v>4</v>
      </c>
      <c r="H12">
        <v>1851</v>
      </c>
      <c r="O12">
        <v>1</v>
      </c>
      <c r="P12">
        <f t="shared" si="0"/>
        <v>11590</v>
      </c>
    </row>
    <row r="13" spans="1:16" x14ac:dyDescent="0.25">
      <c r="E13" t="s">
        <v>71</v>
      </c>
      <c r="F13">
        <v>1807</v>
      </c>
      <c r="G13">
        <v>4</v>
      </c>
      <c r="H13">
        <v>343</v>
      </c>
      <c r="O13">
        <v>1</v>
      </c>
      <c r="P13">
        <f t="shared" si="0"/>
        <v>2150</v>
      </c>
    </row>
    <row r="14" spans="1:16" x14ac:dyDescent="0.25">
      <c r="E14" t="s">
        <v>64</v>
      </c>
      <c r="F14">
        <v>27839</v>
      </c>
      <c r="G14">
        <v>2</v>
      </c>
      <c r="H14">
        <v>1392</v>
      </c>
      <c r="I14">
        <v>3</v>
      </c>
      <c r="J14">
        <v>8759</v>
      </c>
      <c r="O14">
        <v>1</v>
      </c>
      <c r="P14">
        <f t="shared" si="0"/>
        <v>37990</v>
      </c>
    </row>
    <row r="15" spans="1:16" x14ac:dyDescent="0.25">
      <c r="A15">
        <v>1116666729</v>
      </c>
      <c r="B15">
        <v>2340</v>
      </c>
      <c r="C15">
        <v>2</v>
      </c>
      <c r="D15">
        <v>7338</v>
      </c>
      <c r="E15" t="s">
        <v>78</v>
      </c>
      <c r="F15">
        <v>4671</v>
      </c>
      <c r="G15">
        <v>0</v>
      </c>
      <c r="H15">
        <v>0</v>
      </c>
      <c r="K15">
        <v>-29321</v>
      </c>
      <c r="L15">
        <v>-263889</v>
      </c>
      <c r="M15">
        <v>39</v>
      </c>
      <c r="O15">
        <v>2</v>
      </c>
      <c r="P15">
        <f>F15+H15+J15</f>
        <v>4671</v>
      </c>
    </row>
    <row r="16" spans="1:16" x14ac:dyDescent="0.25">
      <c r="E16" t="s">
        <v>70</v>
      </c>
      <c r="F16">
        <v>5825</v>
      </c>
      <c r="G16">
        <v>0</v>
      </c>
      <c r="H16">
        <v>0</v>
      </c>
      <c r="I16">
        <v>1</v>
      </c>
      <c r="J16">
        <v>466</v>
      </c>
      <c r="O16">
        <v>2</v>
      </c>
      <c r="P16">
        <f>F16+H16+J16</f>
        <v>6291</v>
      </c>
    </row>
    <row r="17" spans="5:16" x14ac:dyDescent="0.25">
      <c r="E17" t="s">
        <v>80</v>
      </c>
      <c r="F17">
        <v>1625</v>
      </c>
      <c r="G17">
        <v>0</v>
      </c>
      <c r="H17">
        <v>0</v>
      </c>
      <c r="I17">
        <v>1</v>
      </c>
      <c r="J17">
        <v>130</v>
      </c>
      <c r="O17">
        <v>2</v>
      </c>
      <c r="P17">
        <f>F17+H17+J17</f>
        <v>1755</v>
      </c>
    </row>
    <row r="18" spans="5:16" x14ac:dyDescent="0.25">
      <c r="E18" t="s">
        <v>72</v>
      </c>
      <c r="F18">
        <v>8766</v>
      </c>
      <c r="G18">
        <v>4</v>
      </c>
      <c r="H18">
        <v>1665</v>
      </c>
      <c r="O18">
        <v>2</v>
      </c>
      <c r="P18">
        <f>F18+H18+J18</f>
        <v>10431</v>
      </c>
    </row>
    <row r="19" spans="5:16" x14ac:dyDescent="0.25">
      <c r="E19" t="s">
        <v>71</v>
      </c>
      <c r="F19">
        <v>1626</v>
      </c>
      <c r="G19">
        <v>4</v>
      </c>
      <c r="H19">
        <v>309</v>
      </c>
      <c r="O19">
        <v>2</v>
      </c>
      <c r="P19">
        <f>F19+H19+J19</f>
        <v>1935</v>
      </c>
    </row>
    <row r="20" spans="5:16" x14ac:dyDescent="0.25">
      <c r="E20" t="s">
        <v>65</v>
      </c>
      <c r="F20">
        <v>2874</v>
      </c>
      <c r="G20">
        <v>4</v>
      </c>
      <c r="H20">
        <v>546</v>
      </c>
      <c r="O20">
        <v>2</v>
      </c>
      <c r="P20">
        <f>F20+H20+J20</f>
        <v>3420</v>
      </c>
    </row>
    <row r="21" spans="5:16" x14ac:dyDescent="0.25">
      <c r="E21" t="s">
        <v>81</v>
      </c>
      <c r="F21">
        <v>45000</v>
      </c>
      <c r="G21">
        <v>0</v>
      </c>
      <c r="H21">
        <v>0</v>
      </c>
      <c r="O21">
        <v>2</v>
      </c>
      <c r="P21">
        <f>F21+H21+J21</f>
        <v>45000</v>
      </c>
    </row>
    <row r="22" spans="5:16" x14ac:dyDescent="0.25">
      <c r="E22" t="s">
        <v>82</v>
      </c>
      <c r="F22">
        <v>3591</v>
      </c>
      <c r="G22">
        <v>0</v>
      </c>
      <c r="H22">
        <v>0</v>
      </c>
      <c r="O22">
        <v>2</v>
      </c>
      <c r="P22">
        <f>F22+H22+J22</f>
        <v>3591</v>
      </c>
    </row>
    <row r="23" spans="5:16" x14ac:dyDescent="0.25">
      <c r="E23" t="s">
        <v>83</v>
      </c>
      <c r="F23">
        <v>5391</v>
      </c>
      <c r="G23">
        <v>0</v>
      </c>
      <c r="H23">
        <v>0</v>
      </c>
      <c r="O23">
        <v>2</v>
      </c>
      <c r="P23">
        <f>F23+H23+J23</f>
        <v>5391</v>
      </c>
    </row>
    <row r="24" spans="5:16" x14ac:dyDescent="0.25">
      <c r="E24" t="s">
        <v>84</v>
      </c>
      <c r="F24">
        <v>8554</v>
      </c>
      <c r="G24">
        <v>2</v>
      </c>
      <c r="H24">
        <v>428</v>
      </c>
      <c r="O24">
        <v>2</v>
      </c>
      <c r="P24">
        <f>F24+H24+J24</f>
        <v>8982</v>
      </c>
    </row>
    <row r="25" spans="5:16" x14ac:dyDescent="0.25">
      <c r="E25" t="s">
        <v>68</v>
      </c>
      <c r="F25">
        <v>5306</v>
      </c>
      <c r="G25">
        <v>2</v>
      </c>
      <c r="H25">
        <v>265</v>
      </c>
      <c r="O25">
        <v>2</v>
      </c>
      <c r="P25">
        <f>F25+H25+J25</f>
        <v>5571</v>
      </c>
    </row>
    <row r="26" spans="5:16" x14ac:dyDescent="0.25">
      <c r="E26" t="s">
        <v>79</v>
      </c>
      <c r="F26">
        <v>3141</v>
      </c>
      <c r="G26">
        <v>0</v>
      </c>
      <c r="H26">
        <v>0</v>
      </c>
      <c r="O26">
        <v>2</v>
      </c>
      <c r="P26">
        <f>F26+H26+J26</f>
        <v>3141</v>
      </c>
    </row>
    <row r="27" spans="5:16" x14ac:dyDescent="0.25">
      <c r="E27" t="s">
        <v>67</v>
      </c>
      <c r="F27">
        <v>3591</v>
      </c>
      <c r="G27">
        <v>0</v>
      </c>
      <c r="H27">
        <v>0</v>
      </c>
      <c r="O27">
        <v>2</v>
      </c>
      <c r="P27">
        <f>F27+H27+J27</f>
        <v>3591</v>
      </c>
    </row>
    <row r="28" spans="5:16" x14ac:dyDescent="0.25">
      <c r="E28" t="s">
        <v>85</v>
      </c>
      <c r="F28">
        <v>18171</v>
      </c>
      <c r="G28">
        <v>0</v>
      </c>
      <c r="H28">
        <v>0</v>
      </c>
      <c r="O28">
        <v>2</v>
      </c>
      <c r="P28">
        <f>F28+H28+J28</f>
        <v>18171</v>
      </c>
    </row>
    <row r="29" spans="5:16" x14ac:dyDescent="0.25">
      <c r="E29" t="s">
        <v>63</v>
      </c>
      <c r="F29">
        <v>6300</v>
      </c>
      <c r="G29">
        <v>0</v>
      </c>
      <c r="H29">
        <v>0</v>
      </c>
      <c r="I29">
        <v>1</v>
      </c>
      <c r="J29">
        <v>504</v>
      </c>
      <c r="O29">
        <v>2</v>
      </c>
      <c r="P29">
        <f>F29+H29+J29</f>
        <v>6804</v>
      </c>
    </row>
    <row r="30" spans="5:16" x14ac:dyDescent="0.25">
      <c r="E30" t="s">
        <v>86</v>
      </c>
      <c r="F30">
        <v>15000</v>
      </c>
      <c r="G30">
        <v>0</v>
      </c>
      <c r="H30">
        <v>0</v>
      </c>
      <c r="I30">
        <v>1</v>
      </c>
      <c r="J30">
        <v>1200</v>
      </c>
      <c r="O30">
        <v>2</v>
      </c>
      <c r="P30">
        <f>F30+H30+J30</f>
        <v>16200</v>
      </c>
    </row>
    <row r="31" spans="5:16" x14ac:dyDescent="0.25">
      <c r="E31" t="s">
        <v>87</v>
      </c>
      <c r="F31">
        <v>29933</v>
      </c>
      <c r="G31">
        <v>0</v>
      </c>
      <c r="H31">
        <v>0</v>
      </c>
      <c r="I31">
        <v>1</v>
      </c>
      <c r="J31">
        <v>2395</v>
      </c>
      <c r="O31">
        <v>2</v>
      </c>
      <c r="P31">
        <f>F31+H31+J31</f>
        <v>32328</v>
      </c>
    </row>
    <row r="32" spans="5:16" x14ac:dyDescent="0.25">
      <c r="E32" t="s">
        <v>88</v>
      </c>
      <c r="F32">
        <v>33300</v>
      </c>
      <c r="G32">
        <v>0</v>
      </c>
      <c r="H32">
        <v>0</v>
      </c>
      <c r="I32">
        <v>1</v>
      </c>
      <c r="J32">
        <v>2664</v>
      </c>
      <c r="O32">
        <v>2</v>
      </c>
      <c r="P32">
        <f>F32+H32+J32</f>
        <v>35964</v>
      </c>
    </row>
    <row r="33" spans="5:16" x14ac:dyDescent="0.25">
      <c r="E33" t="s">
        <v>89</v>
      </c>
      <c r="F33">
        <v>29925</v>
      </c>
      <c r="G33">
        <v>0</v>
      </c>
      <c r="H33">
        <v>0</v>
      </c>
      <c r="I33">
        <v>1</v>
      </c>
      <c r="J33">
        <v>2394</v>
      </c>
      <c r="O33">
        <v>2</v>
      </c>
      <c r="P33">
        <f>F33+H33+J33</f>
        <v>32319</v>
      </c>
    </row>
    <row r="34" spans="5:16" x14ac:dyDescent="0.25">
      <c r="E34" t="s">
        <v>90</v>
      </c>
      <c r="F34">
        <v>16975</v>
      </c>
      <c r="G34">
        <v>0</v>
      </c>
      <c r="H34">
        <v>0</v>
      </c>
      <c r="I34">
        <v>1</v>
      </c>
      <c r="J34">
        <v>1358</v>
      </c>
      <c r="O34">
        <v>2</v>
      </c>
      <c r="P34">
        <f>F34+H34+J34</f>
        <v>18333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41A7A-C264-4A48-9BBC-5B41ACB8D5CF}">
  <dimension ref="A1:BF38"/>
  <sheetViews>
    <sheetView zoomScale="78" zoomScaleNormal="78" workbookViewId="0">
      <selection activeCell="E36" sqref="E36"/>
    </sheetView>
  </sheetViews>
  <sheetFormatPr baseColWidth="10" defaultColWidth="11.42578125" defaultRowHeight="15" x14ac:dyDescent="0.25"/>
  <cols>
    <col min="1" max="1" width="17.28515625" customWidth="1"/>
    <col min="2" max="2" width="19.42578125" style="2" customWidth="1"/>
    <col min="4" max="4" width="16.140625" customWidth="1"/>
    <col min="5" max="5" width="14.140625" customWidth="1"/>
    <col min="6" max="6" width="12.42578125" bestFit="1" customWidth="1"/>
    <col min="7" max="8" width="17" customWidth="1"/>
    <col min="11" max="11" width="16.42578125" customWidth="1"/>
    <col min="12" max="12" width="11.140625" customWidth="1"/>
    <col min="13" max="13" width="13" customWidth="1"/>
    <col min="14" max="14" width="13.5703125" customWidth="1"/>
    <col min="15" max="15" width="10.140625" customWidth="1"/>
    <col min="17" max="17" width="16" customWidth="1"/>
    <col min="20" max="20" width="14.85546875" customWidth="1"/>
  </cols>
  <sheetData>
    <row r="1" spans="1:22" x14ac:dyDescent="0.25">
      <c r="A1" s="16" t="s">
        <v>52</v>
      </c>
      <c r="B1" s="16"/>
      <c r="D1" s="16" t="s">
        <v>51</v>
      </c>
      <c r="E1" s="16"/>
      <c r="G1" s="16" t="s">
        <v>50</v>
      </c>
      <c r="H1" s="16"/>
      <c r="J1" s="18" t="s">
        <v>49</v>
      </c>
      <c r="K1" s="19"/>
      <c r="M1" s="18" t="s">
        <v>48</v>
      </c>
      <c r="N1" s="19"/>
      <c r="P1" s="18" t="s">
        <v>47</v>
      </c>
      <c r="Q1" s="19"/>
      <c r="S1" s="18" t="s">
        <v>46</v>
      </c>
      <c r="T1" s="19"/>
    </row>
    <row r="2" spans="1:22" x14ac:dyDescent="0.25">
      <c r="A2" s="20" t="s">
        <v>45</v>
      </c>
      <c r="B2" s="20"/>
      <c r="D2" s="20" t="s">
        <v>45</v>
      </c>
      <c r="E2" s="20"/>
      <c r="G2" s="20" t="s">
        <v>45</v>
      </c>
      <c r="H2" s="20"/>
      <c r="J2" s="4" t="s">
        <v>44</v>
      </c>
      <c r="K2" s="13" cm="1">
        <f t="array" ref="K2">COUNT(_xlfn._xlws.FILTER(Ventas!$D:$D,Ventas!$O:$O=1))</f>
        <v>1</v>
      </c>
      <c r="M2" s="4" t="s">
        <v>43</v>
      </c>
      <c r="N2" s="13" cm="1">
        <f t="array" ref="N2">COUNT(_xlfn._xlws.FILTER(Ventas!$D:$D,Ventas!$O:$O=2))</f>
        <v>2</v>
      </c>
      <c r="P2" s="4" t="s">
        <v>43</v>
      </c>
      <c r="Q2" s="13" cm="1">
        <f t="array" ref="Q2">COUNT(_xlfn._xlws.FILTER(Ventas!$D:$D,Ventas!$O:$O=3))</f>
        <v>0</v>
      </c>
      <c r="S2" s="4" t="s">
        <v>43</v>
      </c>
      <c r="T2" s="3">
        <f>N2+Q2</f>
        <v>2</v>
      </c>
    </row>
    <row r="3" spans="1:22" x14ac:dyDescent="0.25">
      <c r="A3" s="4" t="s">
        <v>42</v>
      </c>
      <c r="B3" s="3">
        <v>0</v>
      </c>
      <c r="C3" s="2"/>
      <c r="D3" s="4" t="s">
        <v>42</v>
      </c>
      <c r="E3" s="3">
        <v>0</v>
      </c>
      <c r="G3" s="4" t="s">
        <v>42</v>
      </c>
      <c r="H3" s="3">
        <v>0</v>
      </c>
      <c r="J3" s="4" t="s">
        <v>41</v>
      </c>
      <c r="K3" s="3">
        <f>SUMIF(Ventas!$O:$O,1,Ventas!$F:$F)</f>
        <v>90974</v>
      </c>
      <c r="M3" s="4" t="s">
        <v>40</v>
      </c>
      <c r="N3" s="3">
        <f>SUMIF(Ventas!O:O,2,Ventas!F:F)</f>
        <v>447896</v>
      </c>
      <c r="O3" t="s">
        <v>69</v>
      </c>
      <c r="P3" s="4" t="s">
        <v>40</v>
      </c>
      <c r="Q3" s="3">
        <f>SUMIF(Ventas!O:O,3,Ventas!F:F)</f>
        <v>0</v>
      </c>
      <c r="R3" t="s">
        <v>69</v>
      </c>
      <c r="S3" s="4" t="s">
        <v>40</v>
      </c>
      <c r="T3" s="3">
        <f t="shared" ref="T3:T10" si="0">(N3+Q3)</f>
        <v>447896</v>
      </c>
    </row>
    <row r="4" spans="1:22" x14ac:dyDescent="0.25">
      <c r="A4" s="4" t="s">
        <v>39</v>
      </c>
      <c r="B4" s="3">
        <v>0</v>
      </c>
      <c r="C4" s="8"/>
      <c r="D4" s="4" t="s">
        <v>39</v>
      </c>
      <c r="E4" s="3">
        <v>0</v>
      </c>
      <c r="F4" s="12"/>
      <c r="G4" s="4" t="s">
        <v>39</v>
      </c>
      <c r="H4" s="3">
        <v>0</v>
      </c>
      <c r="I4" s="2"/>
      <c r="J4" s="4" t="s">
        <v>38</v>
      </c>
      <c r="K4" s="3">
        <f>SUMIFS(Ventas!H:H, Ventas!O:O, 1,Ventas!G:G, 4)</f>
        <v>4651</v>
      </c>
      <c r="L4" s="2"/>
      <c r="M4" s="4" t="s">
        <v>37</v>
      </c>
      <c r="N4" s="3">
        <f>SUMIFS(Ventas!H:H, Ventas!O:O, 2,Ventas!G:G, 4)</f>
        <v>4494</v>
      </c>
      <c r="O4" t="s">
        <v>69</v>
      </c>
      <c r="P4" s="4" t="s">
        <v>37</v>
      </c>
      <c r="Q4" s="3">
        <f>SUMIFS(Ventas!H:H, Ventas!O:O, 3,Ventas!G:G, 4)</f>
        <v>0</v>
      </c>
      <c r="R4" t="s">
        <v>69</v>
      </c>
      <c r="S4" s="4" t="s">
        <v>37</v>
      </c>
      <c r="T4" s="3">
        <f t="shared" si="0"/>
        <v>4494</v>
      </c>
      <c r="V4" s="2"/>
    </row>
    <row r="5" spans="1:22" x14ac:dyDescent="0.25">
      <c r="A5" s="4" t="s">
        <v>36</v>
      </c>
      <c r="B5" s="3">
        <f>SUM(Ventas!$L:$L)</f>
        <v>611010</v>
      </c>
      <c r="C5" t="s">
        <v>69</v>
      </c>
      <c r="D5" s="4" t="s">
        <v>36</v>
      </c>
      <c r="E5" s="3">
        <f>SUM(Devoluciones!$L:$L)* -1</f>
        <v>562900</v>
      </c>
      <c r="G5" s="4" t="s">
        <v>36</v>
      </c>
      <c r="H5" s="3">
        <f>$B$5-$E$5</f>
        <v>48110</v>
      </c>
      <c r="I5" s="2"/>
      <c r="J5" s="4" t="s">
        <v>35</v>
      </c>
      <c r="K5" s="3">
        <f>SUMIFS(Ventas!$H:$H, Ventas!$O:$O, 1,Ventas!$G:$G, 2)</f>
        <v>1928</v>
      </c>
      <c r="M5" s="4" t="s">
        <v>34</v>
      </c>
      <c r="N5" s="3">
        <f>SUMIFS(Ventas!$H:$H, Ventas!$O:$O, 2,Ventas!$G:$G, 2)</f>
        <v>7062</v>
      </c>
      <c r="O5" t="s">
        <v>69</v>
      </c>
      <c r="P5" s="4" t="s">
        <v>34</v>
      </c>
      <c r="Q5" s="3">
        <f>SUMIFS(Ventas!$H:$H, Ventas!$O:$O, 3,Ventas!$G:$G, 2)</f>
        <v>0</v>
      </c>
      <c r="R5" t="s">
        <v>69</v>
      </c>
      <c r="S5" s="4" t="s">
        <v>34</v>
      </c>
      <c r="T5" s="3">
        <f t="shared" si="0"/>
        <v>7062</v>
      </c>
      <c r="V5" s="2"/>
    </row>
    <row r="6" spans="1:22" x14ac:dyDescent="0.25">
      <c r="A6" s="4" t="s">
        <v>33</v>
      </c>
      <c r="B6" s="3">
        <v>0</v>
      </c>
      <c r="D6" s="4" t="s">
        <v>33</v>
      </c>
      <c r="E6" s="3">
        <f>SUM([1]Devoluciones!$N:$N)</f>
        <v>0</v>
      </c>
      <c r="G6" s="4" t="s">
        <v>33</v>
      </c>
      <c r="H6" s="3">
        <f>$B$6-$E$6</f>
        <v>0</v>
      </c>
      <c r="J6" s="4" t="s">
        <v>32</v>
      </c>
      <c r="K6" s="3">
        <f>SUMIFS(Ventas!$J:$J, Ventas!$O:$O, 1,Ventas!$I:$I, 1)</f>
        <v>518</v>
      </c>
      <c r="M6" s="4" t="s">
        <v>31</v>
      </c>
      <c r="N6" s="3">
        <f>SUMIFS(Ventas!$J:$J, Ventas!$O:$O, 2,Ventas!$I:$I, 1)</f>
        <v>11577</v>
      </c>
      <c r="O6" t="s">
        <v>69</v>
      </c>
      <c r="P6" s="4" t="s">
        <v>31</v>
      </c>
      <c r="Q6" s="3">
        <f>SUMIFS(Ventas!$J:$J, Ventas!$O:$O, 3,Ventas!$I:$I, 1)</f>
        <v>0</v>
      </c>
      <c r="R6" t="s">
        <v>69</v>
      </c>
      <c r="S6" s="4" t="s">
        <v>31</v>
      </c>
      <c r="T6" s="3">
        <f t="shared" si="0"/>
        <v>11577</v>
      </c>
    </row>
    <row r="7" spans="1:22" x14ac:dyDescent="0.25">
      <c r="E7" s="2"/>
      <c r="H7" s="2"/>
      <c r="J7" s="4" t="s">
        <v>30</v>
      </c>
      <c r="K7" s="3">
        <f>SUMIFS(Ventas!$J:$J, Ventas!$O:$O, 1,Ventas!$I:$I, 2)</f>
        <v>0</v>
      </c>
      <c r="M7" s="4" t="s">
        <v>29</v>
      </c>
      <c r="N7" s="3">
        <f>SUMIFS(Ventas!$J:$J, Ventas!$O:$O, 2,Ventas!$I:$I, 2)</f>
        <v>0</v>
      </c>
      <c r="P7" s="4" t="s">
        <v>29</v>
      </c>
      <c r="Q7" s="3">
        <f>SUMIFS(Ventas!$J:$J, Ventas!$O:$O, 3,Ventas!$I:$I, 2)</f>
        <v>0</v>
      </c>
      <c r="S7" s="4" t="s">
        <v>29</v>
      </c>
      <c r="T7" s="3">
        <f t="shared" si="0"/>
        <v>0</v>
      </c>
    </row>
    <row r="8" spans="1:22" x14ac:dyDescent="0.25">
      <c r="A8" s="17" t="s">
        <v>28</v>
      </c>
      <c r="B8" s="17"/>
      <c r="D8" s="17" t="s">
        <v>28</v>
      </c>
      <c r="E8" s="17"/>
      <c r="G8" s="17" t="s">
        <v>28</v>
      </c>
      <c r="H8" s="17"/>
      <c r="J8" s="4" t="s">
        <v>27</v>
      </c>
      <c r="K8" s="3">
        <f>SUMIFS(Ventas!$J:$J, Ventas!$O:$O, 1,Ventas!$I:$I, 3)</f>
        <v>8759</v>
      </c>
      <c r="M8" s="4" t="s">
        <v>26</v>
      </c>
      <c r="N8" s="3">
        <f>SUMIFS(Ventas!$J:$J, Ventas!$O:$O, 2,Ventas!$I:$I, 3)</f>
        <v>33151</v>
      </c>
      <c r="O8" t="s">
        <v>69</v>
      </c>
      <c r="P8" s="4" t="s">
        <v>26</v>
      </c>
      <c r="Q8" s="3">
        <f>SUMIFS(Ventas!$J:$J, Ventas!$O:$O, 3,Ventas!$I:$I, 3)</f>
        <v>0</v>
      </c>
      <c r="R8" t="s">
        <v>69</v>
      </c>
      <c r="S8" s="4" t="s">
        <v>26</v>
      </c>
      <c r="T8" s="3">
        <f t="shared" si="0"/>
        <v>33151</v>
      </c>
    </row>
    <row r="9" spans="1:22" x14ac:dyDescent="0.25">
      <c r="A9" s="10" t="s">
        <v>20</v>
      </c>
      <c r="B9" s="3">
        <f>SUMIF(Ventas!$G:$G,0,Ventas!$H:$H)</f>
        <v>0</v>
      </c>
      <c r="D9" s="10" t="s">
        <v>20</v>
      </c>
      <c r="E9" s="3">
        <f>SUMIF(Devoluciones!$G:$G,0,Devoluciones!$H:$H)</f>
        <v>0</v>
      </c>
      <c r="G9" s="10" t="s">
        <v>20</v>
      </c>
      <c r="H9" s="3">
        <f>B9-E9</f>
        <v>0</v>
      </c>
      <c r="J9" s="4" t="s">
        <v>25</v>
      </c>
      <c r="K9" s="3">
        <f>SUMIFS(Ventas!$J:$J, Ventas!$O:$O, 1,Ventas!$I:$I, 6)</f>
        <v>0</v>
      </c>
      <c r="M9" s="4" t="s">
        <v>24</v>
      </c>
      <c r="N9" s="3">
        <f>SUMIFS(Ventas!$J:$J, Ventas!$O:$O, 2,Ventas!$I:$I, 6)</f>
        <v>0</v>
      </c>
      <c r="O9" t="s">
        <v>69</v>
      </c>
      <c r="P9" s="4" t="s">
        <v>24</v>
      </c>
      <c r="Q9" s="3">
        <f>SUMIFS(Ventas!$J:$J, Ventas!$O:$O, 3,Ventas!$I:$I, 6)</f>
        <v>0</v>
      </c>
      <c r="R9" t="s">
        <v>69</v>
      </c>
      <c r="S9" s="4" t="s">
        <v>24</v>
      </c>
      <c r="T9" s="3">
        <f t="shared" si="0"/>
        <v>0</v>
      </c>
    </row>
    <row r="10" spans="1:22" x14ac:dyDescent="0.25">
      <c r="A10" s="10" t="s">
        <v>19</v>
      </c>
      <c r="B10" s="3">
        <f>SUMIF(Ventas!$G:$G,1,Ventas!$H:$H)</f>
        <v>0</v>
      </c>
      <c r="D10" s="10" t="s">
        <v>19</v>
      </c>
      <c r="E10" s="3">
        <f>SUMIF(Devoluciones!$G:$G,1,Devoluciones!$H:$H)</f>
        <v>0</v>
      </c>
      <c r="G10" s="10" t="s">
        <v>19</v>
      </c>
      <c r="H10" s="3">
        <f>B10-E10</f>
        <v>0</v>
      </c>
      <c r="J10" s="11" t="s">
        <v>23</v>
      </c>
      <c r="K10" s="3">
        <f>SUMIF(Ventas!O:O,1,Ventas!L:L)</f>
        <v>106830</v>
      </c>
      <c r="M10" s="11" t="s">
        <v>22</v>
      </c>
      <c r="N10" s="3">
        <f>SUMIF(Ventas!O:O,2,Ventas!L:L)</f>
        <v>504180</v>
      </c>
      <c r="O10" t="s">
        <v>69</v>
      </c>
      <c r="P10" s="11" t="s">
        <v>22</v>
      </c>
      <c r="Q10" s="3">
        <f>SUMIF(Ventas!O:O,3,Ventas!L:L)</f>
        <v>0</v>
      </c>
      <c r="R10" t="s">
        <v>69</v>
      </c>
      <c r="S10" s="11" t="s">
        <v>22</v>
      </c>
      <c r="T10" s="3">
        <f t="shared" si="0"/>
        <v>504180</v>
      </c>
    </row>
    <row r="11" spans="1:22" x14ac:dyDescent="0.25">
      <c r="A11" s="10">
        <v>5</v>
      </c>
      <c r="B11" s="3">
        <f>SUMIF(Ventas!$G:$G,2,Ventas!$H:$H)</f>
        <v>8990</v>
      </c>
      <c r="C11" s="8" t="s">
        <v>69</v>
      </c>
      <c r="D11" s="10">
        <v>5</v>
      </c>
      <c r="E11" s="3">
        <f>SUMIF(Devoluciones!$G:$G,2,Devoluciones!$H:$H)</f>
        <v>8454</v>
      </c>
      <c r="G11" s="10">
        <v>5</v>
      </c>
      <c r="H11" s="3">
        <f>B11-E11</f>
        <v>536</v>
      </c>
    </row>
    <row r="12" spans="1:22" x14ac:dyDescent="0.25">
      <c r="A12" s="10">
        <v>19</v>
      </c>
      <c r="B12" s="3">
        <f>SUMIF(Ventas!$G:$G,4,Ventas!$H:$H)</f>
        <v>9145</v>
      </c>
      <c r="C12" s="8" t="s">
        <v>69</v>
      </c>
      <c r="D12" s="10">
        <v>19</v>
      </c>
      <c r="E12" s="3">
        <f>SUMIF(Devoluciones!$G:$G,4,Devoluciones!$H:$H)</f>
        <v>6688</v>
      </c>
      <c r="G12" s="10">
        <v>19</v>
      </c>
      <c r="H12" s="3">
        <f>B12-E12</f>
        <v>2457</v>
      </c>
      <c r="J12" s="2"/>
    </row>
    <row r="13" spans="1:22" x14ac:dyDescent="0.25">
      <c r="B13" s="3">
        <f>SUM($B$9:$B$12)</f>
        <v>18135</v>
      </c>
      <c r="C13" s="2" t="s">
        <v>69</v>
      </c>
      <c r="E13" s="3">
        <f>SUM($B$9:$B$12)</f>
        <v>18135</v>
      </c>
      <c r="F13" s="9"/>
      <c r="H13" s="3">
        <f>B13-E13</f>
        <v>0</v>
      </c>
      <c r="J13" s="2"/>
      <c r="K13" s="2"/>
    </row>
    <row r="14" spans="1:22" x14ac:dyDescent="0.25">
      <c r="E14" s="2"/>
      <c r="H14" s="2"/>
      <c r="L14" s="2"/>
    </row>
    <row r="15" spans="1:22" x14ac:dyDescent="0.25">
      <c r="A15" s="17" t="s">
        <v>21</v>
      </c>
      <c r="B15" s="17"/>
      <c r="D15" s="17" t="s">
        <v>21</v>
      </c>
      <c r="E15" s="17"/>
      <c r="G15" s="17" t="s">
        <v>21</v>
      </c>
      <c r="H15" s="17"/>
      <c r="J15" s="2"/>
    </row>
    <row r="16" spans="1:22" x14ac:dyDescent="0.25">
      <c r="A16" s="7" t="s">
        <v>20</v>
      </c>
      <c r="B16" s="3">
        <f>SUMIF(Ventas!$G:$G,0,Ventas!$P:$P)</f>
        <v>323049</v>
      </c>
      <c r="C16" s="8" t="s">
        <v>69</v>
      </c>
      <c r="D16" s="7" t="s">
        <v>20</v>
      </c>
      <c r="E16" s="3">
        <f>SUMIF(Devoluciones!$G:$G,0,Devoluciones!$P:$P)</f>
        <v>301569</v>
      </c>
      <c r="G16" s="7" t="s">
        <v>20</v>
      </c>
      <c r="H16" s="3">
        <f>B16-E16</f>
        <v>21480</v>
      </c>
    </row>
    <row r="17" spans="1:58" x14ac:dyDescent="0.25">
      <c r="A17" s="7" t="s">
        <v>19</v>
      </c>
      <c r="B17" s="3">
        <f>SUMIF(Ventas!$G:$G,1,Ventas!$P:$P)</f>
        <v>0</v>
      </c>
      <c r="C17" s="8" t="s">
        <v>69</v>
      </c>
      <c r="D17" s="7" t="s">
        <v>19</v>
      </c>
      <c r="E17" s="3">
        <f>SUMIF(Devoluciones!$G:$G,1,Devoluciones!$P:$P)</f>
        <v>0</v>
      </c>
      <c r="G17" s="7" t="s">
        <v>19</v>
      </c>
      <c r="H17" s="3">
        <f>B17-E17</f>
        <v>0</v>
      </c>
    </row>
    <row r="18" spans="1:58" x14ac:dyDescent="0.25">
      <c r="A18" s="7">
        <v>5</v>
      </c>
      <c r="B18" s="3">
        <f>SUMIF(Ventas!$G:$G,2,Ventas!$P:$P)</f>
        <v>230679</v>
      </c>
      <c r="C18" s="8" t="s">
        <v>69</v>
      </c>
      <c r="D18" s="7">
        <v>5</v>
      </c>
      <c r="E18" s="3">
        <f>SUMIF(Devoluciones!$G:$G,2,Devoluciones!$P:$P)</f>
        <v>219439</v>
      </c>
      <c r="G18" s="7">
        <v>5</v>
      </c>
      <c r="H18" s="3">
        <f>B18-E18</f>
        <v>11240</v>
      </c>
    </row>
    <row r="19" spans="1:58" x14ac:dyDescent="0.25">
      <c r="A19" s="7">
        <v>19</v>
      </c>
      <c r="B19" s="3">
        <f>SUMIF(Ventas!$G:$G,4,Ventas!$P:$P)</f>
        <v>57282</v>
      </c>
      <c r="C19" s="8" t="s">
        <v>69</v>
      </c>
      <c r="D19" s="7">
        <v>19</v>
      </c>
      <c r="E19" s="3">
        <f>SUMIF(Devoluciones!$G:$G,4,Devoluciones!$P:$P)</f>
        <v>41892</v>
      </c>
      <c r="G19" s="7">
        <v>19</v>
      </c>
      <c r="H19" s="3">
        <f>B19-E19</f>
        <v>15390</v>
      </c>
      <c r="I19" s="2"/>
      <c r="J19" s="2"/>
    </row>
    <row r="20" spans="1:58" x14ac:dyDescent="0.25">
      <c r="B20" s="3">
        <f>SUM(B16:B19)</f>
        <v>611010</v>
      </c>
      <c r="E20" s="3">
        <f>SUM(E16:E19)</f>
        <v>562900</v>
      </c>
      <c r="H20" s="3">
        <f>B20-E20</f>
        <v>48110</v>
      </c>
    </row>
    <row r="21" spans="1:58" x14ac:dyDescent="0.25">
      <c r="E21" s="2"/>
      <c r="H21" s="2"/>
    </row>
    <row r="22" spans="1:58" x14ac:dyDescent="0.25">
      <c r="A22" s="20" t="s">
        <v>18</v>
      </c>
      <c r="B22" s="20"/>
      <c r="D22" s="20" t="s">
        <v>18</v>
      </c>
      <c r="E22" s="20"/>
      <c r="G22" s="20" t="s">
        <v>18</v>
      </c>
      <c r="H22" s="20"/>
    </row>
    <row r="23" spans="1:58" s="6" customFormat="1" x14ac:dyDescent="0.25">
      <c r="A23" s="4" t="s">
        <v>17</v>
      </c>
      <c r="B23" s="3">
        <f>SUMIF(Ventas!$I:$I,3,Ventas!$J:$J)</f>
        <v>41910</v>
      </c>
      <c r="C23" s="2" t="s">
        <v>69</v>
      </c>
      <c r="D23" s="4" t="s">
        <v>17</v>
      </c>
      <c r="E23" s="3">
        <f>SUMIF(Devoluciones!$I:$I,3,Devoluciones!$J:$J)</f>
        <v>41910</v>
      </c>
      <c r="F23"/>
      <c r="G23" s="4" t="s">
        <v>17</v>
      </c>
      <c r="H23" s="3">
        <f>B23-E23</f>
        <v>0</v>
      </c>
      <c r="I23"/>
      <c r="J23" s="2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</row>
    <row r="24" spans="1:58" x14ac:dyDescent="0.25">
      <c r="A24" s="4" t="s">
        <v>16</v>
      </c>
      <c r="B24" s="3">
        <f>SUMIF(Ventas!$I:$I,2,Ventas!$J:$J)</f>
        <v>0</v>
      </c>
      <c r="C24" t="s">
        <v>69</v>
      </c>
      <c r="D24" s="4" t="s">
        <v>16</v>
      </c>
      <c r="E24" s="3">
        <f>SUMIF(Devoluciones!$I:$I,2,Devoluciones!$J:$J)</f>
        <v>0</v>
      </c>
      <c r="G24" s="4" t="s">
        <v>16</v>
      </c>
      <c r="H24" s="3">
        <f>B24-E24</f>
        <v>0</v>
      </c>
      <c r="I24" s="2"/>
    </row>
    <row r="25" spans="1:58" x14ac:dyDescent="0.25">
      <c r="A25" s="4" t="s">
        <v>15</v>
      </c>
      <c r="B25" s="3">
        <f>SUMIF(Ventas!$I:$I,1,Ventas!$J:$J)</f>
        <v>12095</v>
      </c>
      <c r="C25" t="s">
        <v>69</v>
      </c>
      <c r="D25" s="4" t="s">
        <v>15</v>
      </c>
      <c r="E25" s="3">
        <f>SUMIF(Devoluciones!$I:$I,1,Devoluciones!$J:$J)</f>
        <v>12095</v>
      </c>
      <c r="G25" s="4" t="s">
        <v>15</v>
      </c>
      <c r="H25" s="3">
        <f>B25-E25</f>
        <v>0</v>
      </c>
    </row>
    <row r="26" spans="1:58" x14ac:dyDescent="0.25">
      <c r="A26" s="14" t="s">
        <v>13</v>
      </c>
      <c r="B26" s="3">
        <f>SUMIF(Ventas!$I:$I,6,Ventas!$J:$J)</f>
        <v>0</v>
      </c>
      <c r="C26" t="s">
        <v>69</v>
      </c>
      <c r="D26" s="14" t="s">
        <v>14</v>
      </c>
      <c r="E26" s="3">
        <f>SUMIF(Devoluciones!$I:$I,6,Devoluciones!$J:$J)</f>
        <v>0</v>
      </c>
      <c r="G26" s="4" t="s">
        <v>13</v>
      </c>
      <c r="H26" s="3">
        <f>B26-E26</f>
        <v>0</v>
      </c>
      <c r="J26" s="2"/>
    </row>
    <row r="27" spans="1:58" x14ac:dyDescent="0.25">
      <c r="A27" s="5"/>
      <c r="B27" s="3">
        <f>SUM(B23:B26)</f>
        <v>54005</v>
      </c>
      <c r="C27" t="s">
        <v>69</v>
      </c>
      <c r="D27" s="5"/>
      <c r="E27" s="3">
        <f>SUM(E23:E26)</f>
        <v>54005</v>
      </c>
      <c r="G27" s="5"/>
      <c r="H27" s="3">
        <f>SUM(H23:H26)</f>
        <v>0</v>
      </c>
      <c r="J27" s="2"/>
    </row>
    <row r="28" spans="1:58" x14ac:dyDescent="0.25">
      <c r="E28" s="2"/>
      <c r="H28" s="2"/>
    </row>
    <row r="29" spans="1:58" x14ac:dyDescent="0.25">
      <c r="A29" s="20" t="s">
        <v>12</v>
      </c>
      <c r="B29" s="20"/>
      <c r="D29" s="20" t="s">
        <v>12</v>
      </c>
      <c r="E29" s="20"/>
      <c r="G29" s="20" t="s">
        <v>12</v>
      </c>
      <c r="H29" s="20"/>
    </row>
    <row r="30" spans="1:58" x14ac:dyDescent="0.25">
      <c r="A30" s="4" t="s">
        <v>3</v>
      </c>
      <c r="B30" s="3">
        <f>SUM(Ventas!M:M)</f>
        <v>-110</v>
      </c>
      <c r="C30" t="s">
        <v>69</v>
      </c>
      <c r="D30" s="4" t="s">
        <v>3</v>
      </c>
      <c r="E30" s="3">
        <f>SUM(Devoluciones!P:P)</f>
        <v>562900</v>
      </c>
      <c r="G30" s="4" t="s">
        <v>3</v>
      </c>
      <c r="H30" s="3">
        <f>B30-E30</f>
        <v>-563010</v>
      </c>
    </row>
    <row r="31" spans="1:58" x14ac:dyDescent="0.25">
      <c r="A31" s="4" t="s">
        <v>4</v>
      </c>
      <c r="B31" s="3">
        <f>SUM(Ventas!N:N)</f>
        <v>0</v>
      </c>
      <c r="C31" t="s">
        <v>69</v>
      </c>
      <c r="D31" s="4" t="s">
        <v>4</v>
      </c>
      <c r="E31" s="3">
        <f>SUM(Devoluciones!Q:Q)</f>
        <v>0</v>
      </c>
      <c r="G31" s="4" t="s">
        <v>4</v>
      </c>
      <c r="H31" s="3">
        <f>B31-E31</f>
        <v>0</v>
      </c>
    </row>
    <row r="32" spans="1:58" x14ac:dyDescent="0.25">
      <c r="B32" s="3">
        <f>B31-B30</f>
        <v>110</v>
      </c>
      <c r="E32" s="3">
        <f>E31-E30</f>
        <v>-562900</v>
      </c>
      <c r="H32" s="3"/>
    </row>
    <row r="33" spans="1:8" x14ac:dyDescent="0.25">
      <c r="E33" s="2"/>
      <c r="H33" s="2"/>
    </row>
    <row r="34" spans="1:8" x14ac:dyDescent="0.25">
      <c r="A34" s="20" t="s">
        <v>12</v>
      </c>
      <c r="B34" s="20"/>
      <c r="D34" s="20" t="s">
        <v>12</v>
      </c>
      <c r="E34" s="20"/>
      <c r="G34" s="20" t="s">
        <v>12</v>
      </c>
      <c r="H34" s="20"/>
    </row>
    <row r="35" spans="1:8" x14ac:dyDescent="0.25">
      <c r="A35" s="4" t="s">
        <v>11</v>
      </c>
      <c r="B35" s="3">
        <f>SUM(Ventas!K:K)</f>
        <v>56020</v>
      </c>
      <c r="C35" t="s">
        <v>69</v>
      </c>
      <c r="D35" s="4" t="s">
        <v>11</v>
      </c>
      <c r="E35" s="3">
        <f>SUM(Devoluciones!$K:$K)*-1</f>
        <v>56020</v>
      </c>
      <c r="G35" s="4" t="s">
        <v>11</v>
      </c>
      <c r="H35" s="3">
        <f>B35-E35</f>
        <v>0</v>
      </c>
    </row>
    <row r="36" spans="1:8" x14ac:dyDescent="0.25">
      <c r="A36" s="5"/>
      <c r="B36" s="5"/>
      <c r="D36" s="5"/>
      <c r="E36" s="5"/>
    </row>
    <row r="37" spans="1:8" x14ac:dyDescent="0.25">
      <c r="A37" s="20" t="s">
        <v>10</v>
      </c>
      <c r="B37" s="20"/>
      <c r="D37" s="20" t="s">
        <v>9</v>
      </c>
      <c r="E37" s="20"/>
      <c r="G37" s="20" t="s">
        <v>8</v>
      </c>
      <c r="H37" s="20"/>
    </row>
    <row r="38" spans="1:8" x14ac:dyDescent="0.25">
      <c r="A38" s="4" t="s">
        <v>7</v>
      </c>
      <c r="B38" s="3">
        <f>SUM(Ventas!F:F)</f>
        <v>538870</v>
      </c>
      <c r="C38" t="s">
        <v>69</v>
      </c>
      <c r="D38" s="4" t="s">
        <v>7</v>
      </c>
      <c r="E38" s="3">
        <f>SUM(Devoluciones!F:F)</f>
        <v>493753</v>
      </c>
      <c r="G38" s="4" t="s">
        <v>7</v>
      </c>
      <c r="H38" s="3">
        <f>+B38-E38</f>
        <v>45117</v>
      </c>
    </row>
  </sheetData>
  <mergeCells count="28">
    <mergeCell ref="A22:B22"/>
    <mergeCell ref="G2:H2"/>
    <mergeCell ref="A2:B2"/>
    <mergeCell ref="D2:E2"/>
    <mergeCell ref="A8:B8"/>
    <mergeCell ref="A15:B15"/>
    <mergeCell ref="G8:H8"/>
    <mergeCell ref="G15:H15"/>
    <mergeCell ref="G22:H22"/>
    <mergeCell ref="D15:E15"/>
    <mergeCell ref="D22:E22"/>
    <mergeCell ref="A37:B37"/>
    <mergeCell ref="G37:H37"/>
    <mergeCell ref="D29:E29"/>
    <mergeCell ref="A29:B29"/>
    <mergeCell ref="D34:E34"/>
    <mergeCell ref="G34:H34"/>
    <mergeCell ref="A34:B34"/>
    <mergeCell ref="G29:H29"/>
    <mergeCell ref="D37:E37"/>
    <mergeCell ref="A1:B1"/>
    <mergeCell ref="D1:E1"/>
    <mergeCell ref="D8:E8"/>
    <mergeCell ref="S1:T1"/>
    <mergeCell ref="M1:N1"/>
    <mergeCell ref="P1:Q1"/>
    <mergeCell ref="J1:K1"/>
    <mergeCell ref="G1:H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Ventas</vt:lpstr>
      <vt:lpstr>Devoluciones</vt:lpstr>
      <vt:lpstr>Calculos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 Ariza, Endo Rodrigo (Externo - Q-VISION QUAL</cp:lastModifiedBy>
  <dcterms:created xsi:type="dcterms:W3CDTF">2023-12-28T15:58:07Z</dcterms:created>
  <dcterms:modified xsi:type="dcterms:W3CDTF">2024-01-04T19:40:19Z</dcterms:modified>
</cp:coreProperties>
</file>