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kobenaasabee/Downloads/StockPitch/"/>
    </mc:Choice>
  </mc:AlternateContent>
  <xr:revisionPtr revIDLastSave="0" documentId="13_ncr:1_{E3CFC9B4-20AF-A74D-B2B0-86E6D46F77ED}" xr6:coauthVersionLast="47" xr6:coauthVersionMax="47" xr10:uidLastSave="{00000000-0000-0000-0000-000000000000}"/>
  <bookViews>
    <workbookView xWindow="0" yWindow="500" windowWidth="24540" windowHeight="14020" firstSheet="1" activeTab="1" xr2:uid="{695E1AB5-6FB3-D947-BBC9-306F960E0DA3}"/>
  </bookViews>
  <sheets>
    <sheet name="Trading Multiples Valuation" sheetId="3" r:id="rId1"/>
    <sheet name="Valuation output" sheetId="27" r:id="rId2"/>
    <sheet name="Stories to Numbers" sheetId="28" r:id="rId3"/>
    <sheet name="Valuation as picture" sheetId="21" r:id="rId4"/>
    <sheet name="Income Statement" sheetId="4" r:id="rId5"/>
    <sheet name="Balance Sheet" sheetId="6" r:id="rId6"/>
    <sheet name="Cashflow Statement" sheetId="7" r:id="rId7"/>
    <sheet name="YoY sales growth" sheetId="9" r:id="rId8"/>
    <sheet name="Tax rate analysis" sheetId="16" r:id="rId9"/>
    <sheet name="WACC" sheetId="22" r:id="rId10"/>
    <sheet name="Synthetic rating" sheetId="26" r:id="rId11"/>
    <sheet name="Industry Averages(US)" sheetId="24" r:id="rId12"/>
    <sheet name="Country equity risk premiums" sheetId="25" r:id="rId13"/>
    <sheet name="Failure Rate worksheet" sheetId="29" r:id="rId14"/>
  </sheets>
  <externalReferences>
    <externalReference r:id="rId15"/>
    <externalReference r:id="rId16"/>
  </externalReferenc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27" l="1"/>
  <c r="B5" i="27"/>
  <c r="B4" i="27" s="1"/>
  <c r="C12" i="4"/>
  <c r="D12" i="4"/>
  <c r="E12" i="4"/>
  <c r="B12" i="4"/>
  <c r="H4" i="27"/>
  <c r="J18" i="21" s="1"/>
  <c r="I4" i="27"/>
  <c r="C23" i="28" s="1"/>
  <c r="D23" i="28" s="1"/>
  <c r="J4" i="27"/>
  <c r="L18" i="21" s="1"/>
  <c r="K4" i="27"/>
  <c r="L4" i="27"/>
  <c r="M4" i="27" s="1"/>
  <c r="O18" i="21" s="1"/>
  <c r="F28" i="21"/>
  <c r="F25" i="21"/>
  <c r="F21" i="21"/>
  <c r="F26" i="21"/>
  <c r="C7" i="26"/>
  <c r="F8" i="26"/>
  <c r="M12" i="27"/>
  <c r="O17" i="21"/>
  <c r="N28" i="21"/>
  <c r="N21" i="21"/>
  <c r="N17" i="21"/>
  <c r="N16" i="21"/>
  <c r="M28" i="21"/>
  <c r="M21" i="21"/>
  <c r="M17" i="21"/>
  <c r="M16" i="21"/>
  <c r="L28" i="21"/>
  <c r="L21" i="21"/>
  <c r="L17" i="21"/>
  <c r="L16" i="21"/>
  <c r="K28" i="21"/>
  <c r="K21" i="21"/>
  <c r="K17" i="21"/>
  <c r="K16" i="21"/>
  <c r="J28" i="21"/>
  <c r="J21" i="21"/>
  <c r="J17" i="21"/>
  <c r="J16" i="21"/>
  <c r="I28" i="21"/>
  <c r="I21" i="21"/>
  <c r="I17" i="21"/>
  <c r="I16" i="21"/>
  <c r="H28" i="21"/>
  <c r="H21" i="21"/>
  <c r="H17" i="21"/>
  <c r="H16" i="21"/>
  <c r="G28" i="21"/>
  <c r="G21" i="21"/>
  <c r="G17" i="21"/>
  <c r="G16" i="21"/>
  <c r="O16" i="21"/>
  <c r="P7" i="21"/>
  <c r="B30" i="27"/>
  <c r="B24" i="21" s="1"/>
  <c r="B26" i="27"/>
  <c r="B39" i="27"/>
  <c r="E38" i="27"/>
  <c r="F38" i="27" s="1"/>
  <c r="D38" i="27"/>
  <c r="D8" i="27" s="1"/>
  <c r="F18" i="28" s="1"/>
  <c r="C38" i="27"/>
  <c r="E28" i="21" s="1"/>
  <c r="C20" i="3"/>
  <c r="D33" i="21"/>
  <c r="G33" i="21"/>
  <c r="K6" i="21"/>
  <c r="H6" i="21"/>
  <c r="E6" i="21"/>
  <c r="F17" i="21"/>
  <c r="F16" i="21"/>
  <c r="E17" i="21"/>
  <c r="E16" i="21"/>
  <c r="B29" i="21"/>
  <c r="B26" i="21"/>
  <c r="B22" i="21"/>
  <c r="B21" i="21"/>
  <c r="B20" i="21"/>
  <c r="B19" i="21"/>
  <c r="B17" i="21"/>
  <c r="C9" i="21"/>
  <c r="G39" i="28"/>
  <c r="D34" i="28"/>
  <c r="C19" i="3" s="1"/>
  <c r="D38" i="28"/>
  <c r="D35" i="28"/>
  <c r="G33" i="28"/>
  <c r="B27" i="28"/>
  <c r="B26" i="28"/>
  <c r="B25" i="28"/>
  <c r="B24" i="28"/>
  <c r="B23" i="28"/>
  <c r="B22" i="28"/>
  <c r="B21" i="28"/>
  <c r="B20" i="28"/>
  <c r="B19" i="28"/>
  <c r="B18" i="28"/>
  <c r="B17" i="28"/>
  <c r="B13" i="28"/>
  <c r="E12" i="28"/>
  <c r="D12" i="28"/>
  <c r="C12" i="28"/>
  <c r="F11" i="28"/>
  <c r="B11" i="28"/>
  <c r="C10" i="28"/>
  <c r="F9" i="28"/>
  <c r="D9" i="28"/>
  <c r="C9" i="28"/>
  <c r="B9" i="28"/>
  <c r="B34" i="27"/>
  <c r="B32" i="27"/>
  <c r="B28" i="27"/>
  <c r="B27" i="27"/>
  <c r="B25" i="27"/>
  <c r="B22" i="27"/>
  <c r="C10" i="27"/>
  <c r="D10" i="27"/>
  <c r="E10" i="27"/>
  <c r="F10" i="27"/>
  <c r="G10" i="27"/>
  <c r="H10" i="27"/>
  <c r="I10" i="27"/>
  <c r="J10" i="27"/>
  <c r="K10" i="27"/>
  <c r="L10" i="27"/>
  <c r="M10" i="27"/>
  <c r="B10" i="27"/>
  <c r="E8" i="27"/>
  <c r="F19" i="28" s="1"/>
  <c r="E21" i="21"/>
  <c r="M6" i="27"/>
  <c r="B3" i="27"/>
  <c r="D2" i="27"/>
  <c r="E2" i="27" s="1"/>
  <c r="F2" i="27" s="1"/>
  <c r="G2" i="27" s="1"/>
  <c r="C2" i="27"/>
  <c r="L29" i="29"/>
  <c r="K29" i="29"/>
  <c r="J29" i="29"/>
  <c r="I29" i="29"/>
  <c r="H29" i="29"/>
  <c r="G29" i="29"/>
  <c r="F29" i="29"/>
  <c r="E29" i="29"/>
  <c r="D29" i="29"/>
  <c r="C29" i="29"/>
  <c r="L28" i="29"/>
  <c r="K28" i="29"/>
  <c r="J28" i="29"/>
  <c r="I28" i="29"/>
  <c r="H28" i="29"/>
  <c r="G28" i="29"/>
  <c r="F28" i="29"/>
  <c r="E28" i="29"/>
  <c r="D28" i="29"/>
  <c r="C28" i="29"/>
  <c r="L27" i="29"/>
  <c r="K27" i="29"/>
  <c r="J27" i="29"/>
  <c r="I27" i="29"/>
  <c r="H27" i="29"/>
  <c r="G27" i="29"/>
  <c r="F27" i="29"/>
  <c r="E27" i="29"/>
  <c r="D27" i="29"/>
  <c r="C27" i="29"/>
  <c r="L26" i="29"/>
  <c r="K26" i="29"/>
  <c r="J26" i="29"/>
  <c r="I26" i="29"/>
  <c r="H26" i="29"/>
  <c r="G26" i="29"/>
  <c r="F26" i="29"/>
  <c r="E26" i="29"/>
  <c r="D26" i="29"/>
  <c r="C26" i="29"/>
  <c r="L25" i="29"/>
  <c r="K25" i="29"/>
  <c r="J25" i="29"/>
  <c r="I25" i="29"/>
  <c r="H25" i="29"/>
  <c r="G25" i="29"/>
  <c r="F25" i="29"/>
  <c r="E25" i="29"/>
  <c r="D25" i="29"/>
  <c r="C25" i="29"/>
  <c r="L24" i="29"/>
  <c r="K24" i="29"/>
  <c r="J24" i="29"/>
  <c r="I24" i="29"/>
  <c r="H24" i="29"/>
  <c r="G24" i="29"/>
  <c r="F24" i="29"/>
  <c r="E24" i="29"/>
  <c r="D24" i="29"/>
  <c r="C24" i="29"/>
  <c r="L23" i="29"/>
  <c r="K23" i="29"/>
  <c r="J23" i="29"/>
  <c r="I23" i="29"/>
  <c r="H23" i="29"/>
  <c r="G23" i="29"/>
  <c r="F23" i="29"/>
  <c r="E23" i="29"/>
  <c r="D23" i="29"/>
  <c r="C23" i="29"/>
  <c r="L22" i="29"/>
  <c r="K22" i="29"/>
  <c r="J22" i="29"/>
  <c r="I22" i="29"/>
  <c r="H22" i="29"/>
  <c r="G22" i="29"/>
  <c r="F22" i="29"/>
  <c r="E22" i="29"/>
  <c r="D22" i="29"/>
  <c r="C22" i="29"/>
  <c r="L21" i="29"/>
  <c r="K21" i="29"/>
  <c r="J21" i="29"/>
  <c r="I21" i="29"/>
  <c r="H21" i="29"/>
  <c r="G21" i="29"/>
  <c r="F21" i="29"/>
  <c r="E21" i="29"/>
  <c r="D21" i="29"/>
  <c r="C21" i="29"/>
  <c r="L20" i="29"/>
  <c r="K20" i="29"/>
  <c r="J20" i="29"/>
  <c r="I20" i="29"/>
  <c r="H20" i="29"/>
  <c r="G20" i="29"/>
  <c r="F20" i="29"/>
  <c r="E20" i="29"/>
  <c r="D20" i="29"/>
  <c r="C20" i="29"/>
  <c r="L19" i="29"/>
  <c r="K19" i="29"/>
  <c r="J19" i="29"/>
  <c r="I19" i="29"/>
  <c r="H19" i="29"/>
  <c r="G19" i="29"/>
  <c r="F19" i="29"/>
  <c r="E19" i="29"/>
  <c r="D19" i="29"/>
  <c r="C19" i="29"/>
  <c r="D11" i="28"/>
  <c r="M18" i="21"/>
  <c r="C3" i="27"/>
  <c r="B10" i="21"/>
  <c r="B8" i="21"/>
  <c r="C7" i="21"/>
  <c r="B7" i="21"/>
  <c r="I12" i="6"/>
  <c r="B14" i="9"/>
  <c r="D20" i="22"/>
  <c r="C20" i="22"/>
  <c r="C28" i="22" s="1"/>
  <c r="C3" i="16"/>
  <c r="D3" i="16"/>
  <c r="E3" i="16"/>
  <c r="C4" i="16"/>
  <c r="D4" i="16"/>
  <c r="E4" i="16"/>
  <c r="B4" i="16"/>
  <c r="B3" i="16"/>
  <c r="F9" i="26"/>
  <c r="D22" i="22"/>
  <c r="D29" i="22" s="1"/>
  <c r="C14" i="22"/>
  <c r="F10" i="26"/>
  <c r="D15" i="26"/>
  <c r="C25" i="22"/>
  <c r="C33" i="22" s="1"/>
  <c r="C24" i="22"/>
  <c r="C13" i="22"/>
  <c r="C26" i="22" s="1"/>
  <c r="C36" i="22" s="1"/>
  <c r="C32" i="22"/>
  <c r="C21" i="22"/>
  <c r="C19" i="22"/>
  <c r="B210" i="25"/>
  <c r="B209" i="25"/>
  <c r="B208" i="25"/>
  <c r="B207" i="25"/>
  <c r="B206" i="25"/>
  <c r="B205" i="25"/>
  <c r="B204" i="25"/>
  <c r="B203" i="25"/>
  <c r="B202" i="25"/>
  <c r="B201" i="25"/>
  <c r="D195" i="25"/>
  <c r="D194" i="25"/>
  <c r="D193" i="25"/>
  <c r="D192" i="25"/>
  <c r="D191" i="25"/>
  <c r="D190" i="25"/>
  <c r="D189" i="25"/>
  <c r="D188" i="25"/>
  <c r="D187" i="25"/>
  <c r="D186" i="25"/>
  <c r="D185" i="25"/>
  <c r="D184" i="25"/>
  <c r="D183" i="25"/>
  <c r="D182" i="25"/>
  <c r="D181" i="25"/>
  <c r="D180" i="25"/>
  <c r="D179" i="25"/>
  <c r="D178" i="25"/>
  <c r="D177" i="25"/>
  <c r="D176" i="25"/>
  <c r="D175" i="25"/>
  <c r="D174" i="25"/>
  <c r="D173" i="25"/>
  <c r="D172" i="25"/>
  <c r="D171" i="25"/>
  <c r="D170" i="25"/>
  <c r="D169" i="25"/>
  <c r="D168" i="25"/>
  <c r="D167" i="25"/>
  <c r="D166" i="25"/>
  <c r="D165" i="25"/>
  <c r="D164" i="25"/>
  <c r="D163" i="25"/>
  <c r="D162" i="25"/>
  <c r="D161" i="25"/>
  <c r="D160" i="25"/>
  <c r="D159" i="25"/>
  <c r="D158" i="25"/>
  <c r="D157" i="25"/>
  <c r="D156" i="25"/>
  <c r="D155" i="25"/>
  <c r="D154" i="25"/>
  <c r="D153" i="25"/>
  <c r="D152" i="25"/>
  <c r="D151" i="25"/>
  <c r="D150" i="25"/>
  <c r="D149" i="25"/>
  <c r="D148" i="25"/>
  <c r="D147" i="25"/>
  <c r="D146" i="25"/>
  <c r="D145" i="25"/>
  <c r="D144" i="25"/>
  <c r="D143" i="25"/>
  <c r="D142" i="25"/>
  <c r="D141" i="25"/>
  <c r="D140" i="25"/>
  <c r="D139" i="25"/>
  <c r="D138" i="25"/>
  <c r="D137" i="25"/>
  <c r="D136" i="25"/>
  <c r="D135" i="25"/>
  <c r="D134" i="25"/>
  <c r="D133" i="25"/>
  <c r="D132" i="25"/>
  <c r="D131" i="25"/>
  <c r="D130" i="25"/>
  <c r="D129" i="25"/>
  <c r="D128" i="25"/>
  <c r="D127" i="25"/>
  <c r="D126" i="25"/>
  <c r="D125" i="25"/>
  <c r="D124" i="25"/>
  <c r="D123" i="25"/>
  <c r="D122" i="25"/>
  <c r="D121" i="25"/>
  <c r="D120" i="25"/>
  <c r="D119" i="25"/>
  <c r="D118" i="25"/>
  <c r="F117" i="25"/>
  <c r="E117" i="25"/>
  <c r="D117" i="25"/>
  <c r="C117" i="25"/>
  <c r="D116" i="25"/>
  <c r="D115" i="25"/>
  <c r="D114" i="25"/>
  <c r="D113" i="25"/>
  <c r="D112" i="25"/>
  <c r="D111" i="25"/>
  <c r="D110" i="25"/>
  <c r="D109" i="25"/>
  <c r="D108" i="25"/>
  <c r="D107" i="25"/>
  <c r="D106" i="25"/>
  <c r="D105" i="25"/>
  <c r="D104" i="25"/>
  <c r="D103" i="25"/>
  <c r="D102" i="25"/>
  <c r="D101" i="25"/>
  <c r="D100" i="25"/>
  <c r="D99" i="25"/>
  <c r="D98" i="25"/>
  <c r="D97" i="25"/>
  <c r="D96" i="25"/>
  <c r="D95" i="25"/>
  <c r="D94" i="25"/>
  <c r="D93" i="25"/>
  <c r="D92" i="25"/>
  <c r="D91" i="25"/>
  <c r="D90" i="25"/>
  <c r="D89" i="25"/>
  <c r="D88" i="25"/>
  <c r="D87" i="25"/>
  <c r="D86" i="25"/>
  <c r="D85" i="25"/>
  <c r="D84" i="25"/>
  <c r="D83" i="25"/>
  <c r="D82" i="25"/>
  <c r="D81" i="25"/>
  <c r="D80" i="25"/>
  <c r="D79" i="25"/>
  <c r="D78" i="25"/>
  <c r="D77" i="25"/>
  <c r="D76" i="25"/>
  <c r="D75" i="25"/>
  <c r="D74" i="25"/>
  <c r="D73" i="25"/>
  <c r="F72" i="25"/>
  <c r="E72" i="25"/>
  <c r="D72" i="25"/>
  <c r="C72" i="25"/>
  <c r="D71" i="25"/>
  <c r="D70" i="25"/>
  <c r="D69" i="25"/>
  <c r="D68" i="25"/>
  <c r="D67" i="25"/>
  <c r="D66" i="25"/>
  <c r="D65" i="25"/>
  <c r="D64" i="25"/>
  <c r="D63" i="25"/>
  <c r="D62" i="25"/>
  <c r="D61" i="25"/>
  <c r="D60" i="25"/>
  <c r="D59" i="25"/>
  <c r="D58" i="25"/>
  <c r="D57" i="25"/>
  <c r="D56" i="25"/>
  <c r="D55" i="25"/>
  <c r="D54" i="25"/>
  <c r="D53" i="25"/>
  <c r="D52" i="25"/>
  <c r="D51" i="25"/>
  <c r="D50" i="25"/>
  <c r="D49" i="25"/>
  <c r="D48" i="25"/>
  <c r="D47" i="25"/>
  <c r="D46" i="25"/>
  <c r="D45" i="25"/>
  <c r="D44" i="25"/>
  <c r="D43" i="25"/>
  <c r="D42" i="25"/>
  <c r="D41" i="25"/>
  <c r="D40" i="25"/>
  <c r="D39" i="25"/>
  <c r="D38" i="25"/>
  <c r="D37" i="25"/>
  <c r="D36" i="25"/>
  <c r="D35" i="25"/>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C11" i="3" l="1"/>
  <c r="B9" i="21"/>
  <c r="B10" i="28"/>
  <c r="C4" i="27"/>
  <c r="C5" i="27" s="1"/>
  <c r="E19" i="21" s="1"/>
  <c r="C25" i="28"/>
  <c r="D25" i="28" s="1"/>
  <c r="K18" i="21"/>
  <c r="C24" i="28"/>
  <c r="D24" i="28" s="1"/>
  <c r="C22" i="28"/>
  <c r="D22" i="28" s="1"/>
  <c r="C27" i="28"/>
  <c r="D27" i="28" s="1"/>
  <c r="F10" i="28"/>
  <c r="C26" i="28"/>
  <c r="D26" i="28" s="1"/>
  <c r="N18" i="21"/>
  <c r="D37" i="28"/>
  <c r="F8" i="27"/>
  <c r="F20" i="28" s="1"/>
  <c r="G38" i="27"/>
  <c r="H38" i="27" s="1"/>
  <c r="I38" i="27" s="1"/>
  <c r="J38" i="27" s="1"/>
  <c r="K38" i="27" s="1"/>
  <c r="L38" i="27" s="1"/>
  <c r="F17" i="28"/>
  <c r="B6" i="27"/>
  <c r="D12" i="26"/>
  <c r="D13" i="26" s="1"/>
  <c r="C31" i="22" s="1"/>
  <c r="C22" i="22"/>
  <c r="E18" i="21" l="1"/>
  <c r="G4" i="27"/>
  <c r="E4" i="27"/>
  <c r="G18" i="21" s="1"/>
  <c r="D4" i="27"/>
  <c r="C18" i="28" s="1"/>
  <c r="D18" i="28" s="1"/>
  <c r="C17" i="28"/>
  <c r="D17" i="28" s="1"/>
  <c r="F4" i="27"/>
  <c r="H18" i="21" s="1"/>
  <c r="C6" i="27"/>
  <c r="D6" i="27" s="1"/>
  <c r="E6" i="27" s="1"/>
  <c r="F6" i="27" s="1"/>
  <c r="G6" i="27" s="1"/>
  <c r="H6" i="27" s="1"/>
  <c r="I6" i="27" s="1"/>
  <c r="J6" i="27" s="1"/>
  <c r="K6" i="27" s="1"/>
  <c r="L6" i="27" s="1"/>
  <c r="B7" i="27"/>
  <c r="C29" i="22"/>
  <c r="M2" i="27"/>
  <c r="C7" i="27"/>
  <c r="D14" i="26"/>
  <c r="D16" i="26" s="1"/>
  <c r="C30" i="22" s="1"/>
  <c r="C34" i="22" s="1"/>
  <c r="F18" i="21" l="1"/>
  <c r="C19" i="28"/>
  <c r="D19" i="28" s="1"/>
  <c r="C20" i="28"/>
  <c r="D20" i="28" s="1"/>
  <c r="B40" i="27"/>
  <c r="B9" i="27"/>
  <c r="C13" i="3" s="1"/>
  <c r="B11" i="21"/>
  <c r="C21" i="28"/>
  <c r="D21" i="28" s="1"/>
  <c r="E10" i="28"/>
  <c r="I18" i="21"/>
  <c r="E17" i="28"/>
  <c r="E20" i="21"/>
  <c r="H2" i="27"/>
  <c r="J2" i="27"/>
  <c r="K2" i="27"/>
  <c r="L2" i="27"/>
  <c r="I2" i="27"/>
  <c r="C37" i="22"/>
  <c r="C38" i="22" s="1"/>
  <c r="C12" i="27" s="1"/>
  <c r="C40" i="27"/>
  <c r="E29" i="21" s="1"/>
  <c r="E25" i="21" l="1"/>
  <c r="D14" i="28"/>
  <c r="C13" i="27"/>
  <c r="D12" i="27"/>
  <c r="E12" i="27" s="1"/>
  <c r="F12" i="27" l="1"/>
  <c r="G25" i="21"/>
  <c r="D13" i="27"/>
  <c r="E13" i="27" s="1"/>
  <c r="E26" i="21"/>
  <c r="F13" i="27" l="1"/>
  <c r="G26" i="21"/>
  <c r="G12" i="27"/>
  <c r="I25" i="21" s="1"/>
  <c r="H25" i="21"/>
  <c r="G13" i="27" l="1"/>
  <c r="I26" i="21" s="1"/>
  <c r="H26" i="21"/>
  <c r="G17" i="28" l="1"/>
  <c r="O3" i="21" l="1"/>
  <c r="A15" i="21"/>
  <c r="E15" i="21"/>
  <c r="F15" i="21"/>
  <c r="G15" i="21"/>
  <c r="H15" i="21"/>
  <c r="I15" i="21"/>
  <c r="J15" i="21"/>
  <c r="K15" i="21"/>
  <c r="L15" i="21"/>
  <c r="M15" i="21"/>
  <c r="N15" i="21"/>
  <c r="O15" i="21"/>
  <c r="A16" i="21"/>
  <c r="A17" i="21"/>
  <c r="A18" i="21"/>
  <c r="A19" i="21"/>
  <c r="A20" i="21"/>
  <c r="A21" i="21"/>
  <c r="A22" i="21"/>
  <c r="A23" i="21"/>
  <c r="A24" i="21"/>
  <c r="A25" i="21"/>
  <c r="A26" i="21"/>
  <c r="A27" i="21"/>
  <c r="D5" i="16"/>
  <c r="E5" i="16"/>
  <c r="C5" i="16"/>
  <c r="A4" i="16"/>
  <c r="A3" i="16"/>
  <c r="C8" i="16"/>
  <c r="C9" i="16"/>
  <c r="F5" i="16"/>
  <c r="B9" i="16" l="1"/>
  <c r="B5" i="16"/>
  <c r="B8" i="16" s="1"/>
  <c r="C13" i="4" l="1"/>
  <c r="B13" i="4"/>
  <c r="C8" i="9"/>
  <c r="C7" i="9"/>
  <c r="C6" i="9"/>
  <c r="C5" i="9"/>
  <c r="C4" i="9"/>
  <c r="C3" i="9"/>
  <c r="C9" i="3"/>
  <c r="J17" i="6"/>
  <c r="K17" i="6"/>
  <c r="L17" i="6"/>
  <c r="J12" i="6"/>
  <c r="K12" i="6"/>
  <c r="L12" i="6"/>
  <c r="L14" i="6" s="1"/>
  <c r="J8" i="6"/>
  <c r="K8" i="6"/>
  <c r="L8" i="6"/>
  <c r="I8" i="6"/>
  <c r="I7" i="6"/>
  <c r="J6" i="6"/>
  <c r="J7" i="6" s="1"/>
  <c r="J9" i="6" s="1"/>
  <c r="J16" i="6" s="1"/>
  <c r="K6" i="6"/>
  <c r="L6" i="6"/>
  <c r="I6" i="6"/>
  <c r="J5" i="6"/>
  <c r="K5" i="6"/>
  <c r="L5" i="6"/>
  <c r="I5" i="6"/>
  <c r="J4" i="6"/>
  <c r="K4" i="6"/>
  <c r="L4" i="6"/>
  <c r="I4" i="6"/>
  <c r="L13" i="6"/>
  <c r="K13" i="6"/>
  <c r="J13" i="6"/>
  <c r="I13" i="6"/>
  <c r="K14" i="6"/>
  <c r="J14" i="6"/>
  <c r="I14" i="6"/>
  <c r="L7" i="6"/>
  <c r="L9" i="6" s="1"/>
  <c r="C38" i="6"/>
  <c r="D38" i="6"/>
  <c r="E38" i="6"/>
  <c r="B38" i="6"/>
  <c r="C37" i="6"/>
  <c r="D37" i="6"/>
  <c r="E37" i="6"/>
  <c r="B37" i="6"/>
  <c r="C36" i="6"/>
  <c r="D36" i="6"/>
  <c r="E36" i="6"/>
  <c r="B36" i="6"/>
  <c r="C28" i="6"/>
  <c r="D28" i="6"/>
  <c r="E28" i="6"/>
  <c r="B28" i="6"/>
  <c r="C27" i="6"/>
  <c r="D27" i="6"/>
  <c r="E27" i="6"/>
  <c r="B27" i="6"/>
  <c r="C12" i="6"/>
  <c r="C15" i="6" s="1"/>
  <c r="C16" i="6" s="1"/>
  <c r="D12" i="6"/>
  <c r="D15" i="6" s="1"/>
  <c r="D16" i="6" s="1"/>
  <c r="E12" i="6"/>
  <c r="E15" i="6" s="1"/>
  <c r="E16" i="6" s="1"/>
  <c r="B12" i="6"/>
  <c r="B15" i="6" s="1"/>
  <c r="B16" i="6" s="1"/>
  <c r="C9" i="6"/>
  <c r="D9" i="6"/>
  <c r="E9" i="6"/>
  <c r="B9" i="6"/>
  <c r="C15" i="4"/>
  <c r="B15" i="4"/>
  <c r="C11" i="4"/>
  <c r="D11" i="4"/>
  <c r="E11" i="4"/>
  <c r="B11" i="4"/>
  <c r="C5" i="4"/>
  <c r="D5" i="4"/>
  <c r="E5" i="4"/>
  <c r="B5" i="4"/>
  <c r="D39" i="3"/>
  <c r="D44" i="3" s="1"/>
  <c r="E39" i="3"/>
  <c r="F39" i="3"/>
  <c r="G39" i="3"/>
  <c r="G44" i="3" s="1"/>
  <c r="H39" i="3"/>
  <c r="H44" i="3" s="1"/>
  <c r="I39" i="3"/>
  <c r="J39" i="3"/>
  <c r="J44" i="3" s="1"/>
  <c r="D40" i="3"/>
  <c r="D45" i="3" s="1"/>
  <c r="E40" i="3"/>
  <c r="F40" i="3"/>
  <c r="G40" i="3"/>
  <c r="G45" i="3" s="1"/>
  <c r="H40" i="3"/>
  <c r="H45" i="3" s="1"/>
  <c r="I40" i="3"/>
  <c r="J40" i="3"/>
  <c r="J45" i="3" s="1"/>
  <c r="D41" i="3"/>
  <c r="D46" i="3" s="1"/>
  <c r="E41" i="3"/>
  <c r="F41" i="3"/>
  <c r="G41" i="3"/>
  <c r="G46" i="3" s="1"/>
  <c r="H41" i="3"/>
  <c r="H46" i="3" s="1"/>
  <c r="I41" i="3"/>
  <c r="J41" i="3"/>
  <c r="J46" i="3" s="1"/>
  <c r="D42" i="3"/>
  <c r="D47" i="3" s="1"/>
  <c r="E42" i="3"/>
  <c r="F42" i="3"/>
  <c r="G42" i="3"/>
  <c r="G47" i="3" s="1"/>
  <c r="H42" i="3"/>
  <c r="H47" i="3" s="1"/>
  <c r="I42" i="3"/>
  <c r="J42" i="3"/>
  <c r="J47" i="3" s="1"/>
  <c r="C14" i="9"/>
  <c r="M12" i="6"/>
  <c r="M16" i="6"/>
  <c r="M14" i="6"/>
  <c r="F36" i="6"/>
  <c r="F12" i="6"/>
  <c r="M6" i="6"/>
  <c r="M9" i="6"/>
  <c r="F27" i="6"/>
  <c r="D3" i="9"/>
  <c r="M4" i="6"/>
  <c r="M5" i="6"/>
  <c r="F37" i="6"/>
  <c r="F28" i="6"/>
  <c r="F9" i="6"/>
  <c r="D4" i="9"/>
  <c r="M17" i="6"/>
  <c r="M7" i="6"/>
  <c r="M13" i="6"/>
  <c r="F38" i="6"/>
  <c r="F15" i="6"/>
  <c r="M8" i="6"/>
  <c r="F16" i="6"/>
  <c r="D3" i="27" l="1"/>
  <c r="E13" i="4"/>
  <c r="D13" i="4"/>
  <c r="D15" i="4" s="1"/>
  <c r="L16" i="6"/>
  <c r="I9" i="6"/>
  <c r="K7" i="6"/>
  <c r="K9" i="6" s="1"/>
  <c r="K16" i="6" s="1"/>
  <c r="I16" i="6"/>
  <c r="I17" i="6" s="1"/>
  <c r="E3" i="27" l="1"/>
  <c r="D5" i="27"/>
  <c r="F19" i="21" s="1"/>
  <c r="E15" i="4"/>
  <c r="C12" i="3" s="1"/>
  <c r="C10" i="3"/>
  <c r="I47" i="3" l="1"/>
  <c r="I44" i="3"/>
  <c r="I45" i="3"/>
  <c r="I46" i="3"/>
  <c r="E47" i="3"/>
  <c r="E44" i="3"/>
  <c r="E45" i="3"/>
  <c r="E46" i="3"/>
  <c r="E5" i="27"/>
  <c r="G19" i="21" s="1"/>
  <c r="F3" i="27"/>
  <c r="D7" i="27"/>
  <c r="C39" i="27"/>
  <c r="C9" i="27"/>
  <c r="F47" i="3"/>
  <c r="F46" i="3"/>
  <c r="F45" i="3"/>
  <c r="F44" i="3"/>
  <c r="F20" i="21" l="1"/>
  <c r="E18" i="28"/>
  <c r="G18" i="28" s="1"/>
  <c r="C14" i="27"/>
  <c r="E22" i="21"/>
  <c r="D39" i="27"/>
  <c r="E39" i="27" s="1"/>
  <c r="G3" i="27"/>
  <c r="F5" i="27"/>
  <c r="H19" i="21" s="1"/>
  <c r="D40" i="27"/>
  <c r="F29" i="21" s="1"/>
  <c r="D9" i="27"/>
  <c r="E7" i="27"/>
  <c r="C42" i="3"/>
  <c r="C41" i="3"/>
  <c r="C40" i="3"/>
  <c r="C39" i="3"/>
  <c r="K44" i="3"/>
  <c r="K50" i="3"/>
  <c r="K52" i="3"/>
  <c r="K56" i="3"/>
  <c r="K40" i="3"/>
  <c r="K54" i="3"/>
  <c r="K51" i="3"/>
  <c r="K41" i="3"/>
  <c r="K49" i="3"/>
  <c r="K57" i="3"/>
  <c r="K42" i="3"/>
  <c r="K47" i="3"/>
  <c r="K55" i="3"/>
  <c r="K39" i="3"/>
  <c r="K46" i="3"/>
  <c r="K45" i="3"/>
  <c r="G20" i="21" l="1"/>
  <c r="E19" i="28"/>
  <c r="G19" i="28" s="1"/>
  <c r="D14" i="27"/>
  <c r="F22" i="21"/>
  <c r="C46" i="3"/>
  <c r="C47" i="3"/>
  <c r="C45" i="3"/>
  <c r="C44" i="3"/>
  <c r="E40" i="27"/>
  <c r="G29" i="21" s="1"/>
  <c r="E9" i="27"/>
  <c r="F7" i="27"/>
  <c r="G5" i="27"/>
  <c r="I19" i="21" s="1"/>
  <c r="F39" i="27"/>
  <c r="H3" i="27"/>
  <c r="G8" i="27" s="1"/>
  <c r="F21" i="28" s="1"/>
  <c r="E14" i="27" l="1"/>
  <c r="G22" i="21"/>
  <c r="H20" i="21"/>
  <c r="E20" i="28"/>
  <c r="G20" i="28" s="1"/>
  <c r="H5" i="27"/>
  <c r="J19" i="21" s="1"/>
  <c r="I3" i="27"/>
  <c r="H8" i="27" s="1"/>
  <c r="F22" i="28" s="1"/>
  <c r="G39" i="27"/>
  <c r="G7" i="27"/>
  <c r="F40" i="27"/>
  <c r="H29" i="21" s="1"/>
  <c r="F9" i="27"/>
  <c r="F14" i="27" l="1"/>
  <c r="H22" i="21"/>
  <c r="E21" i="28"/>
  <c r="G21" i="28" s="1"/>
  <c r="I20" i="21"/>
  <c r="J3" i="27"/>
  <c r="I8" i="27" s="1"/>
  <c r="F23" i="28" s="1"/>
  <c r="H39" i="27"/>
  <c r="I5" i="27"/>
  <c r="K19" i="21" s="1"/>
  <c r="G40" i="27"/>
  <c r="I29" i="21" s="1"/>
  <c r="G9" i="27"/>
  <c r="H7" i="27"/>
  <c r="J20" i="21" l="1"/>
  <c r="E22" i="28"/>
  <c r="G22" i="28" s="1"/>
  <c r="G14" i="27"/>
  <c r="I22" i="21"/>
  <c r="I7" i="27"/>
  <c r="I39" i="27"/>
  <c r="J5" i="27"/>
  <c r="L19" i="21" s="1"/>
  <c r="K3" i="27"/>
  <c r="J8" i="27" s="1"/>
  <c r="F24" i="28" s="1"/>
  <c r="H40" i="27"/>
  <c r="J29" i="21" s="1"/>
  <c r="H9" i="27"/>
  <c r="J22" i="21" s="1"/>
  <c r="K20" i="21" l="1"/>
  <c r="E23" i="28"/>
  <c r="G23" i="28" s="1"/>
  <c r="I40" i="27"/>
  <c r="K29" i="21" s="1"/>
  <c r="I9" i="27"/>
  <c r="K22" i="21" s="1"/>
  <c r="J7" i="27"/>
  <c r="J39" i="27"/>
  <c r="K5" i="27"/>
  <c r="M19" i="21" s="1"/>
  <c r="L3" i="27"/>
  <c r="K8" i="27" s="1"/>
  <c r="F25" i="28" s="1"/>
  <c r="L20" i="21" l="1"/>
  <c r="E24" i="28"/>
  <c r="G24" i="28" s="1"/>
  <c r="J40" i="27"/>
  <c r="L29" i="21" s="1"/>
  <c r="J9" i="27"/>
  <c r="L22" i="21" s="1"/>
  <c r="M3" i="27"/>
  <c r="L8" i="27" s="1"/>
  <c r="F26" i="28" s="1"/>
  <c r="L5" i="27"/>
  <c r="N19" i="21" s="1"/>
  <c r="K39" i="27"/>
  <c r="K7" i="27"/>
  <c r="E25" i="28" l="1"/>
  <c r="G25" i="28" s="1"/>
  <c r="M20" i="21"/>
  <c r="L7" i="27"/>
  <c r="L39" i="27"/>
  <c r="M5" i="27"/>
  <c r="O19" i="21" s="1"/>
  <c r="K40" i="27"/>
  <c r="M29" i="21" s="1"/>
  <c r="K9" i="27"/>
  <c r="M22" i="21" s="1"/>
  <c r="D13" i="28" l="1"/>
  <c r="N20" i="21"/>
  <c r="E26" i="28"/>
  <c r="G26" i="28" s="1"/>
  <c r="M7" i="27"/>
  <c r="N5" i="27"/>
  <c r="L9" i="27"/>
  <c r="N22" i="21" s="1"/>
  <c r="L40" i="27"/>
  <c r="N29" i="21" s="1"/>
  <c r="O20" i="21" l="1"/>
  <c r="E27" i="28"/>
  <c r="B17" i="27"/>
  <c r="P8" i="21"/>
  <c r="F14" i="28"/>
  <c r="H12" i="27"/>
  <c r="H13" i="27" s="1"/>
  <c r="I12" i="27" l="1"/>
  <c r="I13" i="27" s="1"/>
  <c r="J26" i="21"/>
  <c r="H14" i="27"/>
  <c r="J25" i="21"/>
  <c r="K25" i="21" l="1"/>
  <c r="J12" i="27"/>
  <c r="J13" i="27" s="1"/>
  <c r="I14" i="27"/>
  <c r="K26" i="21"/>
  <c r="L25" i="21" l="1"/>
  <c r="K12" i="27"/>
  <c r="J14" i="27"/>
  <c r="L26" i="21"/>
  <c r="L12" i="27" l="1"/>
  <c r="M25" i="21"/>
  <c r="K13" i="27"/>
  <c r="K14" i="27" s="1"/>
  <c r="M26" i="21" l="1"/>
  <c r="L13" i="27"/>
  <c r="L14" i="27" s="1"/>
  <c r="B20" i="27" s="1"/>
  <c r="M40" i="27"/>
  <c r="N25" i="21"/>
  <c r="N26" i="21" l="1"/>
  <c r="F13" i="28"/>
  <c r="F12" i="28"/>
  <c r="P9" i="21"/>
  <c r="P10" i="21" s="1"/>
  <c r="M8" i="27"/>
  <c r="O29" i="21"/>
  <c r="D31" i="28"/>
  <c r="B16" i="21"/>
  <c r="F27" i="28" l="1"/>
  <c r="G27" i="28" s="1"/>
  <c r="O21" i="21"/>
  <c r="N8" i="27"/>
  <c r="M9" i="27"/>
  <c r="B16" i="27" l="1"/>
  <c r="B18" i="27" s="1"/>
  <c r="O22" i="21"/>
  <c r="D29" i="28" l="1"/>
  <c r="B19" i="27"/>
  <c r="N23" i="21"/>
  <c r="B21" i="27" l="1"/>
  <c r="B15" i="21"/>
  <c r="D30" i="28"/>
  <c r="B23" i="27" l="1"/>
  <c r="B24" i="27" s="1"/>
  <c r="D32" i="28"/>
  <c r="D33" i="28" l="1"/>
  <c r="C18" i="3" s="1"/>
  <c r="B29" i="27"/>
  <c r="B18" i="21"/>
  <c r="D36" i="28" l="1"/>
  <c r="D39" i="28" s="1"/>
  <c r="B23" i="21"/>
  <c r="B31" i="27"/>
  <c r="C52" i="3"/>
  <c r="C57" i="3" s="1"/>
  <c r="D51" i="3"/>
  <c r="D56" i="3" s="1"/>
  <c r="G49" i="3"/>
  <c r="G54" i="3" s="1"/>
  <c r="C51" i="3"/>
  <c r="C56" i="3" s="1"/>
  <c r="G51" i="3"/>
  <c r="G56" i="3" s="1"/>
  <c r="F50" i="3"/>
  <c r="F55" i="3" s="1"/>
  <c r="I52" i="3"/>
  <c r="I57" i="3" s="1"/>
  <c r="J51" i="3"/>
  <c r="J56" i="3" s="1"/>
  <c r="H50" i="3"/>
  <c r="H55" i="3" s="1"/>
  <c r="I50" i="3"/>
  <c r="I55" i="3" s="1"/>
  <c r="G52" i="3"/>
  <c r="G57" i="3" s="1"/>
  <c r="H52" i="3"/>
  <c r="H57" i="3" s="1"/>
  <c r="F52" i="3"/>
  <c r="F57" i="3" s="1"/>
  <c r="E51" i="3"/>
  <c r="E56" i="3" s="1"/>
  <c r="C50" i="3"/>
  <c r="C55" i="3" s="1"/>
  <c r="E52" i="3"/>
  <c r="E57" i="3" s="1"/>
  <c r="H51" i="3"/>
  <c r="H56" i="3" s="1"/>
  <c r="D52" i="3"/>
  <c r="D57" i="3" s="1"/>
  <c r="E50" i="3"/>
  <c r="E55" i="3" s="1"/>
  <c r="J52" i="3"/>
  <c r="J57" i="3" s="1"/>
  <c r="J50" i="3"/>
  <c r="J55" i="3" s="1"/>
  <c r="D50" i="3"/>
  <c r="D55" i="3" s="1"/>
  <c r="F51" i="3"/>
  <c r="F56" i="3" s="1"/>
  <c r="I51" i="3"/>
  <c r="I56" i="3" s="1"/>
  <c r="I49" i="3"/>
  <c r="I54" i="3" s="1"/>
  <c r="F49" i="3"/>
  <c r="F54" i="3" s="1"/>
  <c r="J49" i="3"/>
  <c r="J54" i="3" s="1"/>
  <c r="G50" i="3"/>
  <c r="G55" i="3" s="1"/>
  <c r="H49" i="3"/>
  <c r="H54" i="3" s="1"/>
  <c r="E49" i="3"/>
  <c r="E54" i="3" s="1"/>
  <c r="D49" i="3"/>
  <c r="D54" i="3" s="1"/>
  <c r="C49" i="3"/>
  <c r="C54" i="3" s="1"/>
  <c r="B25" i="21" l="1"/>
  <c r="B33" i="27"/>
  <c r="B27" i="21" l="1"/>
  <c r="B30" i="21" s="1"/>
  <c r="B35"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tc={1C20797D-4877-7147-B4AD-DD4555190DA8}</author>
  </authors>
  <commentList>
    <comment ref="B1" authorId="0" shapeId="0" xr:uid="{1C20797D-4877-7147-B4AD-DD4555190DA8}">
      <text>
        <t>[Threaded comment]
Your version of Excel allows you to read this threaded comment; however, any edits to it will get removed if the file is opened in a newer version of Excel. Learn more: https://go.microsoft.com/fwlink/?linkid=870924
Comment:
    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
      </text>
    </comment>
  </commentList>
</comments>
</file>

<file path=xl/sharedStrings.xml><?xml version="1.0" encoding="utf-8"?>
<sst xmlns="http://schemas.openxmlformats.org/spreadsheetml/2006/main" count="1266" uniqueCount="735">
  <si>
    <t>Valuation date</t>
  </si>
  <si>
    <t>Sales</t>
  </si>
  <si>
    <t>EBITDA</t>
  </si>
  <si>
    <t>Trading multiples analysis</t>
  </si>
  <si>
    <t>Company Name</t>
  </si>
  <si>
    <t>Lower quartile</t>
  </si>
  <si>
    <t>Median</t>
  </si>
  <si>
    <t>Mean</t>
  </si>
  <si>
    <t>Upper quartile</t>
  </si>
  <si>
    <t>Estimated target enterprise value</t>
  </si>
  <si>
    <t>Estimated target equity value</t>
  </si>
  <si>
    <t>EVToEBITDA 2024-02-15</t>
  </si>
  <si>
    <t>Price/Sales
 2023-08-18</t>
  </si>
  <si>
    <t>Int. Business Machine Corp(IBM)</t>
  </si>
  <si>
    <t>EVtoSales
 2024-02-15</t>
  </si>
  <si>
    <t>Target company Indicators - Inputs (USD $ M)</t>
  </si>
  <si>
    <t>Net Income</t>
  </si>
  <si>
    <t>Operating Income</t>
  </si>
  <si>
    <t>Estimated target equity value per share</t>
  </si>
  <si>
    <t>Target company financials - Inputs (USD $ M)</t>
  </si>
  <si>
    <t>Total Revenue</t>
  </si>
  <si>
    <t>Cost of Goods Sold Incl. D&amp;A</t>
  </si>
  <si>
    <t>Gross Profit</t>
  </si>
  <si>
    <t>Income Taxes</t>
  </si>
  <si>
    <t>EPS (Basic, Before Extraordinaries)</t>
  </si>
  <si>
    <t>EPS (Diluted)</t>
  </si>
  <si>
    <t>Other cost, expenses and other</t>
  </si>
  <si>
    <t xml:space="preserve">       Selling, General and Administrative Excl. Other</t>
  </si>
  <si>
    <t xml:space="preserve">       Research and Development</t>
  </si>
  <si>
    <t xml:space="preserve">        Interest Expense</t>
  </si>
  <si>
    <t xml:space="preserve">       Unusual Expense</t>
  </si>
  <si>
    <t>Total other costs, expenses and other</t>
  </si>
  <si>
    <t>Income Before Taxes</t>
  </si>
  <si>
    <t>Operating Margin</t>
  </si>
  <si>
    <t>Total Current Assets</t>
  </si>
  <si>
    <t>Total Assets</t>
  </si>
  <si>
    <t>Total Current Liabilities</t>
  </si>
  <si>
    <t>Total Liabilities</t>
  </si>
  <si>
    <t>Accumulated Minority Interest</t>
  </si>
  <si>
    <t>Capital Expenditures</t>
  </si>
  <si>
    <t>Exchange Rate Effect</t>
  </si>
  <si>
    <t>Concentrix (CNXC)</t>
  </si>
  <si>
    <t>Accenture plc (ACN)</t>
  </si>
  <si>
    <t>Fiserv Inc (FI)</t>
  </si>
  <si>
    <t>Cognizant Technology Solutions Corp. (CTSH)</t>
  </si>
  <si>
    <t>Infosys Ltd (INFY)</t>
  </si>
  <si>
    <t>Caci International Inc (CACI)</t>
  </si>
  <si>
    <t>Globant S.A (GLOB)</t>
  </si>
  <si>
    <t>Parsons Corp (PSN)</t>
  </si>
  <si>
    <t>Leidos Holdings (LDOS)</t>
  </si>
  <si>
    <t>Divide by Outstanding Shares (Millions)</t>
  </si>
  <si>
    <r>
      <t xml:space="preserve">CONCENTRIX STATEMENT OF INCOME, YEARS ENDED NOVEMBER 30
</t>
    </r>
    <r>
      <rPr>
        <b/>
        <sz val="11"/>
        <color theme="1"/>
        <rFont val="Calibri"/>
        <family val="2"/>
      </rPr>
      <t>($ IN MILLIONS EXCEPT PER SHARE AMOUNTS)</t>
    </r>
  </si>
  <si>
    <r>
      <t xml:space="preserve">CONCENTRIX CONSOLIDATED BALANCE SHEET, YEARS ENDED NOVEMBER 30
</t>
    </r>
    <r>
      <rPr>
        <b/>
        <sz val="11"/>
        <color theme="1"/>
        <rFont val="Calibri"/>
        <family val="2"/>
      </rPr>
      <t>($ IN MILLIONS EXCEPT PER SHARE AMOUNTS)</t>
    </r>
  </si>
  <si>
    <r>
      <t xml:space="preserve">CONCENTRIX CONSOLIDATED STATEMENT OF CASHFLOWS, YEARS ENDED NOVEMBER 30
</t>
    </r>
    <r>
      <rPr>
        <b/>
        <sz val="11"/>
        <color theme="1"/>
        <rFont val="Calibri"/>
        <family val="2"/>
      </rPr>
      <t>($ IN MILLIONS EXCEPT PER SHARE AMOUNTS)</t>
    </r>
  </si>
  <si>
    <t>Operational assets</t>
  </si>
  <si>
    <t>Fixed assets</t>
  </si>
  <si>
    <t>Net working capital</t>
  </si>
  <si>
    <t>Intangible assets</t>
  </si>
  <si>
    <t>Total operational assets</t>
  </si>
  <si>
    <t>Excess assets</t>
  </si>
  <si>
    <t>Total assets</t>
  </si>
  <si>
    <t>Net financial debt</t>
  </si>
  <si>
    <t>Interest bearing liabilities</t>
  </si>
  <si>
    <t>Less cash and equivalents</t>
  </si>
  <si>
    <t>Equity</t>
  </si>
  <si>
    <t>Check:</t>
  </si>
  <si>
    <r>
      <t xml:space="preserve">CONCENTRIX OPERATIONAL BALANCE SHEET, YEARS ENDED NOVEMBER 30
</t>
    </r>
    <r>
      <rPr>
        <b/>
        <sz val="11"/>
        <color theme="1"/>
        <rFont val="Calibri"/>
        <family val="2"/>
      </rPr>
      <t>($ IN MILLIONS EXCEPT PER SHARE AMOUNTS)</t>
    </r>
  </si>
  <si>
    <t xml:space="preserve"> P/E
 2024-02-15</t>
  </si>
  <si>
    <t>EVToEBIT 2024-02-15</t>
  </si>
  <si>
    <t xml:space="preserve"> EVToFCF 2024-02-15 </t>
  </si>
  <si>
    <t xml:space="preserve"> P/FCF
 2024-02-15</t>
  </si>
  <si>
    <t>Revenue multiple</t>
  </si>
  <si>
    <t>EBIT/ EBITDA Multiple</t>
  </si>
  <si>
    <t>Price Multiples</t>
  </si>
  <si>
    <t>EV Multiples</t>
  </si>
  <si>
    <t>Revenue/ Earnings  multiples</t>
  </si>
  <si>
    <t>EVtoEarnings
 2024-02-15</t>
  </si>
  <si>
    <t>EBIT</t>
  </si>
  <si>
    <t>FCF</t>
  </si>
  <si>
    <t>Year</t>
  </si>
  <si>
    <t>Revenue</t>
  </si>
  <si>
    <t>-</t>
  </si>
  <si>
    <t>Assets</t>
  </si>
  <si>
    <t>Current assets</t>
  </si>
  <si>
    <t>Less accumulated depreciation</t>
  </si>
  <si>
    <t>Net PP&amp;E</t>
  </si>
  <si>
    <t>Liabilities and equity</t>
  </si>
  <si>
    <t>Current liabilities</t>
  </si>
  <si>
    <t>Total equity</t>
  </si>
  <si>
    <t>Total liabilities and equity</t>
  </si>
  <si>
    <t>Check (assets = liabilities + equity)?</t>
  </si>
  <si>
    <t>Property, Plant &amp; Equipment</t>
  </si>
  <si>
    <t>Goodwill and Intangibles</t>
  </si>
  <si>
    <t>Other Long-Term Assets</t>
  </si>
  <si>
    <t>Total Long-Term Assets</t>
  </si>
  <si>
    <t>Long-Term Debt</t>
  </si>
  <si>
    <t>Other Long-Term Liabilities</t>
  </si>
  <si>
    <t>Total Long-Term Liabilities</t>
  </si>
  <si>
    <t>Common Stock</t>
  </si>
  <si>
    <t>Retained Earnings</t>
  </si>
  <si>
    <t>Comprehensive Income</t>
  </si>
  <si>
    <t>Shareholders' Equity</t>
  </si>
  <si>
    <t xml:space="preserve">      Cash &amp; Equivalents</t>
  </si>
  <si>
    <t xml:space="preserve">     Short-Term Investments</t>
  </si>
  <si>
    <t xml:space="preserve">     Receivables</t>
  </si>
  <si>
    <t xml:space="preserve">     Other Current Assets</t>
  </si>
  <si>
    <t xml:space="preserve">    Accounts Payable</t>
  </si>
  <si>
    <t xml:space="preserve">    Current Debt</t>
  </si>
  <si>
    <t xml:space="preserve">   Other Current Liabilities</t>
  </si>
  <si>
    <t>Concentrix stockholders’ equity</t>
  </si>
  <si>
    <t>Revenue ($M)</t>
  </si>
  <si>
    <t>Year-on-year growth</t>
  </si>
  <si>
    <t>ANALYSIS OF CONCENTRIX REVENUES</t>
  </si>
  <si>
    <t>Multiples Source:</t>
  </si>
  <si>
    <t>https://stockanalysis.com/stocks/cnxc/financials/</t>
  </si>
  <si>
    <t>Cash flows from operating activities</t>
  </si>
  <si>
    <t>Adjustments to reconcile net income to net cash provided by operating activities:</t>
  </si>
  <si>
    <t>Depreciation &amp; Amortization</t>
  </si>
  <si>
    <t>Share-Based Compensation</t>
  </si>
  <si>
    <t>Other Operating Activities</t>
  </si>
  <si>
    <t>Acquisitions</t>
  </si>
  <si>
    <t>Change in Investments</t>
  </si>
  <si>
    <t>Dividends Paid</t>
  </si>
  <si>
    <t>Share Issuance / Repurchase</t>
  </si>
  <si>
    <t>Debt Issued / Paid</t>
  </si>
  <si>
    <t>Other Financing Activities</t>
  </si>
  <si>
    <t>Financing Cash Flow</t>
  </si>
  <si>
    <t>Net Cash Flow</t>
  </si>
  <si>
    <t>Net Investing Cash Flow</t>
  </si>
  <si>
    <t>Net Operating Cash Flow</t>
  </si>
  <si>
    <t>Cash flows from investing activities:</t>
  </si>
  <si>
    <t>Cash flows from financing activities:</t>
  </si>
  <si>
    <t>Effective tax rate</t>
  </si>
  <si>
    <t>Average tax rate</t>
  </si>
  <si>
    <t>Simple average</t>
  </si>
  <si>
    <t>Weighted average</t>
  </si>
  <si>
    <t>Tax rate</t>
  </si>
  <si>
    <t>Weighted average cost of capital (WACC)</t>
  </si>
  <si>
    <t>Value per share</t>
  </si>
  <si>
    <t>Competitive Advantages</t>
  </si>
  <si>
    <t>Risk Story</t>
  </si>
  <si>
    <t>% Under or Over Valued</t>
  </si>
  <si>
    <t>ROIC</t>
  </si>
  <si>
    <t>Price per share</t>
  </si>
  <si>
    <t>Sales to Capital</t>
  </si>
  <si>
    <t>Cumulated WACC</t>
  </si>
  <si>
    <t>Cost of Capital</t>
  </si>
  <si>
    <t>FCFF</t>
  </si>
  <si>
    <t>Reinvestment</t>
  </si>
  <si>
    <t>EBIT (1-t)</t>
  </si>
  <si>
    <t>Revenue Growth</t>
  </si>
  <si>
    <t>Reinvestment Rate</t>
  </si>
  <si>
    <t>Return on capital</t>
  </si>
  <si>
    <t>Cost of capital</t>
  </si>
  <si>
    <t>Growth Rate</t>
  </si>
  <si>
    <t>Terminal Value</t>
  </si>
  <si>
    <t>Industry</t>
  </si>
  <si>
    <t>Company</t>
  </si>
  <si>
    <t>Growth Efficiency Story</t>
  </si>
  <si>
    <t>Profitability Story</t>
  </si>
  <si>
    <t>Growth Story</t>
  </si>
  <si>
    <t>Base Year and Comparison</t>
  </si>
  <si>
    <t>You can modify this picture and bring in relevant details to back up your cost of capital and other details that you think flesh out your company's valuation story.</t>
  </si>
  <si>
    <t>WACC market data from</t>
  </si>
  <si>
    <t>WACC - Inputs</t>
  </si>
  <si>
    <t>Selection</t>
  </si>
  <si>
    <t>Brief instructions</t>
  </si>
  <si>
    <t>Combined list of countries</t>
  </si>
  <si>
    <t>Industry Names</t>
  </si>
  <si>
    <t>Target country</t>
  </si>
  <si>
    <t>United States of America</t>
  </si>
  <si>
    <t xml:space="preserve">Select the appropriate target country for your analysis. </t>
  </si>
  <si>
    <t>Albania</t>
  </si>
  <si>
    <t>Advertising</t>
  </si>
  <si>
    <t>Credit spread industry</t>
  </si>
  <si>
    <t>Beverage (Soft)</t>
  </si>
  <si>
    <t>Select the appropriate credit spread industry based on the industries available</t>
  </si>
  <si>
    <t>Algeria</t>
  </si>
  <si>
    <t>Aerospace/Defense</t>
  </si>
  <si>
    <t>Risk-free rate (Rf)</t>
  </si>
  <si>
    <t>Angola</t>
  </si>
  <si>
    <t>Air Transport</t>
  </si>
  <si>
    <t>Inflation differential (i)</t>
  </si>
  <si>
    <t>Argentina</t>
  </si>
  <si>
    <t>Apparel</t>
  </si>
  <si>
    <t>Armenia</t>
  </si>
  <si>
    <t>Auto &amp; Truck</t>
  </si>
  <si>
    <t>Aruba</t>
  </si>
  <si>
    <t>Auto Parts</t>
  </si>
  <si>
    <t>Market-based weighted average cost of capital estimate</t>
  </si>
  <si>
    <t>Australia</t>
  </si>
  <si>
    <t>Bank (Money Center)</t>
  </si>
  <si>
    <t>Input</t>
  </si>
  <si>
    <t>Calculation</t>
  </si>
  <si>
    <t>Source</t>
  </si>
  <si>
    <t>Austria</t>
  </si>
  <si>
    <t>Banks (Regional)</t>
  </si>
  <si>
    <t>Unlevered beta (bu)</t>
  </si>
  <si>
    <t>Azerbaijan</t>
  </si>
  <si>
    <t>Beverage (Alcoholic)</t>
  </si>
  <si>
    <t>Bahamas</t>
  </si>
  <si>
    <t>Bahrain</t>
  </si>
  <si>
    <t>Broadcasting</t>
  </si>
  <si>
    <t>Tax rate (t)</t>
  </si>
  <si>
    <t>Trading economics - Tax rate of United States of America</t>
  </si>
  <si>
    <t>Bangladesh</t>
  </si>
  <si>
    <t>Brokerage &amp; Investment Banking</t>
  </si>
  <si>
    <t>Levered beta (bl)</t>
  </si>
  <si>
    <t>Barbados</t>
  </si>
  <si>
    <t>Building Materials</t>
  </si>
  <si>
    <t>Belarus</t>
  </si>
  <si>
    <t>Business &amp; Consumer Services</t>
  </si>
  <si>
    <t>If risk-free rate currency is different than target country's currency, consider adding</t>
  </si>
  <si>
    <t>Belgium</t>
  </si>
  <si>
    <t>Cable TV</t>
  </si>
  <si>
    <t>Equity risk premium (ERP)</t>
  </si>
  <si>
    <t>Damodaran - Equity risk premium in AAA-rated country</t>
  </si>
  <si>
    <t>Bermuda</t>
  </si>
  <si>
    <t>Chemical (Basic)</t>
  </si>
  <si>
    <t>Country risk premium (CRP)</t>
  </si>
  <si>
    <t>Damodaran - Country risk premium of United States of America</t>
  </si>
  <si>
    <t>Bolivia</t>
  </si>
  <si>
    <t>Chemical (Diversified)</t>
  </si>
  <si>
    <t>Bosnia and Herzegovina</t>
  </si>
  <si>
    <t>Chemical (Specialty)</t>
  </si>
  <si>
    <t>Cost of equity (Re)</t>
  </si>
  <si>
    <t>Botswana</t>
  </si>
  <si>
    <t>Coal &amp; Related Energy</t>
  </si>
  <si>
    <t>Brazil</t>
  </si>
  <si>
    <t>Computer Services</t>
  </si>
  <si>
    <t>Brunei Darussalam</t>
  </si>
  <si>
    <t>Computers/Peripherals</t>
  </si>
  <si>
    <t>Bulgaria</t>
  </si>
  <si>
    <t>Construction Supplies</t>
  </si>
  <si>
    <t>Credit spread (Cs)</t>
  </si>
  <si>
    <t>Cambodia</t>
  </si>
  <si>
    <t>Diversified</t>
  </si>
  <si>
    <t>Cameroon</t>
  </si>
  <si>
    <t>Drugs (Biotechnology)</t>
  </si>
  <si>
    <t>Canada</t>
  </si>
  <si>
    <t>Drugs (Pharmaceutical)</t>
  </si>
  <si>
    <t>Cayman Islands</t>
  </si>
  <si>
    <t>Education</t>
  </si>
  <si>
    <t>Cost of debt (Rd)</t>
  </si>
  <si>
    <t>Chile</t>
  </si>
  <si>
    <t>Electrical Equipment</t>
  </si>
  <si>
    <t>China</t>
  </si>
  <si>
    <t>Electronics (Consumer &amp; Office)</t>
  </si>
  <si>
    <t>Colombia</t>
  </si>
  <si>
    <t>Electronics (General)</t>
  </si>
  <si>
    <t>Congo, Democratic Republic of the</t>
  </si>
  <si>
    <t>Engineering/Construction</t>
  </si>
  <si>
    <t>WACC = Re * (1 - D / EV) + Rd * (D / EV)</t>
  </si>
  <si>
    <t>Congo</t>
  </si>
  <si>
    <t>Entertainment</t>
  </si>
  <si>
    <t>Costa Rica</t>
  </si>
  <si>
    <t>Environmental &amp; Waste Services</t>
  </si>
  <si>
    <t>Croatia</t>
  </si>
  <si>
    <t>Farming/Agriculture</t>
  </si>
  <si>
    <t>Cyprus</t>
  </si>
  <si>
    <t>Financial Svcs. (Non-bank &amp; Insurance)</t>
  </si>
  <si>
    <t>Czech Repulic</t>
  </si>
  <si>
    <t>Food Processing</t>
  </si>
  <si>
    <t>Denmark</t>
  </si>
  <si>
    <t>Food Wholesalers</t>
  </si>
  <si>
    <t>Dominican Republic</t>
  </si>
  <si>
    <t>Furn/Home Furnishings</t>
  </si>
  <si>
    <t>Ecuador</t>
  </si>
  <si>
    <t>Green &amp; Renewable Energy</t>
  </si>
  <si>
    <t>Egypt</t>
  </si>
  <si>
    <t>Healthcare Products</t>
  </si>
  <si>
    <t>El Salvador</t>
  </si>
  <si>
    <t>Healthcare Support Services</t>
  </si>
  <si>
    <t>Estonia</t>
  </si>
  <si>
    <t>Heathcare Information and Technology</t>
  </si>
  <si>
    <t>Ethiopia</t>
  </si>
  <si>
    <t>Homebuilding</t>
  </si>
  <si>
    <t>Fiji</t>
  </si>
  <si>
    <t>Hospitals/Healthcare Facilities</t>
  </si>
  <si>
    <t>Finland</t>
  </si>
  <si>
    <t>Hotel/Gaming</t>
  </si>
  <si>
    <t>France</t>
  </si>
  <si>
    <t>Household Products</t>
  </si>
  <si>
    <t>Gabon</t>
  </si>
  <si>
    <t>Information Services</t>
  </si>
  <si>
    <t>Gambia</t>
  </si>
  <si>
    <t>Insurance (General)</t>
  </si>
  <si>
    <t>Georgia</t>
  </si>
  <si>
    <t>Insurance (Life)</t>
  </si>
  <si>
    <t>Germany</t>
  </si>
  <si>
    <t>Insurance (Prop/Cas.)</t>
  </si>
  <si>
    <t>Ghana</t>
  </si>
  <si>
    <t>Investments &amp; Asset Management</t>
  </si>
  <si>
    <t>Greece</t>
  </si>
  <si>
    <t>Machinery</t>
  </si>
  <si>
    <t>Guatemala</t>
  </si>
  <si>
    <t>Metals &amp; Mining</t>
  </si>
  <si>
    <t>Guinea</t>
  </si>
  <si>
    <t>Office Equipment &amp; Services</t>
  </si>
  <si>
    <t>Honduras</t>
  </si>
  <si>
    <t>Oil/Gas (Integrated)</t>
  </si>
  <si>
    <t>Hong Kong</t>
  </si>
  <si>
    <t>Oil/Gas (Production and Exploration)</t>
  </si>
  <si>
    <t>Hungary</t>
  </si>
  <si>
    <t>Oil/Gas Distribution</t>
  </si>
  <si>
    <t>Iceland</t>
  </si>
  <si>
    <t>Oilfield Svcs/Equip.</t>
  </si>
  <si>
    <t>India</t>
  </si>
  <si>
    <t>Packaging &amp; Container</t>
  </si>
  <si>
    <t>Indonesia</t>
  </si>
  <si>
    <t>Paper/Forest Products</t>
  </si>
  <si>
    <t>Iraq</t>
  </si>
  <si>
    <t>Power</t>
  </si>
  <si>
    <t>Ireland</t>
  </si>
  <si>
    <t>Precious Metals</t>
  </si>
  <si>
    <t>Isle of Man</t>
  </si>
  <si>
    <t>Publishing &amp; Newspapers</t>
  </si>
  <si>
    <t>Israel</t>
  </si>
  <si>
    <t>R.E.I.T.</t>
  </si>
  <si>
    <t>Italy</t>
  </si>
  <si>
    <t>Real Estate (Development)</t>
  </si>
  <si>
    <t>Jamaica</t>
  </si>
  <si>
    <t>Real Estate (General/Diversified)</t>
  </si>
  <si>
    <t>Japan</t>
  </si>
  <si>
    <t>Real Estate (Operations &amp; Services)</t>
  </si>
  <si>
    <t>Jordan</t>
  </si>
  <si>
    <t>Recreation</t>
  </si>
  <si>
    <t>Kazakhstan</t>
  </si>
  <si>
    <t>Reinsurance</t>
  </si>
  <si>
    <t>Kenya</t>
  </si>
  <si>
    <t>Restaurant/Dining</t>
  </si>
  <si>
    <t>Kuwait</t>
  </si>
  <si>
    <t>Retail (Automotive)</t>
  </si>
  <si>
    <t>Laos</t>
  </si>
  <si>
    <t>Retail (Building Supply)</t>
  </si>
  <si>
    <t>Latvia</t>
  </si>
  <si>
    <t>Retail (Distributors)</t>
  </si>
  <si>
    <t>Lebanon</t>
  </si>
  <si>
    <t>Retail (General)</t>
  </si>
  <si>
    <t>Libya</t>
  </si>
  <si>
    <t>Retail (Grocery and Food)</t>
  </si>
  <si>
    <t>Liechtenstein</t>
  </si>
  <si>
    <t>Retail (Online)</t>
  </si>
  <si>
    <t>Lithuania</t>
  </si>
  <si>
    <t>Retail (Special Lines)</t>
  </si>
  <si>
    <t>Luxembourg</t>
  </si>
  <si>
    <t>Rubber&amp; Tires</t>
  </si>
  <si>
    <t>Macao</t>
  </si>
  <si>
    <t>Semiconductor</t>
  </si>
  <si>
    <t>North Macedonia</t>
  </si>
  <si>
    <t>Semiconductor Equip</t>
  </si>
  <si>
    <t>Madagascar</t>
  </si>
  <si>
    <t>Shipbuilding &amp; Marine</t>
  </si>
  <si>
    <t>Malawi</t>
  </si>
  <si>
    <t>Shoe</t>
  </si>
  <si>
    <t>Malaysia</t>
  </si>
  <si>
    <t>Software (Entertainment)</t>
  </si>
  <si>
    <t>Maldives</t>
  </si>
  <si>
    <t>Software (Internet)</t>
  </si>
  <si>
    <t>Malta</t>
  </si>
  <si>
    <t>Software (System &amp; Application)</t>
  </si>
  <si>
    <t>Mauritius</t>
  </si>
  <si>
    <t>Steel</t>
  </si>
  <si>
    <t>Mexico</t>
  </si>
  <si>
    <t>Telecom (Wireless)</t>
  </si>
  <si>
    <t>Moldova</t>
  </si>
  <si>
    <t>Telecom. Equipment</t>
  </si>
  <si>
    <t>Mongolia</t>
  </si>
  <si>
    <t>Telecom. Services</t>
  </si>
  <si>
    <t>Montenegro</t>
  </si>
  <si>
    <t>Tobacco</t>
  </si>
  <si>
    <t>Morocco</t>
  </si>
  <si>
    <t>Transportation</t>
  </si>
  <si>
    <t>Mozambique</t>
  </si>
  <si>
    <t>Transportation (Railroads)</t>
  </si>
  <si>
    <t>Myanmar</t>
  </si>
  <si>
    <t>Trucking</t>
  </si>
  <si>
    <t>Namibia</t>
  </si>
  <si>
    <t>Utility (General)</t>
  </si>
  <si>
    <t>Netherlands</t>
  </si>
  <si>
    <t>Utility (Water)</t>
  </si>
  <si>
    <t>New Zealand</t>
  </si>
  <si>
    <t>Total Market</t>
  </si>
  <si>
    <t>Nicaragua</t>
  </si>
  <si>
    <t>Total Market (without financials)</t>
  </si>
  <si>
    <t>Nigeria</t>
  </si>
  <si>
    <t>Norway</t>
  </si>
  <si>
    <t>Oman</t>
  </si>
  <si>
    <t>Pakistan</t>
  </si>
  <si>
    <t>Panama</t>
  </si>
  <si>
    <t>Papua New Guinea</t>
  </si>
  <si>
    <t>Paraguay</t>
  </si>
  <si>
    <t>Peru</t>
  </si>
  <si>
    <t>Philippines</t>
  </si>
  <si>
    <t>Poland</t>
  </si>
  <si>
    <t>Portugal</t>
  </si>
  <si>
    <t>Qatar</t>
  </si>
  <si>
    <t>Romania</t>
  </si>
  <si>
    <t>Russian Federation</t>
  </si>
  <si>
    <t>Rwanda</t>
  </si>
  <si>
    <t>Saudi Arabia</t>
  </si>
  <si>
    <t>Senegal</t>
  </si>
  <si>
    <t>Serbia</t>
  </si>
  <si>
    <t>Sierra Leone</t>
  </si>
  <si>
    <t>Singapore</t>
  </si>
  <si>
    <t>Slovakia</t>
  </si>
  <si>
    <t>Slovenia</t>
  </si>
  <si>
    <t>Solomon Islands</t>
  </si>
  <si>
    <t>South Africa</t>
  </si>
  <si>
    <t>South Korea</t>
  </si>
  <si>
    <t>Spain</t>
  </si>
  <si>
    <t>Sri Lanka</t>
  </si>
  <si>
    <t>Sudan</t>
  </si>
  <si>
    <t>Suriname</t>
  </si>
  <si>
    <t>Sweden</t>
  </si>
  <si>
    <t>Switzerland</t>
  </si>
  <si>
    <t>Syrian Arab Republic</t>
  </si>
  <si>
    <t>Taiwan</t>
  </si>
  <si>
    <t>Tanzania, United Republic of</t>
  </si>
  <si>
    <t>Thailand</t>
  </si>
  <si>
    <t>Trinidad and Tobago</t>
  </si>
  <si>
    <t>Tunisia</t>
  </si>
  <si>
    <t>Turkey</t>
  </si>
  <si>
    <t>Uganda</t>
  </si>
  <si>
    <t>Ukraine</t>
  </si>
  <si>
    <t>United Arab Emirates</t>
  </si>
  <si>
    <t>United Kingdom</t>
  </si>
  <si>
    <t>Uruguay</t>
  </si>
  <si>
    <t>Uzbekistan</t>
  </si>
  <si>
    <t>Venezuela</t>
  </si>
  <si>
    <t>Vietnam</t>
  </si>
  <si>
    <t>Zambia</t>
  </si>
  <si>
    <t>Zimbabwe</t>
  </si>
  <si>
    <t>Country</t>
  </si>
  <si>
    <t>Revenues</t>
  </si>
  <si>
    <t>ERP</t>
  </si>
  <si>
    <t>United States</t>
  </si>
  <si>
    <t>Region</t>
  </si>
  <si>
    <t>A1/A+</t>
  </si>
  <si>
    <t>EV/Sales</t>
  </si>
  <si>
    <t>Unlevered Beta</t>
  </si>
  <si>
    <t>Output</t>
  </si>
  <si>
    <t>Global</t>
  </si>
  <si>
    <t>Industry Name</t>
  </si>
  <si>
    <t>Number of firms</t>
  </si>
  <si>
    <t>Annual Average Revenue growth - Last 5 years</t>
  </si>
  <si>
    <t>Pre-tax Operating Margin (Unadjusted)</t>
  </si>
  <si>
    <t>After-tax ROC</t>
  </si>
  <si>
    <t>Average effective tax rate</t>
  </si>
  <si>
    <t>Equity (Levered) Beta</t>
  </si>
  <si>
    <t>Cost of equity</t>
  </si>
  <si>
    <t>Std deviation in stock prices</t>
  </si>
  <si>
    <t>Pre-tax cost of debt</t>
  </si>
  <si>
    <t>Market Debt/Capital</t>
  </si>
  <si>
    <t>Sales/Capital</t>
  </si>
  <si>
    <t>EV/EBITDA</t>
  </si>
  <si>
    <t>EV/EBIT</t>
  </si>
  <si>
    <t>Price/Book</t>
  </si>
  <si>
    <t>Trailing PE</t>
  </si>
  <si>
    <t>Non-cash WC as % of Revenues</t>
  </si>
  <si>
    <t>Cap Ex as % of Revenues</t>
  </si>
  <si>
    <t>Net Cap Ex as % of Revenues</t>
  </si>
  <si>
    <t>ROE</t>
  </si>
  <si>
    <t>Dividend Payout Ratio</t>
  </si>
  <si>
    <t>Equity Reinvestment Rate</t>
  </si>
  <si>
    <t>Pre-tax Operating Margin (Lease &amp; R&amp;D adjusted)</t>
  </si>
  <si>
    <t>NA</t>
  </si>
  <si>
    <t>Retail (REITs)</t>
  </si>
  <si>
    <t>Mature Market ERP +</t>
  </si>
  <si>
    <t>Updated February 1, 2024</t>
  </si>
  <si>
    <t>Changing this number will update all your country equity risk premiums.</t>
  </si>
  <si>
    <t>Moody's rating</t>
  </si>
  <si>
    <t>Adj. Default Spread</t>
  </si>
  <si>
    <t>Equity Risk Premium</t>
  </si>
  <si>
    <t>Country Risk Premium</t>
  </si>
  <si>
    <t>Corporate Tax Rate</t>
  </si>
  <si>
    <t>Abu Dhabi</t>
  </si>
  <si>
    <t>Aa2</t>
  </si>
  <si>
    <t>B1</t>
  </si>
  <si>
    <t>NR</t>
  </si>
  <si>
    <t>Andorra (Principality of)</t>
  </si>
  <si>
    <t>Baa2</t>
  </si>
  <si>
    <t>B3</t>
  </si>
  <si>
    <t>Anguilla</t>
  </si>
  <si>
    <t>Antigua &amp; Barbuda</t>
  </si>
  <si>
    <t>Ca</t>
  </si>
  <si>
    <t>Ba3</t>
  </si>
  <si>
    <t>Aaa</t>
  </si>
  <si>
    <t>Aa1</t>
  </si>
  <si>
    <t>Ba1</t>
  </si>
  <si>
    <t>B2</t>
  </si>
  <si>
    <t>C</t>
  </si>
  <si>
    <t>Aa3</t>
  </si>
  <si>
    <t>Belize</t>
  </si>
  <si>
    <t>Caa2</t>
  </si>
  <si>
    <t>Benin</t>
  </si>
  <si>
    <t>A2</t>
  </si>
  <si>
    <t>Caa1</t>
  </si>
  <si>
    <t>A3</t>
  </si>
  <si>
    <t>Ba2</t>
  </si>
  <si>
    <t>British Virgin Islands</t>
  </si>
  <si>
    <t>Brunei</t>
  </si>
  <si>
    <t>Baa1</t>
  </si>
  <si>
    <t>Burkina Faso</t>
  </si>
  <si>
    <t>Cape Verde</t>
  </si>
  <si>
    <t>Channel Islands</t>
  </si>
  <si>
    <t>A1</t>
  </si>
  <si>
    <t>Congo (Democratic Republic of)</t>
  </si>
  <si>
    <t>Congo (Republic of)</t>
  </si>
  <si>
    <t>Cook Islands</t>
  </si>
  <si>
    <t>Cuba</t>
  </si>
  <si>
    <t>Curaçao</t>
  </si>
  <si>
    <t>Czech Republic</t>
  </si>
  <si>
    <t>Caa3</t>
  </si>
  <si>
    <t>Falkland Islands</t>
  </si>
  <si>
    <t>French Guiana</t>
  </si>
  <si>
    <t>Gibraltar</t>
  </si>
  <si>
    <t>Greenland</t>
  </si>
  <si>
    <t>Guernsey (States of)</t>
  </si>
  <si>
    <t>Guinea-Bissau</t>
  </si>
  <si>
    <t>Guyana</t>
  </si>
  <si>
    <t>Haiti</t>
  </si>
  <si>
    <t>Baa3</t>
  </si>
  <si>
    <t>Iran</t>
  </si>
  <si>
    <t>Ivory Coast</t>
  </si>
  <si>
    <t>Jersey (States of)</t>
  </si>
  <si>
    <t>Korea, D.P.R.</t>
  </si>
  <si>
    <t>Kyrgyzstan</t>
  </si>
  <si>
    <t>Liberia</t>
  </si>
  <si>
    <t>Macau</t>
  </si>
  <si>
    <t>Macedonia</t>
  </si>
  <si>
    <t>Mali</t>
  </si>
  <si>
    <t>Martinique</t>
  </si>
  <si>
    <t>Monaco</t>
  </si>
  <si>
    <t>Montserrat</t>
  </si>
  <si>
    <t>Netherlands Antilles</t>
  </si>
  <si>
    <t>Niger</t>
  </si>
  <si>
    <t>Palestinian Authority</t>
  </si>
  <si>
    <t>Ras Al Khaimah (Emirate of)</t>
  </si>
  <si>
    <t>Reunion</t>
  </si>
  <si>
    <t>Russia</t>
  </si>
  <si>
    <t>Saint Lucia</t>
  </si>
  <si>
    <t>Sharjah</t>
  </si>
  <si>
    <t>Somalia</t>
  </si>
  <si>
    <t>St. Maarten</t>
  </si>
  <si>
    <t>St. Vincent &amp; the Grenadines</t>
  </si>
  <si>
    <t>Swaziland</t>
  </si>
  <si>
    <t>Syria</t>
  </si>
  <si>
    <t>Tajikistan</t>
  </si>
  <si>
    <t>Tanzania</t>
  </si>
  <si>
    <t>Togo</t>
  </si>
  <si>
    <t>Trinidad &amp;' Tobago</t>
  </si>
  <si>
    <t>Turks &amp; Caicos Islands</t>
  </si>
  <si>
    <t>Yemen</t>
  </si>
  <si>
    <t>Default Spread</t>
  </si>
  <si>
    <t>Tax Rate</t>
  </si>
  <si>
    <t>CRP</t>
  </si>
  <si>
    <t>Africa</t>
  </si>
  <si>
    <t>Asia</t>
  </si>
  <si>
    <t>Australia &amp; New Zealand</t>
  </si>
  <si>
    <t>Caribbean</t>
  </si>
  <si>
    <t>Central and South America</t>
  </si>
  <si>
    <t>Eastern Europe &amp; Russia</t>
  </si>
  <si>
    <t>Middle East</t>
  </si>
  <si>
    <t>North America</t>
  </si>
  <si>
    <t>Western Europe</t>
  </si>
  <si>
    <t>Based on industry averages (US)</t>
  </si>
  <si>
    <t>Rd = (Rf + Cs + i + CRP ) * (1 - t)</t>
  </si>
  <si>
    <t>If you have negative operating income, this spreadsheet will offer you a D rating. Do not use that rating as your cost of debt for a going concern. Insread give your company a low, but going concern rating like BB and use that cost of debt.</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</si>
  <si>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</si>
  <si>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</si>
  <si>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</si>
  <si>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</si>
  <si>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</si>
  <si>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</si>
  <si>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</si>
  <si>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</si>
  <si>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Enter long term risk free rate  =</t>
  </si>
  <si>
    <t>Interest  coverage ratio =</t>
  </si>
  <si>
    <t>Estimated Bond Rating =</t>
  </si>
  <si>
    <t>Note: If you get REF! All over the place, set the operating lease commitment question in cell F5</t>
  </si>
  <si>
    <t>Estimated Company Default Spread =</t>
  </si>
  <si>
    <t>to No, and then reset it to Yes. It should work.</t>
  </si>
  <si>
    <t>Estimated County Default Spread (if any) =</t>
  </si>
  <si>
    <t>Estimated Cost of Debt =</t>
  </si>
  <si>
    <t xml:space="preserve"> If you want to update the spreads listed below, please visit http://www.bondsonline.com</t>
    <phoneticPr fontId="8"/>
  </si>
  <si>
    <t>For large manufacturing firms</t>
  </si>
  <si>
    <t>Default Probabilities over time (1 - 10 year time horizons)</t>
  </si>
  <si>
    <t>If interest coverage ratio is</t>
  </si>
  <si>
    <t>Rating</t>
  </si>
  <si>
    <t>&gt;</t>
  </si>
  <si>
    <t>≤ to</t>
  </si>
  <si>
    <t>Rating is</t>
  </si>
  <si>
    <t>Spread is</t>
  </si>
  <si>
    <t>AAA</t>
  </si>
  <si>
    <t>D2/D</t>
  </si>
  <si>
    <t>AA</t>
  </si>
  <si>
    <t>C2/C</t>
  </si>
  <si>
    <t>A</t>
  </si>
  <si>
    <t>Ca2/CC</t>
  </si>
  <si>
    <t>BBB</t>
  </si>
  <si>
    <t>Caa/CCC</t>
  </si>
  <si>
    <t>BB</t>
  </si>
  <si>
    <t>B3/B-</t>
  </si>
  <si>
    <t>B</t>
  </si>
  <si>
    <t>B2/B</t>
  </si>
  <si>
    <t>CCC/C</t>
  </si>
  <si>
    <t>B1/B+</t>
  </si>
  <si>
    <t>Ba2/BB</t>
  </si>
  <si>
    <t>Ba1/BB+</t>
  </si>
  <si>
    <t>Baa2/BBB</t>
  </si>
  <si>
    <t>A3/A-</t>
  </si>
  <si>
    <t>A2/A</t>
  </si>
  <si>
    <t>Aa2/AA</t>
  </si>
  <si>
    <t>Aaa/AAA</t>
  </si>
  <si>
    <t>For smaller and riskier firms</t>
  </si>
  <si>
    <t>greater than</t>
  </si>
  <si>
    <t xml:space="preserve">Re = Rf + i + bl * ERP + CRP </t>
  </si>
  <si>
    <t>D/EV Ratio</t>
  </si>
  <si>
    <t>Re = Rf + i + bl * ERP + CRP</t>
  </si>
  <si>
    <t>Damodaran - Credit spread for the Business &amp; Consumer Services industry</t>
  </si>
  <si>
    <t>If relevant, source externally.</t>
  </si>
  <si>
    <t>2024-02-15</t>
  </si>
  <si>
    <t>WACC FOR CONCENTRIX NOVEMBER 2023</t>
  </si>
  <si>
    <t>Sourced from Professor Damadoran's Ginzou Sheets</t>
  </si>
  <si>
    <t>Central Bank rate. Source externally (Preferably 10 yr rate)</t>
  </si>
  <si>
    <t>CONCENTRIX TAX RATE ANALYSIS</t>
  </si>
  <si>
    <t>CAGR (2021-2023)</t>
  </si>
  <si>
    <t xml:space="preserve">CONCENTRIX WACC Calculation </t>
  </si>
  <si>
    <t>Base year</t>
    <phoneticPr fontId="4" type="noConversion"/>
  </si>
  <si>
    <t>Terminal year</t>
  </si>
  <si>
    <t>Revenue growth rate</t>
    <phoneticPr fontId="4" type="noConversion"/>
  </si>
  <si>
    <t>EBIT (Operating) margin</t>
    <phoneticPr fontId="4" type="noConversion"/>
  </si>
  <si>
    <t>EBIT (Operating income)</t>
    <phoneticPr fontId="4" type="noConversion"/>
  </si>
  <si>
    <t>EBIT(1-t)</t>
  </si>
  <si>
    <t>NOL</t>
  </si>
  <si>
    <t>Cumulated discount factor</t>
  </si>
  <si>
    <t>PV(FCFF)</t>
    <phoneticPr fontId="4" type="noConversion"/>
  </si>
  <si>
    <t>Terminal cash flow</t>
    <phoneticPr fontId="4" type="noConversion"/>
  </si>
  <si>
    <t>Terminal cost of capital</t>
  </si>
  <si>
    <t>Terminal value</t>
    <phoneticPr fontId="4" type="noConversion"/>
  </si>
  <si>
    <t>PV(Terminal value)</t>
    <phoneticPr fontId="4" type="noConversion"/>
  </si>
  <si>
    <t>PV (CF over next 10 years)</t>
  </si>
  <si>
    <t>Sum of PV</t>
  </si>
  <si>
    <t>Probability of failure =</t>
  </si>
  <si>
    <t>Proceeds if firm fails =</t>
  </si>
  <si>
    <t>Value of operating assets =</t>
  </si>
  <si>
    <t xml:space="preserve"> - Debt</t>
  </si>
  <si>
    <t xml:space="preserve"> - Minority interests</t>
  </si>
  <si>
    <t xml:space="preserve"> +  Cash</t>
  </si>
  <si>
    <t xml:space="preserve"> + Non-operating assets</t>
  </si>
  <si>
    <t>Value of equity</t>
  </si>
  <si>
    <t xml:space="preserve"> - Value of options</t>
  </si>
  <si>
    <t>Value of equity in common stock</t>
  </si>
  <si>
    <t>Estimated value /share</t>
  </si>
  <si>
    <t>Price as % of value</t>
  </si>
  <si>
    <t>Implied variables</t>
    <phoneticPr fontId="4" type="noConversion"/>
  </si>
  <si>
    <t>After year 10</t>
  </si>
  <si>
    <t>Sales to capital ratio</t>
  </si>
  <si>
    <t>Invested capital</t>
    <phoneticPr fontId="4" type="noConversion"/>
  </si>
  <si>
    <t>ROIC</t>
    <phoneticPr fontId="4" type="noConversion"/>
  </si>
  <si>
    <t>Tell your story about the company. Keep it focuses on the company's businesses and tie it into the three key levers of value: cash flows, growth and risk</t>
  </si>
  <si>
    <t>The Assumptions</t>
  </si>
  <si>
    <t>Base year</t>
  </si>
  <si>
    <t>Next year</t>
  </si>
  <si>
    <t>Years 2-5</t>
  </si>
  <si>
    <t>Years 6-10</t>
  </si>
  <si>
    <t>Link to story</t>
  </si>
  <si>
    <t>Revenues (a)</t>
  </si>
  <si>
    <t>Changes to</t>
  </si>
  <si>
    <t>Tie each assumption to the part of your story that relates to it.</t>
  </si>
  <si>
    <t>Operating margin (b)</t>
  </si>
  <si>
    <t>Moves to</t>
  </si>
  <si>
    <t>Global/US marginal tax rate over time</t>
  </si>
  <si>
    <t>Sales to Capital  (c )</t>
  </si>
  <si>
    <t>Marginal ROIC =</t>
  </si>
  <si>
    <t>Strong competitive edges</t>
  </si>
  <si>
    <t>Cost of capital (d)</t>
  </si>
  <si>
    <t>Cost of capital close to median company</t>
  </si>
  <si>
    <t>The Cash Flows</t>
  </si>
  <si>
    <t xml:space="preserve">Reinvestment </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</si>
  <si>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</si>
  <si>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The Value</t>
  </si>
  <si>
    <t>Terminal value</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</si>
  <si>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</si>
  <si>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PV(Terminal value)</t>
  </si>
  <si>
    <t>Adjustment for distress</t>
  </si>
  <si>
    <t xml:space="preserve"> - Debt &amp; Minority Interests</t>
  </si>
  <si>
    <t xml:space="preserve"> + Cash &amp; Other Non-operating assets</t>
  </si>
  <si>
    <t xml:space="preserve"> - Value of equity options</t>
  </si>
  <si>
    <t>Number of shares</t>
  </si>
  <si>
    <t>Stock was trading at =</t>
  </si>
  <si>
    <t>Estimating the likelihood of failure</t>
  </si>
  <si>
    <t>Approach 1: Using a corporate bond rating</t>
  </si>
  <si>
    <t>Thus, if you use the 10-year likelihood of failure, the chance of failure for a BB rated firm is 11.78%.</t>
  </si>
  <si>
    <t>Approach 2: Using corporate age (for young companies)</t>
  </si>
  <si>
    <t>Survial Rate Data from Bureau of Labor Statistics (2022)</t>
  </si>
  <si>
    <t>Agriculture</t>
  </si>
  <si>
    <t>Mining</t>
  </si>
  <si>
    <t>Utilities</t>
  </si>
  <si>
    <t>Construction</t>
  </si>
  <si>
    <t>Manufacturing</t>
  </si>
  <si>
    <t>Retail</t>
  </si>
  <si>
    <t>Information</t>
  </si>
  <si>
    <t>Health Care</t>
  </si>
  <si>
    <t>All Sectors</t>
  </si>
  <si>
    <t>Failure Rate given age</t>
  </si>
  <si>
    <t>Source; Bureau of Labor Statistics</t>
  </si>
  <si>
    <t>Thus, if you are valuing a technology firm that is 6 years old, the chance of failure is 11.70%.</t>
  </si>
  <si>
    <t>Factors to consider</t>
  </si>
  <si>
    <t xml:space="preserve">1. The likelihood of failure decreases for larger firms. </t>
  </si>
  <si>
    <t>2. The likelihood of failure decreases with access to capital, and is thus lower for publicly traded firms or firms with multiple high profile VCs</t>
  </si>
  <si>
    <t>3. The likelihood of failure decreases as revenue growth increases, since hope for future growth will sustain the firm.</t>
  </si>
  <si>
    <t>4. The likelihood of failure decreases with better unit economics, higher gross margins on the additional units sold</t>
  </si>
  <si>
    <t xml:space="preserve"> - Reinvestment (1 year lag)</t>
  </si>
  <si>
    <t>Synthetic Rating</t>
  </si>
  <si>
    <t>Damodaran - Rating for the Business &amp; Consumer Services industry</t>
  </si>
  <si>
    <t>Number of shares (Millions)</t>
  </si>
  <si>
    <t>Price as of Feb 15, 2024</t>
  </si>
  <si>
    <t>Concentrix</t>
  </si>
  <si>
    <t>Feb 15 2024</t>
  </si>
  <si>
    <t>Reduced from Concentrix's current level</t>
  </si>
  <si>
    <t>Establishing large footprint in attractive growing markets</t>
  </si>
  <si>
    <t>Margins improve, aided by client diversification &amp; continued economies of scale.</t>
  </si>
  <si>
    <t>The Expansion Platform Rolls on</t>
  </si>
  <si>
    <t xml:space="preserve">Concentrix continues to expand its footprint in the client base it serves both geographically and business wise. Along the way, it  will invest large amounts of capital and wait for long periods to attain profitability. </t>
  </si>
  <si>
    <t>+ Excess Assets</t>
  </si>
  <si>
    <t xml:space="preserve"> '- Net Debt</t>
  </si>
  <si>
    <t>- Adjustment For Distress</t>
  </si>
  <si>
    <t>Sourced from Professor Damadoran's Ginzu Sheets</t>
  </si>
  <si>
    <t>CONCENTRIX</t>
  </si>
  <si>
    <t>FCF Multiples</t>
  </si>
  <si>
    <t>Target pre-tax operating margin =</t>
  </si>
  <si>
    <t>Year of convergence for margin</t>
  </si>
  <si>
    <t>Industry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</si>
</sst>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_(* \(#,##0.00\);_(* &quot;-&quot;??_);_(@_)"/>
    <numFmt numFmtId="164" formatCode="#,##0_);\(#,##0\);&quot;-  &quot;;&quot; &quot;@&quot; &quot;"/>
    <numFmt numFmtId="165" formatCode="0.0"/>
    <numFmt numFmtId="166" formatCode="0.0\ \x"/>
    <numFmt numFmtId="167" formatCode="#,##0.0"/>
    <numFmt numFmtId="168" formatCode="#,##0,,"/>
    <numFmt numFmtId="169" formatCode="0.0%"/>
    <numFmt numFmtId="176" formatCode="&quot;$&quot;#,##0.00"/>
    <numFmt numFmtId="177" formatCode="0.0000"/>
    <numFmt numFmtId="178" formatCode="&quot;$&quot;#,##0"/>
    <numFmt numFmtId="179" formatCode="_(&quot;$&quot;* #,##0.00_);_(&quot;$&quot;* \(#,##0.00\);_(&quot;$&quot;* &quot;-&quot;??_);_(@_)"/>
    <numFmt numFmtId="180" formatCode="_(&quot;$&quot;* #,##0_);_(&quot;$&quot;* \(#,##0\);_(&quot;$&quot;* &quot;-&quot;??_);_(@_)"/>
    <numFmt numFmtId="182" formatCode="0.0%_);\-0.0%_);&quot;-  &quot;;&quot; &quot;@&quot; &quot;"/>
    <numFmt numFmtId="183" formatCode="#,##0.00_);\(#,##0.00\);&quot;-  &quot;;&quot; &quot;@&quot; &quot;"/>
    <numFmt numFmtId="187" formatCode="&quot;$&quot;#,##0.00_);[Red]\(&quot;$&quot;#,##0.00\)"/>
    <numFmt numFmtId="188" formatCode="[$₩-412]#,##0.00"/>
  </numFmts>
  <fonts count="77">
    <font>
      <sz val="12"/>
      <color theme="1"/>
      <name val="Calibri"/>
      <family val="2"/>
      <scheme val="minor"/>
    </font>
    <font>
      <b/>
      <sz val="12"/>
      <color theme="1"/>
      <name val="Calibri"/>
      <family val="2"/>
      <scheme val="minor"/>
    </font>
    <font>
      <b/>
      <sz val="20"/>
      <color rgb="FFFF0000"/>
      <name val="Calibri"/>
      <family val="2"/>
      <scheme val="minor"/>
    </font>
    <font>
      <sz val="11"/>
      <color theme="1"/>
      <name val="Calibri"/>
      <family val="2"/>
    </font>
    <font>
      <sz val="11"/>
      <color theme="1"/>
      <name val="Arial"/>
      <family val="2"/>
    </font>
    <font>
      <b/>
      <sz val="14"/>
      <color theme="1"/>
      <name val="Calibri"/>
      <family val="2"/>
    </font>
    <font>
      <b/>
      <sz val="11"/>
      <color theme="0"/>
      <name val="Calibri"/>
      <family val="2"/>
    </font>
    <font>
      <sz val="11"/>
      <color theme="0" tint="-0.499984740745262"/>
      <name val="Calibri"/>
      <family val="2"/>
    </font>
    <font>
      <sz val="11"/>
      <color theme="1"/>
      <name val="Calibri"/>
      <family val="2"/>
      <scheme val="minor"/>
    </font>
    <font>
      <sz val="11"/>
      <color rgb="FF000000"/>
      <name val="Calibri"/>
      <family val="2"/>
    </font>
    <font>
      <b/>
      <sz val="11"/>
      <color rgb="FFFFFFFF"/>
      <name val="Calibri"/>
      <family val="2"/>
    </font>
    <font>
      <sz val="12"/>
      <color theme="1"/>
      <name val="Helvetica Neue"/>
      <family val="2"/>
    </font>
    <font>
      <b/>
      <sz val="14"/>
      <color theme="1"/>
      <name val="Calibri"/>
      <family val="2"/>
      <scheme val="minor"/>
    </font>
    <font>
      <b/>
      <sz val="11"/>
      <color theme="1"/>
      <name val="Calibri"/>
      <family val="2"/>
    </font>
    <font>
      <b/>
      <sz val="12"/>
      <color theme="1"/>
      <name val="Helvetica Neue"/>
      <family val="2"/>
    </font>
    <font>
      <b/>
      <sz val="11"/>
      <color theme="1"/>
      <name val="Calibri"/>
      <family val="2"/>
      <scheme val="minor"/>
    </font>
    <font>
      <u/>
      <sz val="12"/>
      <color theme="10"/>
      <name val="Calibri"/>
      <family val="2"/>
      <scheme val="minor"/>
    </font>
    <font>
      <u/>
      <sz val="12"/>
      <color theme="1"/>
      <name val="Calibri"/>
      <family val="2"/>
      <scheme val="minor"/>
    </font>
    <font>
      <b/>
      <u/>
      <sz val="11"/>
      <color theme="1"/>
      <name val="Calibri"/>
      <family val="2"/>
      <scheme val="minor"/>
    </font>
    <font>
      <b/>
      <sz val="11"/>
      <color rgb="FFFFFFFF"/>
      <name val="Calibri"/>
      <family val="2"/>
      <scheme val="minor"/>
    </font>
    <font>
      <sz val="12"/>
      <color rgb="FF111827"/>
      <name val="Arial"/>
      <family val="2"/>
    </font>
    <font>
      <sz val="12"/>
      <color rgb="FF111827"/>
      <name val="Arial"/>
      <family val="2"/>
    </font>
    <font>
      <b/>
      <sz val="12"/>
      <color rgb="FF111827"/>
      <name val="Arial"/>
      <family val="2"/>
    </font>
    <font>
      <b/>
      <sz val="12"/>
      <color theme="1"/>
      <name val="Calibri"/>
      <family val="2"/>
    </font>
    <font>
      <sz val="12"/>
      <color theme="1"/>
      <name val="Calibri"/>
      <family val="2"/>
    </font>
    <font>
      <sz val="12"/>
      <color rgb="FF111827"/>
      <name val="Calibri"/>
      <family val="2"/>
    </font>
    <font>
      <sz val="12"/>
      <color rgb="FF111827"/>
      <name val="Calibri"/>
      <family val="2"/>
    </font>
    <font>
      <b/>
      <sz val="12"/>
      <color rgb="FF111827"/>
      <name val="Calibri"/>
      <family val="2"/>
    </font>
    <font>
      <u/>
      <sz val="11"/>
      <color theme="10"/>
      <name val="Calibri"/>
      <family val="2"/>
      <scheme val="minor"/>
    </font>
    <font>
      <sz val="10"/>
      <name val="Arial"/>
      <family val="2"/>
    </font>
    <font>
      <sz val="9"/>
      <name val="Geneva"/>
      <family val="2"/>
      <charset val="1"/>
    </font>
    <font>
      <sz val="10"/>
      <name val="Helvetica"/>
      <family val="2"/>
    </font>
    <font>
      <b/>
      <sz val="10"/>
      <name val="Helvetica"/>
      <family val="2"/>
    </font>
    <font>
      <i/>
      <sz val="10"/>
      <name val="Helvetica"/>
      <family val="2"/>
    </font>
    <font>
      <b/>
      <sz val="12"/>
      <name val="Helvetica"/>
      <family val="2"/>
    </font>
    <font>
      <i/>
      <sz val="9"/>
      <name val="Geneva"/>
      <family val="2"/>
      <charset val="1"/>
    </font>
    <font>
      <sz val="12"/>
      <color theme="1"/>
      <name val="Calibri"/>
      <family val="2"/>
      <scheme val="minor"/>
    </font>
    <font>
      <sz val="12"/>
      <color rgb="FFFF0000"/>
      <name val="Calibri"/>
      <family val="2"/>
      <scheme val="minor"/>
    </font>
    <font>
      <sz val="12"/>
      <color theme="0"/>
      <name val="Calibri"/>
      <family val="2"/>
      <scheme val="minor"/>
    </font>
    <font>
      <b/>
      <sz val="28"/>
      <color rgb="FFFF0000"/>
      <name val="Calibri"/>
      <family val="2"/>
      <scheme val="minor"/>
    </font>
    <font>
      <sz val="11"/>
      <color theme="0"/>
      <name val="Calibri"/>
      <family val="2"/>
    </font>
    <font>
      <sz val="11"/>
      <name val="Calibri"/>
      <family val="2"/>
    </font>
    <font>
      <sz val="12"/>
      <name val="Times"/>
      <family val="1"/>
    </font>
    <font>
      <sz val="10"/>
      <name val="Times"/>
      <family val="1"/>
    </font>
    <font>
      <i/>
      <sz val="10"/>
      <name val="Times"/>
      <family val="1"/>
    </font>
    <font>
      <i/>
      <sz val="12"/>
      <name val="Geneva"/>
      <family val="2"/>
      <charset val="1"/>
    </font>
    <font>
      <sz val="10"/>
      <color rgb="FF000000"/>
      <name val="Tahoma"/>
      <family val="2"/>
    </font>
    <font>
      <sz val="8"/>
      <name val="Arial"/>
      <family val="2"/>
    </font>
    <font>
      <i/>
      <sz val="10"/>
      <name val="Geneva"/>
      <family val="2"/>
      <charset val="1"/>
    </font>
    <font>
      <i/>
      <sz val="12"/>
      <name val="Times"/>
      <family val="1"/>
    </font>
    <font>
      <sz val="12"/>
      <name val="Calibri"/>
      <family val="2"/>
      <scheme val="minor"/>
    </font>
    <font>
      <sz val="12"/>
      <color theme="1"/>
      <name val="Arial"/>
      <family val="2"/>
    </font>
    <font>
      <sz val="12"/>
      <name val="Helvetica"/>
      <family val="2"/>
    </font>
    <font>
      <b/>
      <i/>
      <sz val="12"/>
      <name val="Helvetica"/>
      <family val="2"/>
    </font>
    <font>
      <i/>
      <sz val="12"/>
      <name val="Helvetica"/>
      <family val="2"/>
    </font>
    <font>
      <sz val="10"/>
      <name val="Geneva"/>
      <family val="2"/>
      <charset val="1"/>
    </font>
    <font>
      <b/>
      <sz val="12"/>
      <color rgb="FF0A0A0A"/>
      <name val="Helvetica"/>
      <family val="2"/>
    </font>
    <font>
      <sz val="12"/>
      <color rgb="FF0A0A0A"/>
      <name val="Helvetica"/>
      <family val="2"/>
    </font>
    <font>
      <sz val="12"/>
      <color theme="0"/>
      <name val="Times"/>
      <family val="1"/>
    </font>
    <font>
      <sz val="9"/>
      <color theme="0"/>
      <name val="Geneva"/>
      <family val="2"/>
      <charset val="1"/>
    </font>
    <font>
      <b/>
      <i/>
      <u/>
      <sz val="12"/>
      <name val="Times"/>
      <family val="1"/>
    </font>
    <font>
      <b/>
      <i/>
      <sz val="12"/>
      <color theme="1"/>
      <name val="Calibri"/>
      <family val="2"/>
      <scheme val="minor"/>
    </font>
    <font>
      <i/>
      <sz val="12"/>
      <color rgb="FFFF0000"/>
      <name val="Calibri"/>
      <family val="2"/>
    </font>
    <font>
      <i/>
      <sz val="12"/>
      <color rgb="FFFF0000"/>
      <name val="Geneva"/>
      <family val="2"/>
      <charset val="1"/>
    </font>
    <font>
      <i/>
      <sz val="12"/>
      <color theme="1"/>
      <name val="Calibri"/>
      <family val="2"/>
      <scheme val="minor"/>
    </font>
    <font>
      <sz val="12"/>
      <color rgb="FFFF0000"/>
      <name val="Calibri"/>
      <family val="2"/>
    </font>
    <font>
      <i/>
      <sz val="12"/>
      <color rgb="FF000000"/>
      <name val="Helvetica"/>
      <family val="2"/>
    </font>
    <font>
      <b/>
      <i/>
      <sz val="18"/>
      <name val="Helvetica"/>
      <family val="2"/>
    </font>
    <font>
      <b/>
      <i/>
      <sz val="14"/>
      <name val="Helvetica"/>
      <family val="2"/>
    </font>
    <font>
      <b/>
      <sz val="10"/>
      <name val="Geneva"/>
      <family val="2"/>
      <charset val="1"/>
    </font>
    <font>
      <b/>
      <sz val="12"/>
      <color rgb="FF0A0A0A"/>
      <name val="Arial"/>
      <family val="2"/>
    </font>
    <font>
      <sz val="12"/>
      <color rgb="FF0A0A0A"/>
      <name val="Arial"/>
      <family val="2"/>
    </font>
    <font>
      <sz val="12"/>
      <color theme="1"/>
      <name val="Times Roman"/>
    </font>
    <font>
      <i/>
      <sz val="12"/>
      <color theme="1"/>
      <name val="Times Roman"/>
    </font>
    <font>
      <b/>
      <sz val="14"/>
      <color theme="1"/>
      <name val="Times Roman"/>
    </font>
    <font>
      <b/>
      <sz val="12"/>
      <color rgb="FFFF0000"/>
      <name val="Times"/>
      <family val="1"/>
    </font>
    <font>
      <sz val="12"/>
      <name val="Helv"/>
    </font>
  </fonts>
  <fills count="20">
    <fill>
      <patternFill patternType="none"/>
    </fill>
    <fill>
      <patternFill patternType="gray125"/>
    </fill>
    <fill>
      <patternFill patternType="solid">
        <fgColor theme="0"/>
        <bgColor indexed="64"/>
      </patternFill>
    </fill>
    <fill>
      <patternFill patternType="solid">
        <fgColor rgb="FF2151FF"/>
        <bgColor indexed="64"/>
      </patternFill>
    </fill>
    <fill>
      <patternFill patternType="solid">
        <fgColor rgb="FFFFFFAF"/>
        <bgColor indexed="64"/>
      </patternFill>
    </fill>
    <fill>
      <patternFill patternType="solid">
        <fgColor rgb="FF383642"/>
        <bgColor indexed="64"/>
      </patternFill>
    </fill>
    <fill>
      <patternFill patternType="solid">
        <fgColor rgb="FFDBE0E7"/>
      </patternFill>
    </fill>
    <fill>
      <patternFill patternType="solid">
        <fgColor rgb="FF383642"/>
      </patternFill>
    </fill>
    <fill>
      <patternFill patternType="solid">
        <fgColor rgb="FF383642"/>
        <bgColor rgb="FF000000"/>
      </patternFill>
    </fill>
    <fill>
      <patternFill patternType="solid">
        <fgColor theme="5"/>
        <bgColor indexed="64"/>
      </patternFill>
    </fill>
    <fill>
      <patternFill patternType="solid">
        <fgColor theme="9" tint="-0.249977111117893"/>
        <bgColor indexed="64"/>
      </patternFill>
    </fill>
    <fill>
      <patternFill patternType="solid">
        <fgColor theme="4" tint="0.79998168889431442"/>
        <bgColor indexed="64"/>
      </patternFill>
    </fill>
    <fill>
      <patternFill patternType="solid">
        <fgColor theme="8"/>
        <bgColor indexed="64"/>
      </patternFill>
    </fill>
    <fill>
      <patternFill patternType="solid">
        <fgColor theme="2"/>
        <bgColor indexed="64"/>
      </patternFill>
    </fill>
    <fill>
      <patternFill patternType="solid">
        <fgColor rgb="FF0E2A47"/>
        <bgColor indexed="64"/>
      </patternFill>
    </fill>
    <fill>
      <patternFill patternType="solid">
        <fgColor rgb="FFFFFF00"/>
        <bgColor indexed="64"/>
      </patternFill>
    </fill>
    <fill>
      <patternFill patternType="solid">
        <fgColor rgb="FFCCFFCC"/>
        <bgColor indexed="64"/>
      </patternFill>
    </fill>
    <fill>
      <patternFill patternType="solid">
        <fgColor theme="2"/>
        <bgColor theme="0" tint="-0.14999847407452621"/>
      </patternFill>
    </fill>
    <fill>
      <patternFill patternType="solid">
        <fgColor rgb="FF92D050"/>
        <bgColor indexed="64"/>
      </patternFill>
    </fill>
    <fill>
      <patternFill patternType="solid">
        <fgColor theme="1"/>
        <bgColor indexed="64"/>
      </patternFill>
    </fill>
  </fills>
  <borders count="75">
    <border>
      <left/>
      <right/>
      <top/>
      <bottom/>
      <diagonal/>
    </border>
    <border>
      <left/>
      <right/>
      <top/>
      <bottom style="medium">
        <color auto="1"/>
      </bottom>
      <diagonal/>
    </border>
    <border>
      <left style="medium">
        <color theme="0"/>
      </left>
      <right/>
      <top style="medium">
        <color theme="0"/>
      </top>
      <bottom style="medium">
        <color theme="0"/>
      </bottom>
      <diagonal/>
    </border>
    <border>
      <left/>
      <right/>
      <top style="medium">
        <color theme="0"/>
      </top>
      <bottom style="medium">
        <color theme="0"/>
      </bottom>
      <diagonal/>
    </border>
    <border>
      <left style="medium">
        <color theme="0"/>
      </left>
      <right style="medium">
        <color theme="0"/>
      </right>
      <top style="medium">
        <color theme="0"/>
      </top>
      <bottom style="medium">
        <color theme="0"/>
      </bottom>
      <diagonal/>
    </border>
    <border>
      <left/>
      <right/>
      <top/>
      <bottom style="medium">
        <color rgb="FF383642"/>
      </bottom>
      <diagonal/>
    </border>
    <border>
      <left style="medium">
        <color rgb="FFFFFFFF"/>
      </left>
      <right style="medium">
        <color rgb="FFFFFFFF"/>
      </right>
      <top style="medium">
        <color rgb="FFFFFFFF"/>
      </top>
      <bottom style="medium">
        <color rgb="FFFFFFFF"/>
      </bottom>
      <diagonal/>
    </border>
    <border>
      <left/>
      <right/>
      <top style="medium">
        <color theme="0"/>
      </top>
      <bottom/>
      <diagonal/>
    </border>
    <border>
      <left/>
      <right style="medium">
        <color theme="0"/>
      </right>
      <top style="medium">
        <color theme="0"/>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theme="1"/>
      </right>
      <top/>
      <bottom style="medium">
        <color theme="1"/>
      </bottom>
      <diagonal/>
    </border>
    <border>
      <left/>
      <right/>
      <top/>
      <bottom style="medium">
        <color theme="1"/>
      </bottom>
      <diagonal/>
    </border>
    <border>
      <left style="thin">
        <color indexed="64"/>
      </left>
      <right style="thin">
        <color indexed="64"/>
      </right>
      <top style="thin">
        <color indexed="64"/>
      </top>
      <bottom style="medium">
        <color theme="1"/>
      </bottom>
      <diagonal/>
    </border>
    <border>
      <left style="medium">
        <color theme="1"/>
      </left>
      <right/>
      <top/>
      <bottom style="medium">
        <color theme="1"/>
      </bottom>
      <diagonal/>
    </border>
    <border>
      <left/>
      <right style="medium">
        <color theme="1"/>
      </right>
      <top/>
      <bottom/>
      <diagonal/>
    </border>
    <border>
      <left style="thin">
        <color indexed="64"/>
      </left>
      <right style="thin">
        <color indexed="64"/>
      </right>
      <top style="thin">
        <color indexed="64"/>
      </top>
      <bottom style="thin">
        <color indexed="64"/>
      </bottom>
      <diagonal/>
    </border>
    <border>
      <left style="medium">
        <color theme="1"/>
      </left>
      <right/>
      <top/>
      <bottom/>
      <diagonal/>
    </border>
    <border>
      <left/>
      <right/>
      <top style="medium">
        <color indexed="64"/>
      </top>
      <bottom/>
      <diagonal/>
    </border>
    <border>
      <left style="medium">
        <color theme="1"/>
      </left>
      <right style="thin">
        <color indexed="64"/>
      </right>
      <top style="thin">
        <color indexed="64"/>
      </top>
      <bottom style="thin">
        <color indexed="64"/>
      </bottom>
      <diagonal/>
    </border>
    <border>
      <left style="thin">
        <color indexed="64"/>
      </left>
      <right/>
      <top style="thin">
        <color indexed="64"/>
      </top>
      <bottom/>
      <diagonal/>
    </border>
    <border>
      <left style="medium">
        <color theme="1"/>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style="medium">
        <color theme="1"/>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theme="1"/>
      </left>
      <right style="thin">
        <color indexed="64"/>
      </right>
      <top style="medium">
        <color indexed="64"/>
      </top>
      <bottom style="medium">
        <color indexed="64"/>
      </bottom>
      <diagonal/>
    </border>
    <border>
      <left/>
      <right style="medium">
        <color theme="1"/>
      </right>
      <top style="medium">
        <color theme="1"/>
      </top>
      <bottom style="medium">
        <color indexed="64"/>
      </bottom>
      <diagonal/>
    </border>
    <border>
      <left style="medium">
        <color indexed="64"/>
      </left>
      <right/>
      <top style="medium">
        <color theme="1"/>
      </top>
      <bottom style="medium">
        <color indexed="64"/>
      </bottom>
      <diagonal/>
    </border>
    <border>
      <left/>
      <right style="medium">
        <color indexed="64"/>
      </right>
      <top style="medium">
        <color theme="1"/>
      </top>
      <bottom style="medium">
        <color indexed="64"/>
      </bottom>
      <diagonal/>
    </border>
    <border>
      <left/>
      <right/>
      <top style="medium">
        <color theme="1"/>
      </top>
      <bottom style="medium">
        <color indexed="64"/>
      </bottom>
      <diagonal/>
    </border>
    <border>
      <left style="medium">
        <color theme="1"/>
      </left>
      <right/>
      <top style="medium">
        <color theme="1"/>
      </top>
      <bottom style="medium">
        <color indexed="64"/>
      </bottom>
      <diagonal/>
    </border>
    <border>
      <left/>
      <right style="medium">
        <color theme="0"/>
      </right>
      <top style="medium">
        <color theme="0"/>
      </top>
      <bottom style="medium">
        <color theme="0"/>
      </bottom>
      <diagonal/>
    </border>
    <border>
      <left/>
      <right/>
      <top style="thin">
        <color indexed="64"/>
      </top>
      <bottom style="thin">
        <color indexed="64"/>
      </bottom>
      <diagonal/>
    </border>
    <border>
      <left/>
      <right/>
      <top style="thin">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theme="1"/>
      </left>
      <right style="thin">
        <color theme="1"/>
      </right>
      <top style="thin">
        <color theme="1"/>
      </top>
      <bottom style="thin">
        <color theme="1"/>
      </bottom>
      <diagonal/>
    </border>
    <border>
      <left/>
      <right/>
      <top style="thin">
        <color theme="6" tint="0.79998168889431442"/>
      </top>
      <bottom style="thin">
        <color theme="6" tint="0.79998168889431442"/>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theme="0"/>
      </left>
      <right style="thin">
        <color theme="0"/>
      </right>
      <top style="thin">
        <color theme="0"/>
      </top>
      <bottom style="thin">
        <color theme="0"/>
      </bottom>
      <diagonal/>
    </border>
    <border>
      <left style="medium">
        <color indexed="64"/>
      </left>
      <right/>
      <top style="thin">
        <color indexed="64"/>
      </top>
      <bottom style="thin">
        <color indexed="64"/>
      </bottom>
      <diagonal/>
    </border>
  </borders>
  <cellStyleXfs count="14">
    <xf numFmtId="0" fontId="0" fillId="0" borderId="0"/>
    <xf numFmtId="0" fontId="4" fillId="0" borderId="0"/>
    <xf numFmtId="164" fontId="8" fillId="0" borderId="0" applyFont="0" applyFill="0" applyBorder="0" applyProtection="0">
      <alignment vertical="top"/>
    </xf>
    <xf numFmtId="0" fontId="16" fillId="0" borderId="0" applyNumberFormat="0" applyFill="0" applyBorder="0" applyAlignment="0" applyProtection="0"/>
    <xf numFmtId="0" fontId="8" fillId="0" borderId="0"/>
    <xf numFmtId="0" fontId="28" fillId="0" borderId="0" applyNumberFormat="0" applyFill="0" applyBorder="0" applyAlignment="0" applyProtection="0"/>
    <xf numFmtId="0" fontId="29" fillId="0" borderId="0"/>
    <xf numFmtId="43" fontId="29" fillId="0" borderId="0" applyFont="0" applyFill="0" applyBorder="0" applyAlignment="0" applyProtection="0"/>
    <xf numFmtId="9" fontId="4" fillId="0" borderId="0" applyFont="0" applyFill="0" applyBorder="0" applyAlignment="0" applyProtection="0"/>
    <xf numFmtId="0" fontId="30" fillId="0" borderId="0"/>
    <xf numFmtId="9" fontId="30" fillId="0" borderId="0" applyFont="0" applyFill="0" applyBorder="0" applyAlignment="0" applyProtection="0"/>
    <xf numFmtId="9" fontId="36" fillId="0" borderId="0" applyFont="0" applyFill="0" applyBorder="0" applyAlignment="0" applyProtection="0"/>
    <xf numFmtId="179" fontId="30" fillId="0" borderId="0" applyFont="0" applyFill="0" applyBorder="0" applyAlignment="0" applyProtection="0"/>
    <xf numFmtId="43" fontId="30" fillId="0" borderId="0" applyFont="0" applyFill="0" applyBorder="0" applyAlignment="0" applyProtection="0"/>
  </cellStyleXfs>
  <cellXfs count="406">
    <xf numFmtId="0" fontId="0" fillId="0" borderId="0" xfId="0"/>
    <xf numFmtId="0" fontId="2" fillId="0" borderId="0" xfId="0" applyFont="1" applyAlignment="1">
      <alignment vertical="center"/>
    </xf>
    <xf numFmtId="0" fontId="3" fillId="0" borderId="0" xfId="0" applyFont="1" applyAlignment="1">
      <alignment vertical="center"/>
    </xf>
    <xf numFmtId="0" fontId="5" fillId="2" borderId="0" xfId="1" applyFont="1" applyFill="1" applyAlignment="1">
      <alignment vertical="center"/>
    </xf>
    <xf numFmtId="0" fontId="6" fillId="3" borderId="0" xfId="0" applyFont="1" applyFill="1" applyAlignment="1">
      <alignment vertical="center"/>
    </xf>
    <xf numFmtId="0" fontId="6" fillId="3" borderId="0" xfId="0" applyFont="1" applyFill="1" applyAlignment="1">
      <alignment horizontal="right" vertical="center"/>
    </xf>
    <xf numFmtId="14" fontId="3" fillId="0" borderId="0" xfId="0" applyNumberFormat="1" applyFont="1" applyAlignment="1">
      <alignment horizontal="right" vertical="center"/>
    </xf>
    <xf numFmtId="165" fontId="3" fillId="4" borderId="0" xfId="0" applyNumberFormat="1" applyFont="1" applyFill="1" applyAlignment="1">
      <alignment vertical="center"/>
    </xf>
    <xf numFmtId="0" fontId="7" fillId="0" borderId="0" xfId="0" applyFont="1" applyAlignment="1">
      <alignment vertical="center"/>
    </xf>
    <xf numFmtId="0" fontId="3" fillId="0" borderId="1" xfId="0" applyFont="1" applyBorder="1" applyAlignment="1">
      <alignment vertical="center"/>
    </xf>
    <xf numFmtId="165" fontId="3" fillId="4" borderId="1" xfId="0" applyNumberFormat="1" applyFont="1" applyFill="1" applyBorder="1" applyAlignment="1">
      <alignment vertical="center"/>
    </xf>
    <xf numFmtId="0" fontId="6" fillId="3" borderId="2" xfId="0" applyFont="1" applyFill="1" applyBorder="1" applyAlignment="1">
      <alignment vertical="center"/>
    </xf>
    <xf numFmtId="164" fontId="6" fillId="5" borderId="4" xfId="2" applyFont="1" applyFill="1" applyBorder="1">
      <alignment vertical="top"/>
    </xf>
    <xf numFmtId="166" fontId="3" fillId="0" borderId="0" xfId="0" applyNumberFormat="1" applyFont="1" applyAlignment="1">
      <alignment horizontal="right" vertical="center"/>
    </xf>
    <xf numFmtId="0" fontId="9" fillId="6" borderId="0" xfId="0" applyFont="1" applyFill="1" applyAlignment="1">
      <alignment vertical="center"/>
    </xf>
    <xf numFmtId="166" fontId="9" fillId="6" borderId="0" xfId="0" applyNumberFormat="1" applyFont="1" applyFill="1" applyAlignment="1">
      <alignment horizontal="right" vertical="center"/>
    </xf>
    <xf numFmtId="167" fontId="3" fillId="0" borderId="0" xfId="0" applyNumberFormat="1" applyFont="1" applyAlignment="1">
      <alignment horizontal="right" vertical="center"/>
    </xf>
    <xf numFmtId="0" fontId="3" fillId="0" borderId="5" xfId="0" applyFont="1" applyBorder="1" applyAlignment="1">
      <alignment vertical="center"/>
    </xf>
    <xf numFmtId="167" fontId="3" fillId="0" borderId="5" xfId="0" applyNumberFormat="1" applyFont="1" applyBorder="1" applyAlignment="1">
      <alignment horizontal="right" vertical="center"/>
    </xf>
    <xf numFmtId="0" fontId="3" fillId="0" borderId="0" xfId="0" applyFont="1" applyAlignment="1">
      <alignment vertical="top"/>
    </xf>
    <xf numFmtId="164" fontId="6" fillId="5" borderId="4" xfId="2" applyFont="1" applyFill="1" applyBorder="1" applyAlignment="1">
      <alignment vertical="top" wrapText="1"/>
    </xf>
    <xf numFmtId="0" fontId="11" fillId="0" borderId="0" xfId="0" applyFont="1"/>
    <xf numFmtId="4" fontId="11" fillId="0" borderId="0" xfId="0" applyNumberFormat="1" applyFont="1"/>
    <xf numFmtId="0" fontId="14" fillId="0" borderId="0" xfId="0" applyFont="1"/>
    <xf numFmtId="0" fontId="11" fillId="0" borderId="0" xfId="0" applyFont="1" applyAlignment="1">
      <alignment horizontal="left"/>
    </xf>
    <xf numFmtId="4" fontId="14" fillId="0" borderId="0" xfId="0" applyNumberFormat="1" applyFont="1"/>
    <xf numFmtId="0" fontId="1" fillId="0" borderId="0" xfId="0" applyFont="1"/>
    <xf numFmtId="0" fontId="15" fillId="0" borderId="0" xfId="0" applyFont="1"/>
    <xf numFmtId="1" fontId="14" fillId="0" borderId="0" xfId="0" applyNumberFormat="1" applyFont="1"/>
    <xf numFmtId="0" fontId="16" fillId="0" borderId="0" xfId="3"/>
    <xf numFmtId="0" fontId="17" fillId="0" borderId="0" xfId="3" applyFont="1"/>
    <xf numFmtId="3" fontId="0" fillId="0" borderId="0" xfId="0" applyNumberFormat="1"/>
    <xf numFmtId="3" fontId="11" fillId="0" borderId="0" xfId="0" applyNumberFormat="1" applyFont="1"/>
    <xf numFmtId="0" fontId="12" fillId="0" borderId="0" xfId="0" applyFont="1" applyAlignment="1">
      <alignment wrapText="1"/>
    </xf>
    <xf numFmtId="0" fontId="18" fillId="0" borderId="0" xfId="0" applyFont="1"/>
    <xf numFmtId="0" fontId="0" fillId="0" borderId="0" xfId="0" applyAlignment="1">
      <alignment horizontal="left" indent="1"/>
    </xf>
    <xf numFmtId="3" fontId="15" fillId="0" borderId="0" xfId="0" applyNumberFormat="1" applyFont="1"/>
    <xf numFmtId="1" fontId="6" fillId="3" borderId="2" xfId="0" applyNumberFormat="1" applyFont="1" applyFill="1" applyBorder="1" applyAlignment="1">
      <alignment vertical="center"/>
    </xf>
    <xf numFmtId="1" fontId="6" fillId="3" borderId="3" xfId="0" applyNumberFormat="1" applyFont="1" applyFill="1" applyBorder="1" applyAlignment="1">
      <alignment vertical="center"/>
    </xf>
    <xf numFmtId="164" fontId="19" fillId="8" borderId="6" xfId="0" applyNumberFormat="1" applyFont="1" applyFill="1" applyBorder="1" applyAlignment="1">
      <alignment vertical="top"/>
    </xf>
    <xf numFmtId="0" fontId="20" fillId="0" borderId="0" xfId="0" applyFont="1"/>
    <xf numFmtId="3" fontId="20" fillId="0" borderId="0" xfId="0" applyNumberFormat="1" applyFont="1"/>
    <xf numFmtId="0" fontId="21" fillId="0" borderId="0" xfId="0" applyFont="1"/>
    <xf numFmtId="10" fontId="21" fillId="0" borderId="0" xfId="0" applyNumberFormat="1" applyFont="1"/>
    <xf numFmtId="3" fontId="21" fillId="0" borderId="0" xfId="0" applyNumberFormat="1" applyFont="1"/>
    <xf numFmtId="3" fontId="14" fillId="0" borderId="0" xfId="0" applyNumberFormat="1" applyFont="1"/>
    <xf numFmtId="3" fontId="22" fillId="0" borderId="0" xfId="0" applyNumberFormat="1" applyFont="1"/>
    <xf numFmtId="0" fontId="22" fillId="0" borderId="0" xfId="0" applyFont="1"/>
    <xf numFmtId="0" fontId="0" fillId="0" borderId="0" xfId="0" applyAlignment="1">
      <alignment horizontal="left" wrapText="1" indent="1"/>
    </xf>
    <xf numFmtId="0" fontId="0" fillId="0" borderId="0" xfId="0" applyAlignment="1">
      <alignment horizontal="left"/>
    </xf>
    <xf numFmtId="0" fontId="0" fillId="0" borderId="0" xfId="0" applyAlignment="1">
      <alignment wrapText="1"/>
    </xf>
    <xf numFmtId="3" fontId="0" fillId="0" borderId="0" xfId="0" applyNumberFormat="1" applyAlignment="1">
      <alignment wrapText="1"/>
    </xf>
    <xf numFmtId="4" fontId="21" fillId="0" borderId="0" xfId="0" applyNumberFormat="1" applyFont="1"/>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xf numFmtId="167" fontId="20" fillId="0" borderId="0" xfId="0" applyNumberFormat="1" applyFont="1"/>
    <xf numFmtId="0" fontId="8" fillId="0" borderId="0" xfId="4"/>
    <xf numFmtId="0" fontId="15" fillId="0" borderId="0" xfId="4" applyFont="1"/>
    <xf numFmtId="168" fontId="8" fillId="0" borderId="0" xfId="4" applyNumberFormat="1"/>
    <xf numFmtId="10" fontId="8" fillId="0" borderId="0" xfId="4" applyNumberFormat="1"/>
    <xf numFmtId="0" fontId="8" fillId="11" borderId="0" xfId="4" applyFill="1"/>
    <xf numFmtId="10" fontId="8" fillId="11" borderId="0" xfId="4" applyNumberFormat="1" applyFill="1"/>
    <xf numFmtId="3" fontId="8" fillId="0" borderId="0" xfId="4" applyNumberFormat="1"/>
    <xf numFmtId="169" fontId="8" fillId="0" borderId="0" xfId="4" applyNumberFormat="1"/>
    <xf numFmtId="1" fontId="8" fillId="0" borderId="0" xfId="4" applyNumberFormat="1"/>
    <xf numFmtId="0" fontId="13" fillId="12" borderId="0" xfId="0" applyFont="1" applyFill="1" applyAlignment="1">
      <alignment vertical="center"/>
    </xf>
    <xf numFmtId="0" fontId="0" fillId="0" borderId="0" xfId="0" applyAlignment="1">
      <alignment horizontal="left" indent="2"/>
    </xf>
    <xf numFmtId="4" fontId="20" fillId="0" borderId="0" xfId="0" applyNumberFormat="1" applyFont="1"/>
    <xf numFmtId="0" fontId="8" fillId="0" borderId="0" xfId="4" applyAlignment="1">
      <alignment horizontal="left" indent="1"/>
    </xf>
    <xf numFmtId="0" fontId="30" fillId="0" borderId="0" xfId="9"/>
    <xf numFmtId="0" fontId="31" fillId="0" borderId="0" xfId="9" applyFont="1"/>
    <xf numFmtId="0" fontId="31" fillId="0" borderId="16" xfId="9" applyFont="1" applyBorder="1"/>
    <xf numFmtId="0" fontId="31" fillId="0" borderId="17" xfId="9" applyFont="1" applyBorder="1"/>
    <xf numFmtId="0" fontId="31" fillId="0" borderId="19" xfId="9" applyFont="1" applyBorder="1"/>
    <xf numFmtId="0" fontId="31" fillId="0" borderId="20" xfId="9" applyFont="1" applyBorder="1"/>
    <xf numFmtId="0" fontId="31" fillId="0" borderId="22" xfId="9" applyFont="1" applyBorder="1"/>
    <xf numFmtId="10" fontId="31" fillId="13" borderId="21" xfId="10" applyNumberFormat="1" applyFont="1" applyFill="1" applyBorder="1"/>
    <xf numFmtId="0" fontId="31" fillId="13" borderId="24" xfId="9" applyFont="1" applyFill="1" applyBorder="1"/>
    <xf numFmtId="10" fontId="31" fillId="0" borderId="21" xfId="9" applyNumberFormat="1" applyFont="1" applyBorder="1"/>
    <xf numFmtId="0" fontId="31" fillId="0" borderId="21" xfId="9" applyFont="1" applyBorder="1"/>
    <xf numFmtId="176" fontId="31" fillId="13" borderId="21" xfId="9" applyNumberFormat="1" applyFont="1" applyFill="1" applyBorder="1"/>
    <xf numFmtId="2" fontId="31" fillId="13" borderId="21" xfId="9" applyNumberFormat="1" applyFont="1" applyFill="1" applyBorder="1"/>
    <xf numFmtId="0" fontId="31" fillId="13" borderId="21" xfId="9" applyFont="1" applyFill="1" applyBorder="1"/>
    <xf numFmtId="176" fontId="31" fillId="0" borderId="25" xfId="9" applyNumberFormat="1" applyFont="1" applyBorder="1"/>
    <xf numFmtId="0" fontId="31" fillId="0" borderId="26" xfId="9" applyFont="1" applyBorder="1"/>
    <xf numFmtId="176" fontId="31" fillId="13" borderId="27" xfId="9" applyNumberFormat="1" applyFont="1" applyFill="1" applyBorder="1"/>
    <xf numFmtId="0" fontId="31" fillId="13" borderId="26" xfId="9" applyFont="1" applyFill="1" applyBorder="1"/>
    <xf numFmtId="177" fontId="31" fillId="0" borderId="21" xfId="9" applyNumberFormat="1" applyFont="1" applyBorder="1"/>
    <xf numFmtId="43" fontId="31" fillId="13" borderId="28" xfId="9" applyNumberFormat="1" applyFont="1" applyFill="1" applyBorder="1"/>
    <xf numFmtId="43" fontId="31" fillId="13" borderId="24" xfId="9" applyNumberFormat="1" applyFont="1" applyFill="1" applyBorder="1"/>
    <xf numFmtId="10" fontId="31" fillId="0" borderId="0" xfId="9" applyNumberFormat="1" applyFont="1"/>
    <xf numFmtId="10" fontId="31" fillId="13" borderId="21" xfId="9" applyNumberFormat="1" applyFont="1" applyFill="1" applyBorder="1"/>
    <xf numFmtId="178" fontId="31" fillId="13" borderId="28" xfId="9" applyNumberFormat="1" applyFont="1" applyFill="1" applyBorder="1"/>
    <xf numFmtId="179" fontId="31" fillId="13" borderId="21" xfId="9" applyNumberFormat="1" applyFont="1" applyFill="1" applyBorder="1"/>
    <xf numFmtId="180" fontId="31" fillId="13" borderId="21" xfId="9" applyNumberFormat="1" applyFont="1" applyFill="1" applyBorder="1"/>
    <xf numFmtId="180" fontId="31" fillId="0" borderId="21" xfId="9" applyNumberFormat="1" applyFont="1" applyBorder="1"/>
    <xf numFmtId="10" fontId="31" fillId="13" borderId="28" xfId="9" applyNumberFormat="1" applyFont="1" applyFill="1" applyBorder="1"/>
    <xf numFmtId="10" fontId="31" fillId="13" borderId="24" xfId="9" applyNumberFormat="1" applyFont="1" applyFill="1" applyBorder="1"/>
    <xf numFmtId="180" fontId="31" fillId="13" borderId="28" xfId="9" applyNumberFormat="1" applyFont="1" applyFill="1" applyBorder="1"/>
    <xf numFmtId="0" fontId="31" fillId="0" borderId="20" xfId="9" applyFont="1" applyBorder="1" applyAlignment="1">
      <alignment horizontal="center"/>
    </xf>
    <xf numFmtId="0" fontId="31" fillId="13" borderId="21" xfId="9" applyFont="1" applyFill="1" applyBorder="1" applyAlignment="1">
      <alignment horizontal="center"/>
    </xf>
    <xf numFmtId="0" fontId="31" fillId="0" borderId="21" xfId="9" applyFont="1" applyBorder="1" applyAlignment="1">
      <alignment horizontal="center"/>
    </xf>
    <xf numFmtId="180" fontId="31" fillId="13" borderId="29" xfId="9" applyNumberFormat="1" applyFont="1" applyFill="1" applyBorder="1"/>
    <xf numFmtId="179" fontId="31" fillId="13" borderId="30" xfId="9" applyNumberFormat="1" applyFont="1" applyFill="1" applyBorder="1"/>
    <xf numFmtId="10" fontId="31" fillId="0" borderId="20" xfId="9" applyNumberFormat="1" applyFont="1" applyBorder="1"/>
    <xf numFmtId="178" fontId="31" fillId="0" borderId="21" xfId="9" applyNumberFormat="1" applyFont="1" applyBorder="1"/>
    <xf numFmtId="0" fontId="31" fillId="0" borderId="24" xfId="9" applyFont="1" applyBorder="1"/>
    <xf numFmtId="10" fontId="31" fillId="0" borderId="35" xfId="9" applyNumberFormat="1" applyFont="1" applyBorder="1"/>
    <xf numFmtId="0" fontId="31" fillId="0" borderId="37" xfId="9" applyFont="1" applyBorder="1"/>
    <xf numFmtId="0" fontId="35" fillId="0" borderId="0" xfId="9" applyFont="1"/>
    <xf numFmtId="0" fontId="33" fillId="0" borderId="0" xfId="9" applyFont="1"/>
    <xf numFmtId="1" fontId="6" fillId="9" borderId="2" xfId="0" applyNumberFormat="1" applyFont="1" applyFill="1" applyBorder="1" applyAlignment="1">
      <alignment horizontal="center" vertical="center"/>
    </xf>
    <xf numFmtId="1" fontId="6" fillId="9" borderId="3" xfId="0" applyNumberFormat="1" applyFont="1" applyFill="1" applyBorder="1" applyAlignment="1">
      <alignment horizontal="center" vertical="center"/>
    </xf>
    <xf numFmtId="1" fontId="6" fillId="10" borderId="3" xfId="0" applyNumberFormat="1" applyFont="1" applyFill="1" applyBorder="1" applyAlignment="1">
      <alignment horizontal="center" vertical="center"/>
    </xf>
    <xf numFmtId="0" fontId="10" fillId="7" borderId="0" xfId="0" applyFont="1" applyFill="1" applyAlignment="1">
      <alignment horizontal="left"/>
    </xf>
    <xf numFmtId="0" fontId="10" fillId="7" borderId="0" xfId="0" applyFont="1" applyFill="1" applyAlignment="1">
      <alignment horizontal="left" vertical="center"/>
    </xf>
    <xf numFmtId="1" fontId="6" fillId="3" borderId="2" xfId="0" applyNumberFormat="1" applyFont="1" applyFill="1" applyBorder="1" applyAlignment="1">
      <alignment horizontal="center" vertical="center"/>
    </xf>
    <xf numFmtId="1" fontId="6" fillId="3" borderId="3" xfId="0" applyNumberFormat="1" applyFont="1" applyFill="1" applyBorder="1" applyAlignment="1">
      <alignment horizontal="center" vertical="center"/>
    </xf>
    <xf numFmtId="1" fontId="6" fillId="3" borderId="7" xfId="0" applyNumberFormat="1" applyFont="1" applyFill="1" applyBorder="1" applyAlignment="1">
      <alignment horizontal="center" vertical="center"/>
    </xf>
    <xf numFmtId="1" fontId="6" fillId="3" borderId="8" xfId="0" applyNumberFormat="1" applyFont="1" applyFill="1" applyBorder="1" applyAlignment="1">
      <alignment horizontal="center" vertical="center"/>
    </xf>
    <xf numFmtId="0" fontId="12" fillId="0" borderId="0" xfId="0" applyFont="1" applyAlignment="1">
      <alignment horizontal="center" wrapText="1"/>
    </xf>
    <xf numFmtId="0" fontId="12" fillId="0" borderId="0" xfId="4" applyFont="1" applyAlignment="1">
      <alignment horizontal="center"/>
    </xf>
    <xf numFmtId="0" fontId="33" fillId="0" borderId="21" xfId="9" applyFont="1" applyBorder="1" applyAlignment="1">
      <alignment horizontal="center"/>
    </xf>
    <xf numFmtId="0" fontId="33" fillId="0" borderId="35" xfId="9" applyFont="1" applyBorder="1" applyAlignment="1">
      <alignment horizontal="center"/>
    </xf>
    <xf numFmtId="0" fontId="32" fillId="0" borderId="9" xfId="9" applyFont="1" applyBorder="1" applyAlignment="1">
      <alignment horizontal="center"/>
    </xf>
    <xf numFmtId="0" fontId="32" fillId="0" borderId="10" xfId="9" applyFont="1" applyBorder="1" applyAlignment="1">
      <alignment horizontal="center"/>
    </xf>
    <xf numFmtId="0" fontId="32" fillId="0" borderId="23" xfId="9" applyFont="1" applyBorder="1" applyAlignment="1">
      <alignment horizontal="center"/>
    </xf>
    <xf numFmtId="0" fontId="31" fillId="13" borderId="21" xfId="9" applyFont="1" applyFill="1" applyBorder="1" applyAlignment="1">
      <alignment horizontal="left" vertical="top" wrapText="1"/>
    </xf>
    <xf numFmtId="0" fontId="31" fillId="13" borderId="18" xfId="9" applyFont="1" applyFill="1" applyBorder="1" applyAlignment="1">
      <alignment horizontal="left" vertical="top" wrapText="1"/>
    </xf>
    <xf numFmtId="0" fontId="32" fillId="0" borderId="40" xfId="9" applyFont="1" applyBorder="1" applyAlignment="1">
      <alignment horizontal="center"/>
    </xf>
    <xf numFmtId="0" fontId="32" fillId="0" borderId="39" xfId="9" applyFont="1" applyBorder="1" applyAlignment="1">
      <alignment horizontal="center"/>
    </xf>
    <xf numFmtId="0" fontId="32" fillId="0" borderId="38" xfId="9" applyFont="1" applyBorder="1" applyAlignment="1">
      <alignment horizontal="center"/>
    </xf>
    <xf numFmtId="17" fontId="32" fillId="0" borderId="42" xfId="9" applyNumberFormat="1" applyFont="1" applyBorder="1" applyAlignment="1">
      <alignment horizontal="center"/>
    </xf>
    <xf numFmtId="0" fontId="32" fillId="0" borderId="41" xfId="9" applyFont="1" applyBorder="1" applyAlignment="1">
      <alignment horizontal="center"/>
    </xf>
    <xf numFmtId="0" fontId="31" fillId="13" borderId="25" xfId="9" applyFont="1" applyFill="1" applyBorder="1" applyAlignment="1">
      <alignment horizontal="left" vertical="top" wrapText="1"/>
    </xf>
    <xf numFmtId="0" fontId="31" fillId="13" borderId="36" xfId="9" applyFont="1" applyFill="1" applyBorder="1" applyAlignment="1">
      <alignment horizontal="left" vertical="top" wrapText="1"/>
    </xf>
    <xf numFmtId="0" fontId="31" fillId="13" borderId="34" xfId="9" applyFont="1" applyFill="1" applyBorder="1" applyAlignment="1">
      <alignment horizontal="left" vertical="top" wrapText="1"/>
    </xf>
    <xf numFmtId="0" fontId="31" fillId="13" borderId="33" xfId="9" applyFont="1" applyFill="1" applyBorder="1" applyAlignment="1">
      <alignment horizontal="left" vertical="top" wrapText="1"/>
    </xf>
    <xf numFmtId="0" fontId="31" fillId="13" borderId="32" xfId="9" applyFont="1" applyFill="1" applyBorder="1" applyAlignment="1">
      <alignment horizontal="left" vertical="top" wrapText="1"/>
    </xf>
    <xf numFmtId="0" fontId="31" fillId="13" borderId="31" xfId="9" applyFont="1" applyFill="1" applyBorder="1" applyAlignment="1">
      <alignment horizontal="left" vertical="top" wrapText="1"/>
    </xf>
    <xf numFmtId="0" fontId="34" fillId="0" borderId="45" xfId="9" applyFont="1" applyBorder="1" applyAlignment="1">
      <alignment horizontal="center"/>
    </xf>
    <xf numFmtId="0" fontId="34" fillId="0" borderId="44" xfId="9" applyFont="1" applyBorder="1" applyAlignment="1">
      <alignment horizontal="center"/>
    </xf>
    <xf numFmtId="0" fontId="34" fillId="0" borderId="43" xfId="9" applyFont="1" applyBorder="1" applyAlignment="1">
      <alignment horizontal="center"/>
    </xf>
    <xf numFmtId="0" fontId="39" fillId="0" borderId="0" xfId="0" applyFont="1" applyAlignment="1">
      <alignment vertical="center"/>
    </xf>
    <xf numFmtId="0" fontId="3" fillId="0" borderId="0" xfId="0" applyFont="1" applyAlignment="1">
      <alignment vertical="top" wrapText="1"/>
    </xf>
    <xf numFmtId="0" fontId="6" fillId="3" borderId="0" xfId="0" applyFont="1" applyFill="1" applyAlignment="1">
      <alignment horizontal="left" vertical="center"/>
    </xf>
    <xf numFmtId="0" fontId="3" fillId="0" borderId="0" xfId="0" applyFont="1" applyAlignment="1">
      <alignment vertical="center" wrapText="1"/>
    </xf>
    <xf numFmtId="165" fontId="3" fillId="0" borderId="1" xfId="0" quotePrefix="1" applyNumberFormat="1" applyFont="1" applyBorder="1" applyAlignment="1">
      <alignment horizontal="left" vertical="center"/>
    </xf>
    <xf numFmtId="165" fontId="3" fillId="0" borderId="0" xfId="0" quotePrefix="1" applyNumberFormat="1" applyFont="1" applyAlignment="1">
      <alignment horizontal="left" vertical="center"/>
    </xf>
    <xf numFmtId="0" fontId="6" fillId="3" borderId="0" xfId="0" applyFont="1" applyFill="1" applyAlignment="1">
      <alignment horizontal="left" vertical="center" wrapText="1"/>
    </xf>
    <xf numFmtId="0" fontId="6" fillId="14" borderId="0" xfId="0" applyFont="1" applyFill="1" applyAlignment="1">
      <alignment vertical="center"/>
    </xf>
    <xf numFmtId="165" fontId="3" fillId="4" borderId="0" xfId="0" quotePrefix="1" applyNumberFormat="1" applyFont="1" applyFill="1" applyAlignment="1">
      <alignment horizontal="left" vertical="center"/>
    </xf>
    <xf numFmtId="182" fontId="3" fillId="4" borderId="0" xfId="11" applyNumberFormat="1" applyFont="1" applyFill="1" applyBorder="1" applyAlignment="1">
      <alignment horizontal="left" vertical="center"/>
    </xf>
    <xf numFmtId="182" fontId="3" fillId="4" borderId="1" xfId="11" applyNumberFormat="1" applyFont="1" applyFill="1" applyBorder="1" applyAlignment="1">
      <alignment horizontal="left" vertical="center"/>
    </xf>
    <xf numFmtId="0" fontId="3" fillId="0" borderId="1" xfId="0" applyFont="1" applyBorder="1" applyAlignment="1">
      <alignment vertical="center" wrapText="1"/>
    </xf>
    <xf numFmtId="0" fontId="3" fillId="0" borderId="0" xfId="0" applyFont="1" applyAlignment="1">
      <alignment horizontal="left" vertical="center"/>
    </xf>
    <xf numFmtId="0" fontId="6" fillId="3" borderId="3" xfId="0" applyFont="1" applyFill="1" applyBorder="1" applyAlignment="1">
      <alignment horizontal="left" vertical="center"/>
    </xf>
    <xf numFmtId="0" fontId="40" fillId="3" borderId="46" xfId="0" applyFont="1" applyFill="1" applyBorder="1" applyAlignment="1">
      <alignment vertical="center" wrapText="1"/>
    </xf>
    <xf numFmtId="164" fontId="6" fillId="5" borderId="4" xfId="2" applyFont="1" applyFill="1" applyBorder="1" applyAlignment="1">
      <alignment vertical="center"/>
    </xf>
    <xf numFmtId="164" fontId="6" fillId="5" borderId="4" xfId="2" applyFont="1" applyFill="1" applyBorder="1" applyAlignment="1">
      <alignment horizontal="left" vertical="center"/>
    </xf>
    <xf numFmtId="164" fontId="6" fillId="5" borderId="4" xfId="2" applyFont="1" applyFill="1" applyBorder="1" applyAlignment="1">
      <alignment vertical="center" wrapText="1"/>
    </xf>
    <xf numFmtId="0" fontId="3" fillId="0" borderId="0" xfId="0" applyFont="1" applyAlignment="1">
      <alignment horizontal="right" wrapText="1"/>
    </xf>
    <xf numFmtId="183" fontId="3" fillId="0" borderId="0" xfId="0" applyNumberFormat="1" applyFont="1" applyAlignment="1">
      <alignment horizontal="left" vertical="center"/>
    </xf>
    <xf numFmtId="182" fontId="3" fillId="0" borderId="0" xfId="11" applyNumberFormat="1" applyFont="1" applyAlignment="1">
      <alignment horizontal="left" vertical="center"/>
    </xf>
    <xf numFmtId="0" fontId="13" fillId="0" borderId="47" xfId="0" applyFont="1" applyBorder="1" applyAlignment="1">
      <alignment vertical="center"/>
    </xf>
    <xf numFmtId="182" fontId="13" fillId="0" borderId="47" xfId="11" applyNumberFormat="1" applyFont="1" applyBorder="1" applyAlignment="1">
      <alignment horizontal="left" vertical="center"/>
    </xf>
    <xf numFmtId="0" fontId="13" fillId="0" borderId="47" xfId="0" applyFont="1" applyBorder="1" applyAlignment="1">
      <alignment vertical="center" wrapText="1"/>
    </xf>
    <xf numFmtId="0" fontId="41" fillId="0" borderId="0" xfId="0" applyFont="1" applyAlignment="1">
      <alignment vertical="center"/>
    </xf>
    <xf numFmtId="0" fontId="41" fillId="0" borderId="0" xfId="0" applyFont="1" applyAlignment="1">
      <alignment vertical="center" wrapText="1"/>
    </xf>
    <xf numFmtId="0" fontId="41" fillId="0" borderId="0" xfId="0" applyFont="1" applyAlignment="1">
      <alignment vertical="top"/>
    </xf>
    <xf numFmtId="0" fontId="43" fillId="0" borderId="0" xfId="9" applyFont="1"/>
    <xf numFmtId="10" fontId="30" fillId="15" borderId="21" xfId="9" applyNumberFormat="1" applyFill="1" applyBorder="1"/>
    <xf numFmtId="0" fontId="30" fillId="0" borderId="55" xfId="9" applyBorder="1"/>
    <xf numFmtId="0" fontId="35" fillId="0" borderId="21" xfId="9" applyFont="1" applyBorder="1" applyAlignment="1">
      <alignment wrapText="1"/>
    </xf>
    <xf numFmtId="0" fontId="35" fillId="0" borderId="21" xfId="9" applyFont="1" applyBorder="1" applyAlignment="1">
      <alignment horizontal="center" wrapText="1"/>
    </xf>
    <xf numFmtId="10" fontId="35" fillId="0" borderId="21" xfId="9" applyNumberFormat="1" applyFont="1" applyBorder="1" applyAlignment="1">
      <alignment horizontal="center" wrapText="1"/>
    </xf>
    <xf numFmtId="2" fontId="35" fillId="0" borderId="21" xfId="9" applyNumberFormat="1" applyFont="1" applyBorder="1" applyAlignment="1">
      <alignment horizontal="center" wrapText="1"/>
    </xf>
    <xf numFmtId="0" fontId="35" fillId="0" borderId="0" xfId="9" applyFont="1" applyAlignment="1">
      <alignment wrapText="1"/>
    </xf>
    <xf numFmtId="0" fontId="29" fillId="0" borderId="0" xfId="9" applyFont="1" applyAlignment="1">
      <alignment horizontal="left"/>
    </xf>
    <xf numFmtId="0" fontId="29" fillId="0" borderId="0" xfId="9" applyFont="1"/>
    <xf numFmtId="10" fontId="29" fillId="0" borderId="0" xfId="9" applyNumberFormat="1" applyFont="1"/>
    <xf numFmtId="2" fontId="29" fillId="0" borderId="0" xfId="9" applyNumberFormat="1" applyFont="1"/>
    <xf numFmtId="10" fontId="47" fillId="0" borderId="0" xfId="9" applyNumberFormat="1" applyFont="1"/>
    <xf numFmtId="0" fontId="48" fillId="0" borderId="0" xfId="9" applyFont="1"/>
    <xf numFmtId="0" fontId="49" fillId="13" borderId="21" xfId="9" applyFont="1" applyFill="1" applyBorder="1"/>
    <xf numFmtId="0" fontId="42" fillId="13" borderId="21" xfId="9" applyFont="1" applyFill="1" applyBorder="1" applyAlignment="1">
      <alignment horizontal="center"/>
    </xf>
    <xf numFmtId="0" fontId="49" fillId="13" borderId="21" xfId="9" applyFont="1" applyFill="1" applyBorder="1" applyAlignment="1">
      <alignment horizontal="center"/>
    </xf>
    <xf numFmtId="0" fontId="42" fillId="13" borderId="21" xfId="9" applyFont="1" applyFill="1" applyBorder="1"/>
    <xf numFmtId="0" fontId="50" fillId="0" borderId="21" xfId="9" applyFont="1" applyBorder="1" applyAlignment="1">
      <alignment horizontal="center"/>
    </xf>
    <xf numFmtId="10" fontId="50" fillId="0" borderId="21" xfId="9" applyNumberFormat="1" applyFont="1" applyBorder="1" applyAlignment="1">
      <alignment horizontal="center"/>
    </xf>
    <xf numFmtId="0" fontId="36" fillId="17" borderId="21" xfId="9" applyFont="1" applyFill="1" applyBorder="1"/>
    <xf numFmtId="0" fontId="30" fillId="0" borderId="0" xfId="9" applyAlignment="1">
      <alignment horizontal="center"/>
    </xf>
    <xf numFmtId="10" fontId="30" fillId="0" borderId="0" xfId="9" applyNumberFormat="1" applyAlignment="1">
      <alignment horizontal="center"/>
    </xf>
    <xf numFmtId="0" fontId="36" fillId="13" borderId="21" xfId="9" applyFont="1" applyFill="1" applyBorder="1"/>
    <xf numFmtId="0" fontId="51" fillId="13" borderId="56" xfId="9" applyFont="1" applyFill="1" applyBorder="1" applyAlignment="1">
      <alignment horizontal="left"/>
    </xf>
    <xf numFmtId="0" fontId="51" fillId="0" borderId="56" xfId="9" applyFont="1" applyBorder="1" applyAlignment="1">
      <alignment horizontal="left"/>
    </xf>
    <xf numFmtId="0" fontId="35" fillId="0" borderId="55" xfId="9" applyFont="1" applyBorder="1"/>
    <xf numFmtId="0" fontId="35" fillId="0" borderId="55" xfId="9" applyFont="1" applyBorder="1" applyAlignment="1">
      <alignment horizontal="center"/>
    </xf>
    <xf numFmtId="10" fontId="30" fillId="0" borderId="55" xfId="9" applyNumberFormat="1" applyBorder="1" applyAlignment="1">
      <alignment horizontal="center"/>
    </xf>
    <xf numFmtId="0" fontId="52" fillId="13" borderId="9" xfId="9" applyFont="1" applyFill="1" applyBorder="1" applyAlignment="1">
      <alignment horizontal="left" wrapText="1"/>
    </xf>
    <xf numFmtId="0" fontId="52" fillId="13" borderId="23" xfId="9" applyFont="1" applyFill="1" applyBorder="1" applyAlignment="1">
      <alignment horizontal="left" wrapText="1"/>
    </xf>
    <xf numFmtId="0" fontId="52" fillId="13" borderId="10" xfId="9" applyFont="1" applyFill="1" applyBorder="1" applyAlignment="1">
      <alignment horizontal="left" wrapText="1"/>
    </xf>
    <xf numFmtId="0" fontId="52" fillId="0" borderId="0" xfId="9" applyFont="1"/>
    <xf numFmtId="0" fontId="52" fillId="13" borderId="11" xfId="9" applyFont="1" applyFill="1" applyBorder="1" applyAlignment="1">
      <alignment horizontal="left" wrapText="1"/>
    </xf>
    <xf numFmtId="0" fontId="52" fillId="13" borderId="1" xfId="9" applyFont="1" applyFill="1" applyBorder="1" applyAlignment="1">
      <alignment horizontal="left" wrapText="1"/>
    </xf>
    <xf numFmtId="0" fontId="52" fillId="13" borderId="12" xfId="9" applyFont="1" applyFill="1" applyBorder="1" applyAlignment="1">
      <alignment horizontal="left" wrapText="1"/>
    </xf>
    <xf numFmtId="0" fontId="34" fillId="0" borderId="0" xfId="9" applyFont="1"/>
    <xf numFmtId="0" fontId="53" fillId="0" borderId="0" xfId="9" applyFont="1"/>
    <xf numFmtId="0" fontId="54" fillId="0" borderId="0" xfId="9" applyFont="1"/>
    <xf numFmtId="0" fontId="45" fillId="0" borderId="0" xfId="9" applyFont="1"/>
    <xf numFmtId="0" fontId="52" fillId="18" borderId="54" xfId="9" applyFont="1" applyFill="1" applyBorder="1" applyAlignment="1">
      <alignment horizontal="center"/>
    </xf>
    <xf numFmtId="0" fontId="55" fillId="0" borderId="0" xfId="9" applyFont="1"/>
    <xf numFmtId="179" fontId="52" fillId="16" borderId="21" xfId="9" applyNumberFormat="1" applyFont="1" applyFill="1" applyBorder="1"/>
    <xf numFmtId="176" fontId="52" fillId="16" borderId="54" xfId="9" applyNumberFormat="1" applyFont="1" applyFill="1" applyBorder="1"/>
    <xf numFmtId="10" fontId="52" fillId="16" borderId="54" xfId="9" applyNumberFormat="1" applyFont="1" applyFill="1" applyBorder="1"/>
    <xf numFmtId="2" fontId="34" fillId="16" borderId="54" xfId="9" applyNumberFormat="1" applyFont="1" applyFill="1" applyBorder="1" applyAlignment="1">
      <alignment horizontal="center"/>
    </xf>
    <xf numFmtId="0" fontId="34" fillId="16" borderId="57" xfId="9" applyFont="1" applyFill="1" applyBorder="1" applyAlignment="1">
      <alignment horizontal="center"/>
    </xf>
    <xf numFmtId="10" fontId="34" fillId="16" borderId="54" xfId="10" applyNumberFormat="1" applyFont="1" applyFill="1" applyBorder="1" applyAlignment="1">
      <alignment horizontal="center"/>
    </xf>
    <xf numFmtId="10" fontId="34" fillId="16" borderId="54" xfId="9" applyNumberFormat="1" applyFont="1" applyFill="1" applyBorder="1" applyAlignment="1">
      <alignment horizontal="center"/>
    </xf>
    <xf numFmtId="10" fontId="34" fillId="0" borderId="0" xfId="9" applyNumberFormat="1" applyFont="1" applyAlignment="1">
      <alignment horizontal="center"/>
    </xf>
    <xf numFmtId="10" fontId="53" fillId="0" borderId="0" xfId="9" applyNumberFormat="1" applyFont="1" applyAlignment="1">
      <alignment horizontal="center"/>
    </xf>
    <xf numFmtId="0" fontId="44" fillId="0" borderId="0" xfId="9" applyFont="1"/>
    <xf numFmtId="0" fontId="34" fillId="13" borderId="13" xfId="9" applyFont="1" applyFill="1" applyBorder="1" applyAlignment="1">
      <alignment horizontal="center"/>
    </xf>
    <xf numFmtId="0" fontId="34" fillId="13" borderId="14" xfId="9" applyFont="1" applyFill="1" applyBorder="1" applyAlignment="1">
      <alignment horizontal="center"/>
    </xf>
    <xf numFmtId="0" fontId="34" fillId="13" borderId="15" xfId="9" applyFont="1" applyFill="1" applyBorder="1" applyAlignment="1">
      <alignment horizontal="center"/>
    </xf>
    <xf numFmtId="0" fontId="54" fillId="0" borderId="21" xfId="9" applyFont="1" applyBorder="1" applyAlignment="1">
      <alignment horizontal="centerContinuous"/>
    </xf>
    <xf numFmtId="0" fontId="54" fillId="0" borderId="21" xfId="9" applyFont="1" applyBorder="1"/>
    <xf numFmtId="0" fontId="56" fillId="13" borderId="37" xfId="9" applyFont="1" applyFill="1" applyBorder="1"/>
    <xf numFmtId="0" fontId="57" fillId="13" borderId="37" xfId="9" applyFont="1" applyFill="1" applyBorder="1"/>
    <xf numFmtId="0" fontId="54" fillId="0" borderId="21" xfId="9" applyFont="1" applyBorder="1" applyAlignment="1">
      <alignment horizontal="center"/>
    </xf>
    <xf numFmtId="0" fontId="57" fillId="13" borderId="21" xfId="9" applyFont="1" applyFill="1" applyBorder="1"/>
    <xf numFmtId="10" fontId="57" fillId="13" borderId="21" xfId="10" applyNumberFormat="1" applyFont="1" applyFill="1" applyBorder="1"/>
    <xf numFmtId="0" fontId="52" fillId="0" borderId="21" xfId="9" applyFont="1" applyBorder="1" applyAlignment="1">
      <alignment horizontal="center"/>
    </xf>
    <xf numFmtId="10" fontId="52" fillId="0" borderId="31" xfId="10" applyNumberFormat="1" applyFont="1" applyBorder="1" applyAlignment="1">
      <alignment horizontal="center"/>
    </xf>
    <xf numFmtId="2" fontId="52" fillId="0" borderId="21" xfId="9" applyNumberFormat="1" applyFont="1" applyBorder="1" applyAlignment="1">
      <alignment horizontal="center"/>
    </xf>
    <xf numFmtId="0" fontId="52" fillId="0" borderId="21" xfId="9" applyFont="1" applyBorder="1" applyAlignment="1">
      <alignment horizontal="centerContinuous"/>
    </xf>
    <xf numFmtId="0" fontId="49" fillId="0" borderId="47" xfId="9" applyFont="1" applyBorder="1" applyAlignment="1">
      <alignment horizontal="center"/>
    </xf>
    <xf numFmtId="0" fontId="49" fillId="0" borderId="21" xfId="9" applyFont="1" applyBorder="1" applyAlignment="1">
      <alignment horizontal="center"/>
    </xf>
    <xf numFmtId="0" fontId="42" fillId="0" borderId="21" xfId="9" applyFont="1" applyBorder="1" applyAlignment="1">
      <alignment horizontal="center"/>
    </xf>
    <xf numFmtId="0" fontId="42" fillId="0" borderId="0" xfId="9" applyFont="1"/>
    <xf numFmtId="0" fontId="42" fillId="16" borderId="21" xfId="9" applyFont="1" applyFill="1" applyBorder="1"/>
    <xf numFmtId="10" fontId="42" fillId="16" borderId="21" xfId="10" applyNumberFormat="1" applyFont="1" applyFill="1" applyBorder="1" applyAlignment="1">
      <alignment horizontal="center"/>
    </xf>
    <xf numFmtId="10" fontId="42" fillId="16" borderId="21" xfId="9" applyNumberFormat="1" applyFont="1" applyFill="1" applyBorder="1" applyAlignment="1">
      <alignment horizontal="center"/>
    </xf>
    <xf numFmtId="179" fontId="42" fillId="16" borderId="21" xfId="12" applyFont="1" applyFill="1" applyBorder="1"/>
    <xf numFmtId="179" fontId="42" fillId="16" borderId="21" xfId="12" applyFont="1" applyFill="1" applyBorder="1" applyAlignment="1">
      <alignment horizontal="center"/>
    </xf>
    <xf numFmtId="179" fontId="58" fillId="19" borderId="21" xfId="12" applyFont="1" applyFill="1" applyBorder="1" applyAlignment="1">
      <alignment horizontal="center"/>
    </xf>
    <xf numFmtId="10" fontId="42" fillId="16" borderId="21" xfId="10" applyNumberFormat="1" applyFont="1" applyFill="1" applyBorder="1"/>
    <xf numFmtId="179" fontId="59" fillId="19" borderId="21" xfId="9" applyNumberFormat="1" applyFont="1" applyFill="1" applyBorder="1"/>
    <xf numFmtId="10" fontId="42" fillId="16" borderId="21" xfId="12" applyNumberFormat="1" applyFont="1" applyFill="1" applyBorder="1"/>
    <xf numFmtId="10" fontId="42" fillId="16" borderId="21" xfId="12" applyNumberFormat="1" applyFont="1" applyFill="1" applyBorder="1" applyAlignment="1">
      <alignment horizontal="center"/>
    </xf>
    <xf numFmtId="179" fontId="42" fillId="16" borderId="21" xfId="9" applyNumberFormat="1" applyFont="1" applyFill="1" applyBorder="1" applyAlignment="1">
      <alignment horizontal="center"/>
    </xf>
    <xf numFmtId="0" fontId="42" fillId="16" borderId="21" xfId="9" applyFont="1" applyFill="1" applyBorder="1" applyAlignment="1">
      <alignment horizontal="center"/>
    </xf>
    <xf numFmtId="177" fontId="42" fillId="16" borderId="21" xfId="9" applyNumberFormat="1" applyFont="1" applyFill="1" applyBorder="1" applyAlignment="1">
      <alignment horizontal="center"/>
    </xf>
    <xf numFmtId="0" fontId="42" fillId="0" borderId="0" xfId="9" applyFont="1" applyAlignment="1">
      <alignment horizontal="center"/>
    </xf>
    <xf numFmtId="0" fontId="42" fillId="0" borderId="21" xfId="9" applyFont="1" applyBorder="1"/>
    <xf numFmtId="179" fontId="42" fillId="0" borderId="0" xfId="9" applyNumberFormat="1" applyFont="1" applyAlignment="1">
      <alignment horizontal="center"/>
    </xf>
    <xf numFmtId="179" fontId="42" fillId="0" borderId="0" xfId="9" applyNumberFormat="1" applyFont="1" applyAlignment="1">
      <alignment horizontal="left"/>
    </xf>
    <xf numFmtId="179" fontId="42" fillId="16" borderId="21" xfId="9" applyNumberFormat="1" applyFont="1" applyFill="1" applyBorder="1"/>
    <xf numFmtId="10" fontId="42" fillId="16" borderId="21" xfId="9" applyNumberFormat="1" applyFont="1" applyFill="1" applyBorder="1"/>
    <xf numFmtId="176" fontId="42" fillId="16" borderId="21" xfId="9" applyNumberFormat="1" applyFont="1" applyFill="1" applyBorder="1"/>
    <xf numFmtId="187" fontId="42" fillId="16" borderId="21" xfId="9" applyNumberFormat="1" applyFont="1" applyFill="1" applyBorder="1"/>
    <xf numFmtId="43" fontId="42" fillId="16" borderId="21" xfId="13" applyFont="1" applyFill="1" applyBorder="1"/>
    <xf numFmtId="0" fontId="60" fillId="0" borderId="21" xfId="9" applyFont="1" applyBorder="1"/>
    <xf numFmtId="2" fontId="42" fillId="16" borderId="21" xfId="9" applyNumberFormat="1" applyFont="1" applyFill="1" applyBorder="1" applyAlignment="1">
      <alignment horizontal="center"/>
    </xf>
    <xf numFmtId="180" fontId="42" fillId="16" borderId="21" xfId="9" applyNumberFormat="1" applyFont="1" applyFill="1" applyBorder="1"/>
    <xf numFmtId="180" fontId="42" fillId="16" borderId="21" xfId="9" applyNumberFormat="1" applyFont="1" applyFill="1" applyBorder="1" applyAlignment="1">
      <alignment horizontal="center"/>
    </xf>
    <xf numFmtId="0" fontId="1" fillId="0" borderId="53" xfId="9" applyFont="1" applyBorder="1" applyAlignment="1">
      <alignment horizontal="center"/>
    </xf>
    <xf numFmtId="0" fontId="1" fillId="0" borderId="47" xfId="9" applyFont="1" applyBorder="1" applyAlignment="1">
      <alignment horizontal="center"/>
    </xf>
    <xf numFmtId="0" fontId="1" fillId="0" borderId="58" xfId="9" applyFont="1" applyBorder="1" applyAlignment="1">
      <alignment horizontal="center"/>
    </xf>
    <xf numFmtId="17" fontId="1" fillId="0" borderId="21" xfId="9" applyNumberFormat="1" applyFont="1" applyBorder="1"/>
    <xf numFmtId="0" fontId="61" fillId="13" borderId="21" xfId="9" applyFont="1" applyFill="1" applyBorder="1" applyAlignment="1">
      <alignment horizontal="center"/>
    </xf>
    <xf numFmtId="0" fontId="36" fillId="13" borderId="25" xfId="9" applyFont="1" applyFill="1" applyBorder="1" applyAlignment="1">
      <alignment horizontal="left" vertical="top" wrapText="1"/>
    </xf>
    <xf numFmtId="0" fontId="36" fillId="13" borderId="48" xfId="9" applyFont="1" applyFill="1" applyBorder="1" applyAlignment="1">
      <alignment horizontal="left" vertical="top" wrapText="1"/>
    </xf>
    <xf numFmtId="0" fontId="36" fillId="13" borderId="36" xfId="9" applyFont="1" applyFill="1" applyBorder="1" applyAlignment="1">
      <alignment horizontal="left" vertical="top" wrapText="1"/>
    </xf>
    <xf numFmtId="0" fontId="62" fillId="0" borderId="25" xfId="9" applyFont="1" applyBorder="1" applyAlignment="1">
      <alignment horizontal="left" wrapText="1"/>
    </xf>
    <xf numFmtId="0" fontId="63" fillId="0" borderId="48" xfId="9" applyFont="1" applyBorder="1" applyAlignment="1">
      <alignment horizontal="left" wrapText="1"/>
    </xf>
    <xf numFmtId="0" fontId="63" fillId="0" borderId="36" xfId="9" applyFont="1" applyBorder="1" applyAlignment="1">
      <alignment horizontal="left" wrapText="1"/>
    </xf>
    <xf numFmtId="0" fontId="36" fillId="13" borderId="34" xfId="9" applyFont="1" applyFill="1" applyBorder="1" applyAlignment="1">
      <alignment horizontal="left" vertical="top" wrapText="1"/>
    </xf>
    <xf numFmtId="0" fontId="36" fillId="13" borderId="0" xfId="9" applyFont="1" applyFill="1" applyAlignment="1">
      <alignment horizontal="left" vertical="top" wrapText="1"/>
    </xf>
    <xf numFmtId="0" fontId="36" fillId="13" borderId="33" xfId="9" applyFont="1" applyFill="1" applyBorder="1" applyAlignment="1">
      <alignment horizontal="left" vertical="top" wrapText="1"/>
    </xf>
    <xf numFmtId="0" fontId="63" fillId="0" borderId="34" xfId="9" applyFont="1" applyBorder="1" applyAlignment="1">
      <alignment horizontal="left" wrapText="1"/>
    </xf>
    <xf numFmtId="0" fontId="63" fillId="0" borderId="0" xfId="9" applyFont="1" applyAlignment="1">
      <alignment horizontal="left" wrapText="1"/>
    </xf>
    <xf numFmtId="0" fontId="63" fillId="0" borderId="33" xfId="9" applyFont="1" applyBorder="1" applyAlignment="1">
      <alignment horizontal="left" wrapText="1"/>
    </xf>
    <xf numFmtId="0" fontId="36" fillId="13" borderId="32" xfId="9" applyFont="1" applyFill="1" applyBorder="1" applyAlignment="1">
      <alignment horizontal="left" vertical="top" wrapText="1"/>
    </xf>
    <xf numFmtId="0" fontId="36" fillId="13" borderId="51" xfId="9" applyFont="1" applyFill="1" applyBorder="1" applyAlignment="1">
      <alignment horizontal="left" vertical="top" wrapText="1"/>
    </xf>
    <xf numFmtId="0" fontId="36" fillId="13" borderId="31" xfId="9" applyFont="1" applyFill="1" applyBorder="1" applyAlignment="1">
      <alignment horizontal="left" vertical="top" wrapText="1"/>
    </xf>
    <xf numFmtId="0" fontId="63" fillId="0" borderId="32" xfId="9" applyFont="1" applyBorder="1" applyAlignment="1">
      <alignment horizontal="left" wrapText="1"/>
    </xf>
    <xf numFmtId="0" fontId="63" fillId="0" borderId="51" xfId="9" applyFont="1" applyBorder="1" applyAlignment="1">
      <alignment horizontal="left" wrapText="1"/>
    </xf>
    <xf numFmtId="0" fontId="63" fillId="0" borderId="31" xfId="9" applyFont="1" applyBorder="1" applyAlignment="1">
      <alignment horizontal="left" wrapText="1"/>
    </xf>
    <xf numFmtId="0" fontId="61" fillId="0" borderId="53" xfId="9" applyFont="1" applyBorder="1" applyAlignment="1">
      <alignment horizontal="center"/>
    </xf>
    <xf numFmtId="0" fontId="61" fillId="0" borderId="47" xfId="9" applyFont="1" applyBorder="1" applyAlignment="1">
      <alignment horizontal="center"/>
    </xf>
    <xf numFmtId="0" fontId="61" fillId="0" borderId="58" xfId="9" applyFont="1" applyBorder="1" applyAlignment="1">
      <alignment horizontal="center"/>
    </xf>
    <xf numFmtId="0" fontId="50" fillId="0" borderId="59" xfId="9" applyFont="1" applyBorder="1"/>
    <xf numFmtId="0" fontId="64" fillId="0" borderId="37" xfId="9" applyFont="1" applyBorder="1" applyAlignment="1">
      <alignment horizontal="center"/>
    </xf>
    <xf numFmtId="0" fontId="64" fillId="0" borderId="21" xfId="9" applyFont="1" applyBorder="1" applyAlignment="1">
      <alignment horizontal="center"/>
    </xf>
    <xf numFmtId="16" fontId="64" fillId="0" borderId="37" xfId="9" applyNumberFormat="1" applyFont="1" applyBorder="1" applyAlignment="1">
      <alignment horizontal="center"/>
    </xf>
    <xf numFmtId="0" fontId="64" fillId="0" borderId="60" xfId="9" applyFont="1" applyBorder="1" applyAlignment="1">
      <alignment horizontal="center"/>
    </xf>
    <xf numFmtId="0" fontId="50" fillId="0" borderId="61" xfId="9" applyFont="1" applyBorder="1"/>
    <xf numFmtId="176" fontId="50" fillId="0" borderId="21" xfId="12" applyNumberFormat="1" applyFont="1" applyBorder="1" applyAlignment="1">
      <alignment horizontal="center"/>
    </xf>
    <xf numFmtId="169" fontId="36" fillId="0" borderId="21" xfId="10" applyNumberFormat="1" applyFont="1" applyBorder="1" applyAlignment="1">
      <alignment horizontal="center"/>
    </xf>
    <xf numFmtId="10" fontId="50" fillId="13" borderId="21" xfId="9" applyNumberFormat="1" applyFont="1" applyFill="1" applyBorder="1" applyAlignment="1">
      <alignment horizontal="center"/>
    </xf>
    <xf numFmtId="0" fontId="50" fillId="13" borderId="47" xfId="9" applyFont="1" applyFill="1" applyBorder="1" applyAlignment="1">
      <alignment horizontal="left"/>
    </xf>
    <xf numFmtId="0" fontId="37" fillId="0" borderId="25" xfId="9" applyFont="1" applyBorder="1" applyAlignment="1">
      <alignment horizontal="left" vertical="center" wrapText="1"/>
    </xf>
    <xf numFmtId="0" fontId="37" fillId="0" borderId="48" xfId="9" applyFont="1" applyBorder="1" applyAlignment="1">
      <alignment horizontal="left" vertical="center" wrapText="1"/>
    </xf>
    <xf numFmtId="0" fontId="37" fillId="0" borderId="36" xfId="9" applyFont="1" applyBorder="1" applyAlignment="1">
      <alignment horizontal="left" vertical="center" wrapText="1"/>
    </xf>
    <xf numFmtId="10" fontId="50" fillId="13" borderId="53" xfId="9" applyNumberFormat="1" applyFont="1" applyFill="1" applyBorder="1" applyAlignment="1">
      <alignment horizontal="center"/>
    </xf>
    <xf numFmtId="10" fontId="50" fillId="13" borderId="58" xfId="9" applyNumberFormat="1" applyFont="1" applyFill="1" applyBorder="1" applyAlignment="1">
      <alignment horizontal="center"/>
    </xf>
    <xf numFmtId="0" fontId="50" fillId="13" borderId="47" xfId="9" applyFont="1" applyFill="1" applyBorder="1" applyAlignment="1">
      <alignment wrapText="1"/>
    </xf>
    <xf numFmtId="0" fontId="37" fillId="0" borderId="34" xfId="9" applyFont="1" applyBorder="1" applyAlignment="1">
      <alignment horizontal="left" vertical="center" wrapText="1"/>
    </xf>
    <xf numFmtId="0" fontId="37" fillId="0" borderId="0" xfId="9" applyFont="1" applyAlignment="1">
      <alignment horizontal="left" vertical="center" wrapText="1"/>
    </xf>
    <xf numFmtId="0" fontId="37" fillId="0" borderId="33" xfId="9" applyFont="1" applyBorder="1" applyAlignment="1">
      <alignment horizontal="left" vertical="center" wrapText="1"/>
    </xf>
    <xf numFmtId="10" fontId="36" fillId="0" borderId="21" xfId="9" applyNumberFormat="1" applyFont="1" applyBorder="1" applyAlignment="1">
      <alignment horizontal="center"/>
    </xf>
    <xf numFmtId="0" fontId="50" fillId="13" borderId="47" xfId="9" applyFont="1" applyFill="1" applyBorder="1"/>
    <xf numFmtId="2" fontId="36" fillId="0" borderId="21" xfId="9" applyNumberFormat="1" applyFont="1" applyBorder="1" applyAlignment="1">
      <alignment horizontal="center"/>
    </xf>
    <xf numFmtId="2" fontId="50" fillId="13" borderId="21" xfId="9" applyNumberFormat="1" applyFont="1" applyFill="1" applyBorder="1" applyAlignment="1">
      <alignment horizontal="center"/>
    </xf>
    <xf numFmtId="2" fontId="50" fillId="13" borderId="58" xfId="9" applyNumberFormat="1" applyFont="1" applyFill="1" applyBorder="1" applyAlignment="1">
      <alignment horizontal="center"/>
    </xf>
    <xf numFmtId="10" fontId="50" fillId="0" borderId="58" xfId="10" applyNumberFormat="1" applyFont="1" applyBorder="1" applyAlignment="1">
      <alignment horizontal="center"/>
    </xf>
    <xf numFmtId="0" fontId="50" fillId="0" borderId="62" xfId="9" applyFont="1" applyBorder="1"/>
    <xf numFmtId="10" fontId="50" fillId="0" borderId="52" xfId="9" applyNumberFormat="1" applyFont="1" applyBorder="1" applyAlignment="1">
      <alignment horizontal="center"/>
    </xf>
    <xf numFmtId="10" fontId="50" fillId="13" borderId="53" xfId="10" applyNumberFormat="1" applyFont="1" applyFill="1" applyBorder="1" applyAlignment="1">
      <alignment horizontal="center"/>
    </xf>
    <xf numFmtId="10" fontId="50" fillId="13" borderId="58" xfId="10" applyNumberFormat="1" applyFont="1" applyFill="1" applyBorder="1" applyAlignment="1">
      <alignment horizontal="center"/>
    </xf>
    <xf numFmtId="10" fontId="50" fillId="0" borderId="36" xfId="10" applyNumberFormat="1" applyFont="1" applyBorder="1" applyAlignment="1">
      <alignment horizontal="center"/>
    </xf>
    <xf numFmtId="0" fontId="50" fillId="13" borderId="48" xfId="9" applyFont="1" applyFill="1" applyBorder="1"/>
    <xf numFmtId="0" fontId="50" fillId="0" borderId="63" xfId="9" applyFont="1" applyBorder="1"/>
    <xf numFmtId="0" fontId="50" fillId="0" borderId="64" xfId="9" applyFont="1" applyBorder="1" applyAlignment="1">
      <alignment horizontal="center"/>
    </xf>
    <xf numFmtId="10" fontId="50" fillId="0" borderId="65" xfId="9" applyNumberFormat="1" applyFont="1" applyBorder="1" applyAlignment="1">
      <alignment horizontal="center"/>
    </xf>
    <xf numFmtId="0" fontId="50" fillId="13" borderId="66" xfId="9" applyFont="1" applyFill="1" applyBorder="1"/>
    <xf numFmtId="0" fontId="37" fillId="0" borderId="32" xfId="9" applyFont="1" applyBorder="1" applyAlignment="1">
      <alignment horizontal="left" vertical="center" wrapText="1"/>
    </xf>
    <xf numFmtId="0" fontId="37" fillId="0" borderId="51" xfId="9" applyFont="1" applyBorder="1" applyAlignment="1">
      <alignment horizontal="left" vertical="center" wrapText="1"/>
    </xf>
    <xf numFmtId="0" fontId="37" fillId="0" borderId="31" xfId="9" applyFont="1" applyBorder="1" applyAlignment="1">
      <alignment horizontal="left" vertical="center" wrapText="1"/>
    </xf>
    <xf numFmtId="0" fontId="61" fillId="0" borderId="67" xfId="9" applyFont="1" applyBorder="1" applyAlignment="1">
      <alignment horizontal="center"/>
    </xf>
    <xf numFmtId="0" fontId="64" fillId="0" borderId="68" xfId="9" applyFont="1" applyBorder="1" applyAlignment="1">
      <alignment horizontal="center"/>
    </xf>
    <xf numFmtId="0" fontId="64" fillId="0" borderId="69" xfId="9" applyFont="1" applyBorder="1" applyAlignment="1">
      <alignment horizontal="center"/>
    </xf>
    <xf numFmtId="188" fontId="64" fillId="0" borderId="69" xfId="9" applyNumberFormat="1" applyFont="1" applyBorder="1" applyAlignment="1">
      <alignment horizontal="center"/>
    </xf>
    <xf numFmtId="188" fontId="64" fillId="0" borderId="70" xfId="9" applyNumberFormat="1" applyFont="1" applyBorder="1" applyAlignment="1">
      <alignment horizontal="center"/>
    </xf>
    <xf numFmtId="0" fontId="65" fillId="0" borderId="25" xfId="9" applyFont="1" applyBorder="1" applyAlignment="1">
      <alignment horizontal="left" vertical="center" wrapText="1"/>
    </xf>
    <xf numFmtId="0" fontId="50" fillId="0" borderId="48" xfId="9" applyFont="1" applyBorder="1" applyAlignment="1">
      <alignment horizontal="left" vertical="center" wrapText="1"/>
    </xf>
    <xf numFmtId="0" fontId="50" fillId="0" borderId="36" xfId="9" applyFont="1" applyBorder="1" applyAlignment="1">
      <alignment horizontal="left" vertical="center" wrapText="1"/>
    </xf>
    <xf numFmtId="0" fontId="50" fillId="0" borderId="61" xfId="9" applyFont="1" applyBorder="1" applyAlignment="1">
      <alignment horizontal="center"/>
    </xf>
    <xf numFmtId="10" fontId="50" fillId="0" borderId="21" xfId="10" applyNumberFormat="1" applyFont="1" applyBorder="1" applyAlignment="1">
      <alignment horizontal="center"/>
    </xf>
    <xf numFmtId="176" fontId="50" fillId="0" borderId="53" xfId="12" applyNumberFormat="1" applyFont="1" applyBorder="1" applyAlignment="1">
      <alignment horizontal="center"/>
    </xf>
    <xf numFmtId="0" fontId="50" fillId="0" borderId="34" xfId="9" applyFont="1" applyBorder="1" applyAlignment="1">
      <alignment horizontal="left" vertical="center" wrapText="1"/>
    </xf>
    <xf numFmtId="0" fontId="50" fillId="0" borderId="0" xfId="9" applyFont="1" applyAlignment="1">
      <alignment horizontal="left" vertical="center" wrapText="1"/>
    </xf>
    <xf numFmtId="0" fontId="50" fillId="0" borderId="33" xfId="9" applyFont="1" applyBorder="1" applyAlignment="1">
      <alignment horizontal="left" vertical="center" wrapText="1"/>
    </xf>
    <xf numFmtId="0" fontId="50" fillId="0" borderId="63" xfId="9" applyFont="1" applyBorder="1" applyAlignment="1">
      <alignment horizontal="center"/>
    </xf>
    <xf numFmtId="176" fontId="50" fillId="0" borderId="65" xfId="12" applyNumberFormat="1" applyFont="1" applyBorder="1" applyAlignment="1">
      <alignment horizontal="center"/>
    </xf>
    <xf numFmtId="10" fontId="50" fillId="0" borderId="65" xfId="10" applyNumberFormat="1" applyFont="1" applyBorder="1" applyAlignment="1">
      <alignment horizontal="center"/>
    </xf>
    <xf numFmtId="0" fontId="50" fillId="0" borderId="32" xfId="9" applyFont="1" applyBorder="1" applyAlignment="1">
      <alignment horizontal="left" vertical="center" wrapText="1"/>
    </xf>
    <xf numFmtId="0" fontId="50" fillId="0" borderId="51" xfId="9" applyFont="1" applyBorder="1" applyAlignment="1">
      <alignment horizontal="left" vertical="center" wrapText="1"/>
    </xf>
    <xf numFmtId="0" fontId="50" fillId="0" borderId="31" xfId="9" applyFont="1" applyBorder="1" applyAlignment="1">
      <alignment horizontal="left" vertical="center" wrapText="1"/>
    </xf>
    <xf numFmtId="0" fontId="50" fillId="0" borderId="71" xfId="9" applyFont="1" applyBorder="1" applyAlignment="1">
      <alignment horizontal="left"/>
    </xf>
    <xf numFmtId="0" fontId="50" fillId="0" borderId="72" xfId="9" applyFont="1" applyBorder="1" applyAlignment="1">
      <alignment horizontal="left"/>
    </xf>
    <xf numFmtId="176" fontId="38" fillId="19" borderId="73" xfId="12" applyNumberFormat="1" applyFont="1" applyFill="1" applyBorder="1"/>
    <xf numFmtId="180" fontId="50" fillId="0" borderId="23" xfId="12" applyNumberFormat="1" applyFont="1" applyFill="1" applyBorder="1"/>
    <xf numFmtId="0" fontId="50" fillId="0" borderId="23" xfId="9" applyFont="1" applyBorder="1"/>
    <xf numFmtId="0" fontId="50" fillId="0" borderId="10" xfId="9" applyFont="1" applyBorder="1"/>
    <xf numFmtId="0" fontId="37" fillId="0" borderId="49" xfId="9" applyFont="1" applyBorder="1" applyAlignment="1">
      <alignment horizontal="left" vertical="center" wrapText="1"/>
    </xf>
    <xf numFmtId="0" fontId="50" fillId="0" borderId="74" xfId="9" applyFont="1" applyBorder="1" applyAlignment="1">
      <alignment horizontal="left"/>
    </xf>
    <xf numFmtId="0" fontId="50" fillId="0" borderId="47" xfId="9" applyFont="1" applyBorder="1" applyAlignment="1">
      <alignment horizontal="left"/>
    </xf>
    <xf numFmtId="180" fontId="50" fillId="0" borderId="0" xfId="12" applyNumberFormat="1" applyFont="1" applyFill="1" applyBorder="1"/>
    <xf numFmtId="0" fontId="50" fillId="0" borderId="0" xfId="9" applyFont="1"/>
    <xf numFmtId="0" fontId="50" fillId="0" borderId="50" xfId="9" applyFont="1" applyBorder="1"/>
    <xf numFmtId="180" fontId="50" fillId="13" borderId="47" xfId="12" applyNumberFormat="1" applyFont="1" applyFill="1" applyBorder="1" applyAlignment="1">
      <alignment horizontal="right"/>
    </xf>
    <xf numFmtId="10" fontId="50" fillId="13" borderId="58" xfId="9" applyNumberFormat="1" applyFont="1" applyFill="1" applyBorder="1" applyAlignment="1">
      <alignment horizontal="left"/>
    </xf>
    <xf numFmtId="0" fontId="50" fillId="0" borderId="61" xfId="9" applyFont="1" applyBorder="1" applyAlignment="1">
      <alignment horizontal="left"/>
    </xf>
    <xf numFmtId="0" fontId="50" fillId="0" borderId="21" xfId="9" applyFont="1" applyBorder="1" applyAlignment="1">
      <alignment horizontal="left"/>
    </xf>
    <xf numFmtId="0" fontId="50" fillId="0" borderId="53" xfId="9" applyFont="1" applyBorder="1" applyAlignment="1">
      <alignment horizontal="left"/>
    </xf>
    <xf numFmtId="43" fontId="38" fillId="19" borderId="73" xfId="9" applyNumberFormat="1" applyFont="1" applyFill="1" applyBorder="1"/>
    <xf numFmtId="0" fontId="50" fillId="0" borderId="0" xfId="9" applyFont="1" applyAlignment="1">
      <alignment horizontal="left"/>
    </xf>
    <xf numFmtId="0" fontId="50" fillId="0" borderId="63" xfId="9" applyFont="1" applyBorder="1" applyAlignment="1">
      <alignment horizontal="left"/>
    </xf>
    <xf numFmtId="0" fontId="50" fillId="0" borderId="65" xfId="9" applyFont="1" applyBorder="1" applyAlignment="1">
      <alignment horizontal="left"/>
    </xf>
    <xf numFmtId="0" fontId="50" fillId="0" borderId="64" xfId="9" applyFont="1" applyBorder="1" applyAlignment="1">
      <alignment horizontal="left"/>
    </xf>
    <xf numFmtId="0" fontId="50" fillId="0" borderId="14" xfId="9" applyFont="1" applyBorder="1" applyAlignment="1">
      <alignment horizontal="right"/>
    </xf>
    <xf numFmtId="176" fontId="50" fillId="0" borderId="15" xfId="9" applyNumberFormat="1" applyFont="1" applyBorder="1" applyAlignment="1">
      <alignment horizontal="left"/>
    </xf>
    <xf numFmtId="0" fontId="66" fillId="0" borderId="0" xfId="9" applyFont="1"/>
    <xf numFmtId="179" fontId="30" fillId="0" borderId="0" xfId="9" applyNumberFormat="1"/>
    <xf numFmtId="0" fontId="67" fillId="0" borderId="0" xfId="9" applyFont="1"/>
    <xf numFmtId="0" fontId="68" fillId="0" borderId="0" xfId="9" applyFont="1"/>
    <xf numFmtId="0" fontId="69" fillId="13" borderId="13" xfId="9" applyFont="1" applyFill="1" applyBorder="1" applyAlignment="1">
      <alignment horizontal="center"/>
    </xf>
    <xf numFmtId="0" fontId="69" fillId="13" borderId="14" xfId="9" applyFont="1" applyFill="1" applyBorder="1" applyAlignment="1">
      <alignment horizontal="center"/>
    </xf>
    <xf numFmtId="0" fontId="69" fillId="13" borderId="15" xfId="9" applyFont="1" applyFill="1" applyBorder="1" applyAlignment="1">
      <alignment horizontal="center"/>
    </xf>
    <xf numFmtId="0" fontId="70" fillId="13" borderId="37" xfId="9" applyFont="1" applyFill="1" applyBorder="1"/>
    <xf numFmtId="0" fontId="71" fillId="13" borderId="37" xfId="9" applyFont="1" applyFill="1" applyBorder="1"/>
    <xf numFmtId="0" fontId="71" fillId="13" borderId="21" xfId="9" applyFont="1" applyFill="1" applyBorder="1"/>
    <xf numFmtId="10" fontId="71" fillId="13" borderId="21" xfId="10" applyNumberFormat="1" applyFont="1" applyFill="1" applyBorder="1"/>
    <xf numFmtId="0" fontId="71" fillId="13" borderId="0" xfId="9" applyFont="1" applyFill="1"/>
    <xf numFmtId="0" fontId="30" fillId="0" borderId="0" xfId="9" applyAlignment="1">
      <alignment horizontal="center"/>
    </xf>
    <xf numFmtId="0" fontId="72" fillId="0" borderId="0" xfId="9" applyFont="1"/>
    <xf numFmtId="0" fontId="72" fillId="0" borderId="21" xfId="9" applyFont="1" applyBorder="1"/>
    <xf numFmtId="0" fontId="73" fillId="0" borderId="21" xfId="9" applyFont="1" applyBorder="1" applyAlignment="1">
      <alignment horizontal="center"/>
    </xf>
    <xf numFmtId="0" fontId="74" fillId="0" borderId="52" xfId="9" applyFont="1" applyBorder="1" applyAlignment="1">
      <alignment horizontal="center" vertical="center" textRotation="90" wrapText="1"/>
    </xf>
    <xf numFmtId="0" fontId="72" fillId="0" borderId="21" xfId="9" applyFont="1" applyBorder="1" applyAlignment="1">
      <alignment horizontal="center"/>
    </xf>
    <xf numFmtId="10" fontId="72" fillId="13" borderId="21" xfId="9" applyNumberFormat="1" applyFont="1" applyFill="1" applyBorder="1" applyAlignment="1">
      <alignment horizontal="center"/>
    </xf>
    <xf numFmtId="10" fontId="30" fillId="0" borderId="0" xfId="9" applyNumberFormat="1"/>
    <xf numFmtId="0" fontId="74" fillId="0" borderId="67" xfId="9" applyFont="1" applyBorder="1" applyAlignment="1">
      <alignment horizontal="center" vertical="center" textRotation="90" wrapText="1"/>
    </xf>
    <xf numFmtId="0" fontId="74" fillId="0" borderId="37" xfId="9" applyFont="1" applyBorder="1" applyAlignment="1">
      <alignment horizontal="center" vertical="center" textRotation="90" wrapText="1"/>
    </xf>
    <xf numFmtId="0" fontId="72" fillId="0" borderId="0" xfId="9" applyFont="1" applyAlignment="1">
      <alignment horizontal="center"/>
    </xf>
    <xf numFmtId="10" fontId="72" fillId="0" borderId="0" xfId="9" applyNumberFormat="1" applyFont="1" applyAlignment="1">
      <alignment horizontal="center"/>
    </xf>
    <xf numFmtId="0" fontId="3" fillId="0" borderId="0" xfId="0" quotePrefix="1" applyFont="1" applyAlignment="1">
      <alignment vertical="center"/>
    </xf>
    <xf numFmtId="179" fontId="75" fillId="16" borderId="21" xfId="12" applyFont="1" applyFill="1" applyBorder="1"/>
    <xf numFmtId="0" fontId="76" fillId="0" borderId="21" xfId="0" applyFont="1" applyBorder="1"/>
    <xf numFmtId="10" fontId="76" fillId="15" borderId="21" xfId="0" applyNumberFormat="1" applyFont="1" applyFill="1" applyBorder="1" applyAlignment="1">
      <alignment horizontal="center"/>
    </xf>
    <xf numFmtId="2" fontId="76" fillId="15" borderId="21" xfId="0" applyNumberFormat="1" applyFont="1" applyFill="1" applyBorder="1" applyAlignment="1">
      <alignment horizontal="center"/>
    </xf>
  </cellXfs>
  <cellStyles count="14">
    <cellStyle name="Comma 2" xfId="7" xr:uid="{8E3E5EDF-82FB-6A4F-9B0B-3FE4561536BB}"/>
    <cellStyle name="Comma 3" xfId="13" xr:uid="{AD9D606B-6777-B048-B5F6-B7C2715BB498}"/>
    <cellStyle name="Currency 2" xfId="12" xr:uid="{154F6B8E-8A5E-7E4F-8AC0-9894B066A72B}"/>
    <cellStyle name="Hyperlink" xfId="3" builtinId="8"/>
    <cellStyle name="Hyperlink 2" xfId="5" xr:uid="{586FA9F6-24DD-B740-978F-ADBA2B30B44C}"/>
    <cellStyle name="Normal" xfId="0" builtinId="0"/>
    <cellStyle name="Normal 2" xfId="1" xr:uid="{67586D0C-F9B4-4E4E-8282-90774416EAC2}"/>
    <cellStyle name="Normal 3" xfId="4" xr:uid="{B821E68C-C7E6-8040-A742-F5D15DC2B88B}"/>
    <cellStyle name="Normal 4" xfId="9" xr:uid="{8126E44C-9B1A-5642-99B7-926A4FFDDE1B}"/>
    <cellStyle name="Normal 5" xfId="6" xr:uid="{62FFCF78-3CB6-534F-AB1A-96F91C559E26}"/>
    <cellStyle name="Normal 6" xfId="2" xr:uid="{9DFE6CBA-AC17-1347-BF9C-9BD256DEF5BF}"/>
    <cellStyle name="Per cent" xfId="11" builtinId="5"/>
    <cellStyle name="Per cent 2" xfId="10" xr:uid="{4C015BC0-1B7D-AE48-9692-ECC2F8EE1D50}"/>
    <cellStyle name="Percent 2" xfId="8" xr:uid="{665E71D5-1006-EE43-BFF1-897EAE71C4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Merck's Revenues by</a:t>
            </a:r>
            <a:r>
              <a:rPr lang="en-US" sz="1600" baseline="0"/>
              <a:t> Year</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GH"/>
        </a:p>
      </c:txPr>
    </c:title>
    <c:autoTitleDeleted val="0"/>
    <c:plotArea>
      <c:layout/>
      <c:scatterChart>
        <c:scatterStyle val="lineMarker"/>
        <c:varyColors val="0"/>
        <c:ser>
          <c:idx val="0"/>
          <c:order val="0"/>
          <c:tx>
            <c:strRef>
              <c:f>'YoY sales growth'!$B$2</c:f>
              <c:strCache>
                <c:ptCount val="1"/>
                <c:pt idx="0">
                  <c:v>Revenue ($M)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'YoY sales growth'!$A$3:$A$12</c:f>
              <c:numCache>
                <c:formatCode>General</c:formatCode>
                <c:ptCount val="10"/>
                <c:pt idx="0">
                  <c:v>2023</c:v>
                </c:pt>
                <c:pt idx="1">
                  <c:v>2022</c:v>
                </c:pt>
                <c:pt idx="2">
                  <c:v>2021</c:v>
                </c:pt>
                <c:pt idx="3">
                  <c:v>2020</c:v>
                </c:pt>
                <c:pt idx="4">
                  <c:v>2019</c:v>
                </c:pt>
                <c:pt idx="5">
                  <c:v>2018</c:v>
                </c:pt>
                <c:pt idx="6">
                  <c:v>2017</c:v>
                </c:pt>
              </c:numCache>
            </c:numRef>
          </c:xVal>
          <c:yVal>
            <c:numRef>
              <c:f>'YoY sales growth'!$B$3:$B$12</c:f>
              <c:numCache>
                <c:formatCode>0</c:formatCode>
                <c:ptCount val="10"/>
                <c:pt idx="0">
                  <c:v>7115</c:v>
                </c:pt>
                <c:pt idx="1">
                  <c:v>6324</c:v>
                </c:pt>
                <c:pt idx="2">
                  <c:v>5587</c:v>
                </c:pt>
                <c:pt idx="3">
                  <c:v>4720</c:v>
                </c:pt>
                <c:pt idx="4">
                  <c:v>4708</c:v>
                </c:pt>
                <c:pt idx="5">
                  <c:v>2463</c:v>
                </c:pt>
                <c:pt idx="6">
                  <c:v>1990</c:v>
                </c:pt>
              </c:numCache>
            </c:numRef>
          </c:yVal>
          <c:smooth val="0"/>
          <c:extLst>
            <c:ext xmlns:c16="http://schemas.microsoft.com/office/drawing/2014/chart" uri="{C3380CC4-5D6E-409C-BE32-E72D297353CC}">
              <c16:uniqueId val="{00000000-E1A8-5242-B6FB-5E45A455D1CF}"/>
            </c:ext>
          </c:extLst>
        </c:ser>
        <c:dLbls>
          <c:showLegendKey val="0"/>
          <c:showVal val="0"/>
          <c:showCatName val="0"/>
          <c:showSerName val="0"/>
          <c:showPercent val="0"/>
          <c:showBubbleSize val="0"/>
        </c:dLbls>
        <c:axId val="1464708015"/>
        <c:axId val="1903794623"/>
      </c:scatterChart>
      <c:valAx>
        <c:axId val="14647080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03794623"/>
        <c:crosses val="autoZero"/>
        <c:crossBetween val="midCat"/>
      </c:valAx>
      <c:valAx>
        <c:axId val="19037946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64708015"/>
        <c:crosses val="autoZero"/>
        <c:crossBetween val="midCat"/>
        <c:dispUnits>
          <c:builtInUnit val="thousands"/>
          <c:dispUnitsLbl>
            <c:layout>
              <c:manualLayout>
                <c:xMode val="edge"/>
                <c:yMode val="edge"/>
                <c:x val="2.9148721702318733E-2"/>
                <c:y val="0.46710706150341685"/>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billions </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13</xdr:col>
      <xdr:colOff>60960</xdr:colOff>
      <xdr:row>0</xdr:row>
      <xdr:rowOff>73660</xdr:rowOff>
    </xdr:from>
    <xdr:ext cx="2215478" cy="609013"/>
    <xdr:sp macro="" textlink="">
      <xdr:nvSpPr>
        <xdr:cNvPr id="2" name="TextBox 1">
          <a:extLst>
            <a:ext uri="{FF2B5EF4-FFF2-40B4-BE49-F238E27FC236}">
              <a16:creationId xmlns:a16="http://schemas.microsoft.com/office/drawing/2014/main" id="{F1F06E10-8710-DB4D-9712-5D49B216B6CF}"/>
            </a:ext>
          </a:extLst>
        </xdr:cNvPr>
        <xdr:cNvSpPr txBox="1"/>
      </xdr:nvSpPr>
      <xdr:spPr>
        <a:xfrm>
          <a:off x="16355060" y="736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41</xdr:row>
      <xdr:rowOff>40640</xdr:rowOff>
    </xdr:from>
    <xdr:ext cx="4613106" cy="780592"/>
    <xdr:sp macro="" textlink="">
      <xdr:nvSpPr>
        <xdr:cNvPr id="3" name="TextBox 2">
          <a:extLst>
            <a:ext uri="{FF2B5EF4-FFF2-40B4-BE49-F238E27FC236}">
              <a16:creationId xmlns:a16="http://schemas.microsoft.com/office/drawing/2014/main" id="{93089B4F-4E80-F347-BDB0-E82FD8CEA95D}"/>
            </a:ext>
          </a:extLst>
        </xdr:cNvPr>
        <xdr:cNvSpPr txBox="1"/>
      </xdr:nvSpPr>
      <xdr:spPr>
        <a:xfrm>
          <a:off x="13921740" y="8181340"/>
          <a:ext cx="4613106" cy="7805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14</xdr:col>
      <xdr:colOff>30480</xdr:colOff>
      <xdr:row>6</xdr:row>
      <xdr:rowOff>144780</xdr:rowOff>
    </xdr:from>
    <xdr:ext cx="2133600" cy="436786"/>
    <xdr:sp macro="" textlink="">
      <xdr:nvSpPr>
        <xdr:cNvPr id="4" name="TextBox 3">
          <a:extLst>
            <a:ext uri="{FF2B5EF4-FFF2-40B4-BE49-F238E27FC236}">
              <a16:creationId xmlns:a16="http://schemas.microsoft.com/office/drawing/2014/main" id="{FD2D28BE-F17E-A44B-8086-9A589782A904}"/>
            </a:ext>
          </a:extLst>
        </xdr:cNvPr>
        <xdr:cNvSpPr txBox="1"/>
      </xdr:nvSpPr>
      <xdr:spPr>
        <a:xfrm>
          <a:off x="17289780" y="1313180"/>
          <a:ext cx="2133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14</xdr:col>
      <xdr:colOff>10160</xdr:colOff>
      <xdr:row>3</xdr:row>
      <xdr:rowOff>144780</xdr:rowOff>
    </xdr:from>
    <xdr:ext cx="2895600" cy="436786"/>
    <xdr:sp macro="" textlink="">
      <xdr:nvSpPr>
        <xdr:cNvPr id="5" name="TextBox 4">
          <a:extLst>
            <a:ext uri="{FF2B5EF4-FFF2-40B4-BE49-F238E27FC236}">
              <a16:creationId xmlns:a16="http://schemas.microsoft.com/office/drawing/2014/main" id="{3D0A6DAF-DC6F-6343-B248-8B9070640F5D}"/>
            </a:ext>
          </a:extLst>
        </xdr:cNvPr>
        <xdr:cNvSpPr txBox="1"/>
      </xdr:nvSpPr>
      <xdr:spPr>
        <a:xfrm>
          <a:off x="17269460" y="741680"/>
          <a:ext cx="2895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865187</xdr:colOff>
      <xdr:row>4</xdr:row>
      <xdr:rowOff>85725</xdr:rowOff>
    </xdr:from>
    <xdr:to>
      <xdr:col>11</xdr:col>
      <xdr:colOff>19050</xdr:colOff>
      <xdr:row>19</xdr:row>
      <xdr:rowOff>15875</xdr:rowOff>
    </xdr:to>
    <xdr:graphicFrame macro="">
      <xdr:nvGraphicFramePr>
        <xdr:cNvPr id="2" name="Chart 1">
          <a:extLst>
            <a:ext uri="{FF2B5EF4-FFF2-40B4-BE49-F238E27FC236}">
              <a16:creationId xmlns:a16="http://schemas.microsoft.com/office/drawing/2014/main" id="{4C92C738-5783-0441-BE1E-C9A273E1FB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kobenaasabee/Downloads/For%20Website%202/Section%201%20-%20Corporate%20finance/Chapter%2005%20-%20Example%20(Merck)/FM5,%20Chapter%2005%20-%20Example.xlsm" TargetMode="External"/><Relationship Id="rId1" Type="http://schemas.openxmlformats.org/officeDocument/2006/relationships/externalLinkPath" Target="/Users/kobenaasabee/Downloads/For%20Website%202/Section%201%20-%20Corporate%20finance/Chapter%2005%20-%20Example%20(Merck)/FM5,%20Chapter%2005%20-%20Example.xlsm"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kobenaasabee/Downloads/Copy%20of%20fcffsimpleginzu.xlsx" TargetMode="External"/><Relationship Id="rId1" Type="http://schemas.openxmlformats.org/officeDocument/2006/relationships/externalLinkPath" Target="/Users/kobenaasabee/Downloads/Copy%20of%20fcffsimpleginz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erck Income Statement"/>
      <sheetName val="Merck Balance Sheet"/>
      <sheetName val="Merck Cash-flows"/>
      <sheetName val="YoY sales growth"/>
      <sheetName val="Operating costs analysis"/>
      <sheetName val="NWC analysis"/>
      <sheetName val="Fixed asset analysis"/>
      <sheetName val="Depreciation analysis"/>
      <sheetName val="Dividend analysis"/>
      <sheetName val="Liabilities analysis"/>
      <sheetName val="Tax rate analysis"/>
      <sheetName val="rf"/>
      <sheetName val="Cash and Equivalents"/>
      <sheetName val="Merck pro-forma"/>
      <sheetName val="WACC"/>
      <sheetName val="Muliple approach"/>
    </sheetNames>
    <sheetDataSet>
      <sheetData sheetId="0">
        <row r="3">
          <cell r="A3" t="str">
            <v>Sales</v>
          </cell>
        </row>
        <row r="14">
          <cell r="A14" t="str">
            <v>Income before taxes</v>
          </cell>
        </row>
        <row r="15">
          <cell r="A15" t="str">
            <v>Taxes on income</v>
          </cell>
        </row>
      </sheetData>
      <sheetData sheetId="1">
        <row r="2">
          <cell r="B2">
            <v>2015</v>
          </cell>
        </row>
      </sheetData>
      <sheetData sheetId="2">
        <row r="6">
          <cell r="A6" t="str">
            <v>Depreciation and amortization</v>
          </cell>
        </row>
      </sheetData>
      <sheetData sheetId="3">
        <row r="2">
          <cell r="B2" t="str">
            <v>Revenue ($M)</v>
          </cell>
        </row>
      </sheetData>
      <sheetData sheetId="4">
        <row r="2">
          <cell r="B2">
            <v>2015</v>
          </cell>
        </row>
      </sheetData>
      <sheetData sheetId="5">
        <row r="2">
          <cell r="B2">
            <v>2015</v>
          </cell>
        </row>
      </sheetData>
      <sheetData sheetId="6">
        <row r="3">
          <cell r="A3" t="str">
            <v>Property, plant and equipment (at cost) (PP&amp;E)</v>
          </cell>
        </row>
      </sheetData>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 sheet"/>
      <sheetName val="Valuation output"/>
      <sheetName val="Stories to Numbers"/>
      <sheetName val="Diagnostics"/>
      <sheetName val="Option value"/>
      <sheetName val="Synthetic rating"/>
      <sheetName val="R&amp; D converter"/>
      <sheetName val="Operating lease converter"/>
      <sheetName val="Cost of capital worksheet"/>
      <sheetName val="Failure Rate worksheet"/>
      <sheetName val="Country equity risk premiums"/>
      <sheetName val="Industry Averages(US)"/>
      <sheetName val="Industry Average Beta (Global)"/>
      <sheetName val="Input Stat Distributioons"/>
      <sheetName val="Trailing 12 month Worskheet"/>
      <sheetName val="Answer keys"/>
    </sheetNames>
    <sheetDataSet>
      <sheetData sheetId="0">
        <row r="3">
          <cell r="B3">
            <v>43861</v>
          </cell>
        </row>
        <row r="7">
          <cell r="B7" t="str">
            <v>United States</v>
          </cell>
        </row>
        <row r="48">
          <cell r="B48" t="str">
            <v>No</v>
          </cell>
        </row>
        <row r="49">
          <cell r="B49">
            <v>0.15</v>
          </cell>
        </row>
      </sheetData>
      <sheetData sheetId="1">
        <row r="1">
          <cell r="C1">
            <v>1</v>
          </cell>
          <cell r="D1">
            <v>2</v>
          </cell>
          <cell r="E1">
            <v>3</v>
          </cell>
          <cell r="F1">
            <v>4</v>
          </cell>
          <cell r="G1">
            <v>5</v>
          </cell>
          <cell r="H1">
            <v>6</v>
          </cell>
          <cell r="I1">
            <v>7</v>
          </cell>
          <cell r="J1">
            <v>8</v>
          </cell>
          <cell r="K1">
            <v>9</v>
          </cell>
          <cell r="L1">
            <v>10</v>
          </cell>
          <cell r="M1" t="str">
            <v>Terminal year</v>
          </cell>
        </row>
        <row r="2">
          <cell r="G2">
            <v>0.12</v>
          </cell>
        </row>
        <row r="19">
          <cell r="A19" t="str">
            <v>PV(Terminal value)</v>
          </cell>
        </row>
        <row r="20">
          <cell r="A20" t="str">
            <v>PV (CF over next 10 years)</v>
          </cell>
        </row>
        <row r="22">
          <cell r="A22" t="str">
            <v>Probability of failure =</v>
          </cell>
        </row>
        <row r="24">
          <cell r="A24" t="str">
            <v>Value of operating assets =</v>
          </cell>
        </row>
        <row r="25">
          <cell r="A25" t="str">
            <v xml:space="preserve"> - Debt</v>
          </cell>
        </row>
        <row r="26">
          <cell r="A26" t="str">
            <v xml:space="preserve"> - Minority interests</v>
          </cell>
        </row>
        <row r="27">
          <cell r="A27" t="str">
            <v xml:space="preserve"> +  Cash</v>
          </cell>
        </row>
        <row r="28">
          <cell r="A28" t="str">
            <v xml:space="preserve"> + Non-operating assets</v>
          </cell>
        </row>
        <row r="29">
          <cell r="A29" t="str">
            <v>Value of equity</v>
          </cell>
        </row>
        <row r="30">
          <cell r="A30" t="str">
            <v xml:space="preserve"> - Value of options</v>
          </cell>
        </row>
        <row r="31">
          <cell r="A31" t="str">
            <v>Value of equity in common stock</v>
          </cell>
        </row>
        <row r="32">
          <cell r="A32" t="str">
            <v>Number of shares</v>
          </cell>
        </row>
        <row r="33">
          <cell r="A33" t="str">
            <v>Estimated value /share</v>
          </cell>
        </row>
      </sheetData>
      <sheetData sheetId="2"/>
      <sheetData sheetId="3"/>
      <sheetData sheetId="4"/>
      <sheetData sheetId="5"/>
      <sheetData sheetId="6"/>
      <sheetData sheetId="7"/>
      <sheetData sheetId="8"/>
      <sheetData sheetId="9"/>
      <sheetData sheetId="10">
        <row r="5">
          <cell r="A5" t="str">
            <v>Abu Dhabi</v>
          </cell>
          <cell r="B5" t="str">
            <v>Aa2</v>
          </cell>
          <cell r="C5">
            <v>5.3778762707661788E-3</v>
          </cell>
        </row>
        <row r="6">
          <cell r="A6" t="str">
            <v>Albania</v>
          </cell>
          <cell r="B6" t="str">
            <v>B1</v>
          </cell>
          <cell r="C6">
            <v>4.9041109802463012E-2</v>
          </cell>
        </row>
        <row r="7">
          <cell r="A7" t="str">
            <v>Algeria</v>
          </cell>
          <cell r="B7" t="str">
            <v>NR</v>
          </cell>
          <cell r="C7">
            <v>4.9041109802463012E-2</v>
          </cell>
        </row>
        <row r="8">
          <cell r="A8" t="str">
            <v>Andorra (Principality of)</v>
          </cell>
          <cell r="B8" t="str">
            <v>Baa2</v>
          </cell>
          <cell r="C8">
            <v>2.0743237044383835E-2</v>
          </cell>
        </row>
        <row r="9">
          <cell r="A9" t="str">
            <v>Angola</v>
          </cell>
          <cell r="B9" t="str">
            <v>B3</v>
          </cell>
          <cell r="C9">
            <v>7.0808704231754685E-2</v>
          </cell>
        </row>
        <row r="10">
          <cell r="A10" t="str">
            <v>Anguilla</v>
          </cell>
          <cell r="B10" t="str">
            <v>NR</v>
          </cell>
          <cell r="C10">
            <v>0.1054310997313879</v>
          </cell>
        </row>
        <row r="11">
          <cell r="A11" t="str">
            <v>Antigua &amp; Barbuda</v>
          </cell>
          <cell r="B11" t="str">
            <v>NR</v>
          </cell>
          <cell r="C11">
            <v>0.1054310997313879</v>
          </cell>
        </row>
        <row r="12">
          <cell r="A12" t="str">
            <v>Argentina</v>
          </cell>
          <cell r="B12" t="str">
            <v>Ca</v>
          </cell>
          <cell r="C12">
            <v>0.13073361124886354</v>
          </cell>
        </row>
        <row r="13">
          <cell r="A13" t="str">
            <v>Armenia</v>
          </cell>
          <cell r="B13" t="str">
            <v>Ba3</v>
          </cell>
          <cell r="C13">
            <v>3.9181669972725021E-2</v>
          </cell>
        </row>
        <row r="14">
          <cell r="A14" t="str">
            <v>Aruba</v>
          </cell>
          <cell r="B14" t="str">
            <v>Baa2</v>
          </cell>
          <cell r="C14">
            <v>2.0743237044383835E-2</v>
          </cell>
        </row>
        <row r="15">
          <cell r="A15" t="str">
            <v>Australia</v>
          </cell>
          <cell r="B15" t="str">
            <v>Aaa</v>
          </cell>
          <cell r="C15">
            <v>0</v>
          </cell>
        </row>
        <row r="16">
          <cell r="A16" t="str">
            <v>Austria</v>
          </cell>
          <cell r="B16" t="str">
            <v>Aa1</v>
          </cell>
          <cell r="C16">
            <v>4.3535188858583353E-3</v>
          </cell>
        </row>
        <row r="17">
          <cell r="A17" t="str">
            <v>Azerbaijan</v>
          </cell>
          <cell r="B17" t="str">
            <v>Ba1</v>
          </cell>
          <cell r="C17">
            <v>2.7273515373171343E-2</v>
          </cell>
        </row>
        <row r="18">
          <cell r="A18" t="str">
            <v>Bahamas</v>
          </cell>
          <cell r="B18" t="str">
            <v>B1</v>
          </cell>
          <cell r="C18">
            <v>4.9041109802463012E-2</v>
          </cell>
        </row>
        <row r="19">
          <cell r="A19" t="str">
            <v>Bahrain</v>
          </cell>
          <cell r="B19" t="str">
            <v>B2</v>
          </cell>
          <cell r="C19">
            <v>5.9924907017108855E-2</v>
          </cell>
        </row>
        <row r="20">
          <cell r="A20" t="str">
            <v>Bangladesh</v>
          </cell>
          <cell r="B20" t="str">
            <v>B1</v>
          </cell>
          <cell r="C20">
            <v>4.9041109802463012E-2</v>
          </cell>
        </row>
        <row r="21">
          <cell r="A21" t="str">
            <v>Barbados</v>
          </cell>
          <cell r="B21" t="str">
            <v>B3</v>
          </cell>
          <cell r="C21">
            <v>7.0808704231754685E-2</v>
          </cell>
        </row>
        <row r="22">
          <cell r="A22" t="str">
            <v>Belarus</v>
          </cell>
          <cell r="B22" t="str">
            <v>C</v>
          </cell>
          <cell r="C22">
            <v>0.17499999999999999</v>
          </cell>
        </row>
        <row r="23">
          <cell r="A23" t="str">
            <v>Belgium</v>
          </cell>
          <cell r="B23" t="str">
            <v>Aa3</v>
          </cell>
          <cell r="C23">
            <v>6.5302783287875029E-3</v>
          </cell>
        </row>
        <row r="24">
          <cell r="A24" t="str">
            <v>Belize</v>
          </cell>
          <cell r="B24" t="str">
            <v>Caa2</v>
          </cell>
          <cell r="C24">
            <v>9.8082219604926024E-2</v>
          </cell>
        </row>
        <row r="25">
          <cell r="A25" t="str">
            <v>Benin</v>
          </cell>
          <cell r="B25" t="str">
            <v>B1</v>
          </cell>
          <cell r="C25">
            <v>4.9041109802463012E-2</v>
          </cell>
        </row>
        <row r="26">
          <cell r="A26" t="str">
            <v>Bermuda</v>
          </cell>
          <cell r="B26" t="str">
            <v>A2</v>
          </cell>
          <cell r="C26">
            <v>9.2192164641705932E-3</v>
          </cell>
        </row>
        <row r="27">
          <cell r="A27" t="str">
            <v>Bolivia</v>
          </cell>
          <cell r="B27" t="str">
            <v>Caa1</v>
          </cell>
          <cell r="C27">
            <v>8.1692501446400528E-2</v>
          </cell>
        </row>
        <row r="28">
          <cell r="A28" t="str">
            <v>Bosnia and Herzegovina</v>
          </cell>
          <cell r="B28" t="str">
            <v>B3</v>
          </cell>
          <cell r="C28">
            <v>7.0808704231754685E-2</v>
          </cell>
        </row>
        <row r="29">
          <cell r="A29" t="str">
            <v>Botswana</v>
          </cell>
          <cell r="B29" t="str">
            <v>A3</v>
          </cell>
          <cell r="C29">
            <v>1.3060556657575006E-2</v>
          </cell>
        </row>
        <row r="30">
          <cell r="A30" t="str">
            <v>Brazil</v>
          </cell>
          <cell r="B30" t="str">
            <v>Ba2</v>
          </cell>
          <cell r="C30">
            <v>3.2779436317050999E-2</v>
          </cell>
        </row>
        <row r="31">
          <cell r="A31" t="str">
            <v>British Virgin Islands</v>
          </cell>
          <cell r="B31" t="str">
            <v>Ba2</v>
          </cell>
          <cell r="C31">
            <v>3.2779436317050999E-2</v>
          </cell>
        </row>
        <row r="32">
          <cell r="A32" t="str">
            <v>Brunei</v>
          </cell>
          <cell r="B32" t="str">
            <v>NR</v>
          </cell>
          <cell r="C32">
            <v>6.5302783287875029E-3</v>
          </cell>
        </row>
        <row r="33">
          <cell r="A33" t="str">
            <v>Bulgaria</v>
          </cell>
          <cell r="B33" t="str">
            <v>Baa1</v>
          </cell>
          <cell r="C33">
            <v>1.7414075543433341E-2</v>
          </cell>
        </row>
        <row r="34">
          <cell r="A34" t="str">
            <v>Burkina Faso</v>
          </cell>
          <cell r="B34" t="str">
            <v>Caa1</v>
          </cell>
          <cell r="C34">
            <v>8.1692501446400528E-2</v>
          </cell>
        </row>
        <row r="35">
          <cell r="A35" t="str">
            <v>Cambodia</v>
          </cell>
          <cell r="B35" t="str">
            <v>B2</v>
          </cell>
          <cell r="C35">
            <v>5.9924907017108855E-2</v>
          </cell>
        </row>
        <row r="36">
          <cell r="A36" t="str">
            <v>Cameroon</v>
          </cell>
          <cell r="B36" t="str">
            <v>Caa1</v>
          </cell>
          <cell r="C36">
            <v>8.1692501446400528E-2</v>
          </cell>
        </row>
        <row r="37">
          <cell r="A37" t="str">
            <v>Canada</v>
          </cell>
          <cell r="B37" t="str">
            <v>Aaa</v>
          </cell>
          <cell r="C37">
            <v>0</v>
          </cell>
        </row>
        <row r="38">
          <cell r="A38" t="str">
            <v>Cape Verde</v>
          </cell>
          <cell r="B38" t="str">
            <v>B3</v>
          </cell>
          <cell r="C38">
            <v>7.0808704231754685E-2</v>
          </cell>
        </row>
        <row r="39">
          <cell r="A39" t="str">
            <v>Cayman Islands</v>
          </cell>
          <cell r="B39" t="str">
            <v>Aa3</v>
          </cell>
          <cell r="C39">
            <v>6.5302783287875029E-3</v>
          </cell>
        </row>
        <row r="40">
          <cell r="A40" t="str">
            <v>Channel Islands</v>
          </cell>
          <cell r="B40" t="str">
            <v>NR</v>
          </cell>
          <cell r="C40">
            <v>9.5882201472833571E-3</v>
          </cell>
        </row>
        <row r="41">
          <cell r="A41" t="str">
            <v>Chile</v>
          </cell>
          <cell r="B41" t="str">
            <v>A2</v>
          </cell>
          <cell r="C41">
            <v>9.2192164641705932E-3</v>
          </cell>
        </row>
        <row r="42">
          <cell r="A42" t="str">
            <v>China</v>
          </cell>
          <cell r="B42" t="str">
            <v>A1</v>
          </cell>
          <cell r="C42">
            <v>7.6826803868088279E-3</v>
          </cell>
        </row>
        <row r="43">
          <cell r="A43" t="str">
            <v>Colombia</v>
          </cell>
          <cell r="B43" t="str">
            <v>Baa2</v>
          </cell>
          <cell r="C43">
            <v>2.0743237044383835E-2</v>
          </cell>
        </row>
        <row r="44">
          <cell r="A44" t="str">
            <v>Congo (Democratic Republic of)</v>
          </cell>
          <cell r="B44" t="str">
            <v>B3</v>
          </cell>
          <cell r="C44">
            <v>7.0808704231754685E-2</v>
          </cell>
        </row>
        <row r="45">
          <cell r="A45" t="str">
            <v>Congo (Republic of)</v>
          </cell>
          <cell r="B45" t="str">
            <v>Caa2</v>
          </cell>
          <cell r="C45">
            <v>9.8082219604926024E-2</v>
          </cell>
        </row>
        <row r="46">
          <cell r="A46" t="str">
            <v>Cook Islands</v>
          </cell>
          <cell r="B46" t="str">
            <v>B1</v>
          </cell>
          <cell r="C46">
            <v>4.9041109802463012E-2</v>
          </cell>
        </row>
        <row r="47">
          <cell r="A47" t="str">
            <v>Costa Rica</v>
          </cell>
          <cell r="B47" t="str">
            <v>B1</v>
          </cell>
          <cell r="C47">
            <v>4.9041109802463012E-2</v>
          </cell>
        </row>
        <row r="48">
          <cell r="A48" t="str">
            <v>Croatia</v>
          </cell>
          <cell r="B48" t="str">
            <v>Baa2</v>
          </cell>
          <cell r="C48">
            <v>2.0743237044383835E-2</v>
          </cell>
        </row>
        <row r="49">
          <cell r="A49" t="str">
            <v>Cuba</v>
          </cell>
          <cell r="B49" t="str">
            <v>Ca</v>
          </cell>
          <cell r="C49">
            <v>0.13073361124886354</v>
          </cell>
        </row>
        <row r="50">
          <cell r="A50" t="str">
            <v>Curaçao</v>
          </cell>
          <cell r="B50" t="str">
            <v>Baa2</v>
          </cell>
          <cell r="C50">
            <v>2.0743237044383835E-2</v>
          </cell>
        </row>
        <row r="51">
          <cell r="A51" t="str">
            <v>Cyprus</v>
          </cell>
          <cell r="B51" t="str">
            <v>Baa2</v>
          </cell>
          <cell r="C51">
            <v>2.0743237044383835E-2</v>
          </cell>
        </row>
        <row r="52">
          <cell r="A52" t="str">
            <v>Czech Republic</v>
          </cell>
          <cell r="B52" t="str">
            <v>Aa3</v>
          </cell>
          <cell r="C52">
            <v>6.5302783287875029E-3</v>
          </cell>
        </row>
        <row r="53">
          <cell r="A53" t="str">
            <v>Denmark</v>
          </cell>
          <cell r="B53" t="str">
            <v>Aaa</v>
          </cell>
          <cell r="C53">
            <v>0</v>
          </cell>
        </row>
        <row r="54">
          <cell r="A54" t="str">
            <v>Dominican Republic</v>
          </cell>
          <cell r="B54" t="str">
            <v>Ba3</v>
          </cell>
          <cell r="C54">
            <v>3.9181669972725021E-2</v>
          </cell>
        </row>
        <row r="55">
          <cell r="A55" t="str">
            <v>Ecuador</v>
          </cell>
          <cell r="B55" t="str">
            <v>Caa3</v>
          </cell>
          <cell r="C55">
            <v>0.10896601681957188</v>
          </cell>
        </row>
        <row r="56">
          <cell r="A56" t="str">
            <v>Egypt</v>
          </cell>
          <cell r="B56" t="str">
            <v>Caa1</v>
          </cell>
          <cell r="C56">
            <v>8.1692501446400528E-2</v>
          </cell>
        </row>
        <row r="57">
          <cell r="A57" t="str">
            <v>El Salvador</v>
          </cell>
          <cell r="B57" t="str">
            <v>Caa3</v>
          </cell>
          <cell r="C57">
            <v>0.10896601681957188</v>
          </cell>
        </row>
        <row r="58">
          <cell r="A58" t="str">
            <v>Estonia</v>
          </cell>
          <cell r="B58" t="str">
            <v>A1</v>
          </cell>
          <cell r="C58">
            <v>7.6826803868088279E-3</v>
          </cell>
        </row>
        <row r="59">
          <cell r="A59" t="str">
            <v>Ethiopia</v>
          </cell>
          <cell r="B59" t="str">
            <v>Caa2</v>
          </cell>
          <cell r="C59">
            <v>9.8082219604926024E-2</v>
          </cell>
        </row>
        <row r="60">
          <cell r="A60" t="str">
            <v>Falkland Islands</v>
          </cell>
          <cell r="B60" t="str">
            <v>NR</v>
          </cell>
          <cell r="C60">
            <v>4.2915086193622262E-2</v>
          </cell>
        </row>
        <row r="61">
          <cell r="A61" t="str">
            <v>Fiji</v>
          </cell>
          <cell r="B61" t="str">
            <v>B1</v>
          </cell>
          <cell r="C61">
            <v>4.9041109802463012E-2</v>
          </cell>
        </row>
        <row r="62">
          <cell r="A62" t="str">
            <v>Finland</v>
          </cell>
          <cell r="B62" t="str">
            <v>Aa1</v>
          </cell>
          <cell r="C62">
            <v>4.3535188858583353E-3</v>
          </cell>
        </row>
        <row r="63">
          <cell r="A63" t="str">
            <v>France</v>
          </cell>
          <cell r="B63" t="str">
            <v>Aa2</v>
          </cell>
          <cell r="C63">
            <v>5.3778762707661788E-3</v>
          </cell>
        </row>
        <row r="64">
          <cell r="A64" t="str">
            <v>French Guiana</v>
          </cell>
          <cell r="B64" t="str">
            <v>NR</v>
          </cell>
          <cell r="C64">
            <v>4.2915086193622262E-2</v>
          </cell>
        </row>
        <row r="65">
          <cell r="A65" t="str">
            <v>Gabon</v>
          </cell>
          <cell r="B65" t="str">
            <v>Caa1</v>
          </cell>
          <cell r="C65">
            <v>8.1692501446400528E-2</v>
          </cell>
        </row>
        <row r="66">
          <cell r="A66" t="str">
            <v>Gambia</v>
          </cell>
          <cell r="B66" t="str">
            <v>NR</v>
          </cell>
          <cell r="C66">
            <v>4.9041109802463012E-2</v>
          </cell>
        </row>
        <row r="67">
          <cell r="A67" t="str">
            <v>Georgia</v>
          </cell>
          <cell r="B67" t="str">
            <v>Ba2</v>
          </cell>
          <cell r="C67">
            <v>3.2779436317050999E-2</v>
          </cell>
        </row>
        <row r="68">
          <cell r="A68" t="str">
            <v>Germany</v>
          </cell>
          <cell r="B68" t="str">
            <v>Aaa</v>
          </cell>
          <cell r="C68">
            <v>0</v>
          </cell>
        </row>
        <row r="69">
          <cell r="A69" t="str">
            <v>Ghana</v>
          </cell>
          <cell r="B69" t="str">
            <v>Caa3</v>
          </cell>
          <cell r="C69">
            <v>0.10896601681957188</v>
          </cell>
        </row>
        <row r="70">
          <cell r="A70" t="str">
            <v>Gibraltar</v>
          </cell>
          <cell r="B70" t="str">
            <v>NR</v>
          </cell>
          <cell r="C70">
            <v>9.5882201472833571E-3</v>
          </cell>
        </row>
        <row r="71">
          <cell r="A71" t="str">
            <v>Greece</v>
          </cell>
          <cell r="B71" t="str">
            <v>Ba1</v>
          </cell>
          <cell r="C71">
            <v>2.7273515373171343E-2</v>
          </cell>
        </row>
        <row r="72">
          <cell r="A72" t="str">
            <v>Greenland</v>
          </cell>
          <cell r="B72" t="str">
            <v>NR</v>
          </cell>
          <cell r="C72">
            <v>0</v>
          </cell>
        </row>
        <row r="73">
          <cell r="A73" t="str">
            <v>Guatemala</v>
          </cell>
          <cell r="B73" t="str">
            <v>Ba1</v>
          </cell>
          <cell r="C73">
            <v>2.7273515373171343E-2</v>
          </cell>
        </row>
        <row r="74">
          <cell r="A74" t="str">
            <v>Guernsey (States of)</v>
          </cell>
          <cell r="B74" t="str">
            <v>A1</v>
          </cell>
          <cell r="C74">
            <v>7.6826803868088279E-3</v>
          </cell>
        </row>
        <row r="75">
          <cell r="A75" t="str">
            <v>Guinea</v>
          </cell>
          <cell r="B75" t="str">
            <v>NR</v>
          </cell>
          <cell r="C75">
            <v>9.8082219604926024E-2</v>
          </cell>
        </row>
        <row r="76">
          <cell r="A76" t="str">
            <v>Guinea-Bissau</v>
          </cell>
          <cell r="B76" t="str">
            <v>NR</v>
          </cell>
          <cell r="C76">
            <v>5.9924907017108842E-2</v>
          </cell>
        </row>
        <row r="77">
          <cell r="A77" t="str">
            <v>Guyana</v>
          </cell>
          <cell r="B77" t="str">
            <v>NR</v>
          </cell>
          <cell r="C77">
            <v>1.7414075543433345E-2</v>
          </cell>
        </row>
        <row r="78">
          <cell r="A78" t="str">
            <v>Haiti</v>
          </cell>
          <cell r="B78" t="str">
            <v>NR</v>
          </cell>
          <cell r="C78">
            <v>0.10896601681957191</v>
          </cell>
        </row>
        <row r="79">
          <cell r="A79" t="str">
            <v>Honduras</v>
          </cell>
          <cell r="B79" t="str">
            <v>B1</v>
          </cell>
          <cell r="C79">
            <v>4.9041109802463012E-2</v>
          </cell>
        </row>
        <row r="80">
          <cell r="A80" t="str">
            <v>Hong Kong</v>
          </cell>
          <cell r="B80" t="str">
            <v>Aa3</v>
          </cell>
          <cell r="C80">
            <v>6.5302783287875029E-3</v>
          </cell>
        </row>
        <row r="81">
          <cell r="A81" t="str">
            <v>Hungary</v>
          </cell>
          <cell r="B81" t="str">
            <v>Baa2</v>
          </cell>
          <cell r="C81">
            <v>2.0743237044383835E-2</v>
          </cell>
        </row>
        <row r="82">
          <cell r="A82" t="str">
            <v>Iceland</v>
          </cell>
          <cell r="B82" t="str">
            <v>A2</v>
          </cell>
          <cell r="C82">
            <v>9.2192164641705932E-3</v>
          </cell>
        </row>
        <row r="83">
          <cell r="A83" t="str">
            <v>India</v>
          </cell>
          <cell r="B83" t="str">
            <v>Baa3</v>
          </cell>
          <cell r="C83">
            <v>2.3944353872220846E-2</v>
          </cell>
        </row>
        <row r="84">
          <cell r="A84" t="str">
            <v>Indonesia</v>
          </cell>
          <cell r="B84" t="str">
            <v>Baa2</v>
          </cell>
          <cell r="C84">
            <v>2.0743237044383835E-2</v>
          </cell>
        </row>
        <row r="85">
          <cell r="A85" t="str">
            <v>Iran</v>
          </cell>
          <cell r="B85" t="str">
            <v>NR</v>
          </cell>
          <cell r="C85">
            <v>7.0808704231754685E-2</v>
          </cell>
        </row>
        <row r="86">
          <cell r="A86" t="str">
            <v>Iraq</v>
          </cell>
          <cell r="B86" t="str">
            <v>Caa1</v>
          </cell>
          <cell r="C86">
            <v>8.1692501446400528E-2</v>
          </cell>
        </row>
        <row r="87">
          <cell r="A87" t="str">
            <v>Ireland</v>
          </cell>
          <cell r="B87" t="str">
            <v>Aa3</v>
          </cell>
          <cell r="C87">
            <v>6.5302783287875029E-3</v>
          </cell>
        </row>
        <row r="88">
          <cell r="A88" t="str">
            <v>Isle of Man</v>
          </cell>
          <cell r="B88" t="str">
            <v>Aa3</v>
          </cell>
          <cell r="C88">
            <v>6.5302783287875029E-3</v>
          </cell>
        </row>
        <row r="89">
          <cell r="A89" t="str">
            <v>Israel</v>
          </cell>
          <cell r="B89" t="str">
            <v>A1</v>
          </cell>
          <cell r="C89">
            <v>7.6826803868088279E-3</v>
          </cell>
        </row>
        <row r="90">
          <cell r="A90" t="str">
            <v>Italy</v>
          </cell>
          <cell r="B90" t="str">
            <v>Baa3</v>
          </cell>
          <cell r="C90">
            <v>2.3944353872220846E-2</v>
          </cell>
        </row>
        <row r="91">
          <cell r="A91" t="str">
            <v>Ivory Coast</v>
          </cell>
          <cell r="B91" t="str">
            <v>Ba3</v>
          </cell>
          <cell r="C91">
            <v>3.9181669972725021E-2</v>
          </cell>
        </row>
        <row r="92">
          <cell r="A92" t="str">
            <v>Jamaica</v>
          </cell>
          <cell r="B92" t="str">
            <v>B1</v>
          </cell>
          <cell r="C92">
            <v>4.9041109802463012E-2</v>
          </cell>
        </row>
        <row r="93">
          <cell r="A93" t="str">
            <v>Japan</v>
          </cell>
          <cell r="B93" t="str">
            <v>A1</v>
          </cell>
          <cell r="C93">
            <v>7.6826803868088279E-3</v>
          </cell>
        </row>
        <row r="94">
          <cell r="A94" t="str">
            <v>Jersey (States of)</v>
          </cell>
          <cell r="B94" t="str">
            <v>Aa3</v>
          </cell>
          <cell r="C94">
            <v>6.5302783287875029E-3</v>
          </cell>
        </row>
        <row r="95">
          <cell r="A95" t="str">
            <v>Jordan</v>
          </cell>
          <cell r="B95" t="str">
            <v>B1</v>
          </cell>
          <cell r="C95">
            <v>4.9041109802463012E-2</v>
          </cell>
        </row>
        <row r="96">
          <cell r="A96" t="str">
            <v>Kazakhstan</v>
          </cell>
          <cell r="B96" t="str">
            <v>Baa2</v>
          </cell>
          <cell r="C96">
            <v>2.0743237044383835E-2</v>
          </cell>
        </row>
        <row r="97">
          <cell r="A97" t="str">
            <v>Kenya</v>
          </cell>
          <cell r="B97" t="str">
            <v>B3</v>
          </cell>
          <cell r="C97">
            <v>7.0808704231754685E-2</v>
          </cell>
        </row>
        <row r="98">
          <cell r="A98" t="str">
            <v>Korea, D.P.R.</v>
          </cell>
          <cell r="B98" t="str">
            <v>NR</v>
          </cell>
          <cell r="C98">
            <v>0.17499999999999999</v>
          </cell>
        </row>
        <row r="99">
          <cell r="A99" t="str">
            <v>Kuwait</v>
          </cell>
          <cell r="B99" t="str">
            <v>A1</v>
          </cell>
          <cell r="C99">
            <v>7.6826803868088279E-3</v>
          </cell>
        </row>
        <row r="100">
          <cell r="A100" t="str">
            <v>Kyrgyzstan</v>
          </cell>
          <cell r="B100" t="str">
            <v>B3</v>
          </cell>
          <cell r="C100">
            <v>7.0808704231754685E-2</v>
          </cell>
        </row>
        <row r="101">
          <cell r="A101" t="str">
            <v>Laos</v>
          </cell>
          <cell r="B101" t="str">
            <v>Caa3</v>
          </cell>
          <cell r="C101">
            <v>0.10896601681957188</v>
          </cell>
        </row>
        <row r="102">
          <cell r="A102" t="str">
            <v>Latvia</v>
          </cell>
          <cell r="B102" t="str">
            <v>A3</v>
          </cell>
          <cell r="C102">
            <v>1.3060556657575006E-2</v>
          </cell>
        </row>
        <row r="103">
          <cell r="A103" t="str">
            <v>Lebanon</v>
          </cell>
          <cell r="B103" t="str">
            <v>C</v>
          </cell>
          <cell r="C103">
            <v>0.17499999999999999</v>
          </cell>
        </row>
        <row r="104">
          <cell r="A104" t="str">
            <v>Liberia</v>
          </cell>
          <cell r="B104" t="str">
            <v>NR</v>
          </cell>
          <cell r="C104">
            <v>0.13073361124886354</v>
          </cell>
        </row>
        <row r="105">
          <cell r="A105" t="str">
            <v>Libya</v>
          </cell>
          <cell r="B105" t="str">
            <v>NR</v>
          </cell>
          <cell r="C105">
            <v>2.0743237044383835E-2</v>
          </cell>
        </row>
        <row r="106">
          <cell r="A106" t="str">
            <v>Liechtenstein</v>
          </cell>
          <cell r="B106" t="str">
            <v>Aaa</v>
          </cell>
          <cell r="C106">
            <v>0</v>
          </cell>
        </row>
        <row r="107">
          <cell r="A107" t="str">
            <v>Lithuania</v>
          </cell>
          <cell r="B107" t="str">
            <v>A2</v>
          </cell>
          <cell r="C107">
            <v>9.2192164641705932E-3</v>
          </cell>
        </row>
        <row r="108">
          <cell r="A108" t="str">
            <v>Luxembourg</v>
          </cell>
          <cell r="B108" t="str">
            <v>Aaa</v>
          </cell>
          <cell r="C108">
            <v>0</v>
          </cell>
        </row>
        <row r="109">
          <cell r="A109" t="str">
            <v>Macau</v>
          </cell>
          <cell r="B109" t="str">
            <v>Aa3</v>
          </cell>
          <cell r="C109">
            <v>6.5302783287875029E-3</v>
          </cell>
        </row>
        <row r="110">
          <cell r="A110" t="str">
            <v>Macedonia</v>
          </cell>
          <cell r="B110" t="str">
            <v>Ba3</v>
          </cell>
          <cell r="C110">
            <v>3.9181669972725021E-2</v>
          </cell>
        </row>
        <row r="111">
          <cell r="A111" t="str">
            <v>Madagascar</v>
          </cell>
          <cell r="B111" t="str">
            <v>NR</v>
          </cell>
          <cell r="C111">
            <v>7.0808704231754685E-2</v>
          </cell>
        </row>
        <row r="112">
          <cell r="A112" t="str">
            <v>Malawi</v>
          </cell>
          <cell r="B112" t="str">
            <v>NR</v>
          </cell>
          <cell r="C112">
            <v>0.13073361124886354</v>
          </cell>
        </row>
        <row r="113">
          <cell r="A113" t="str">
            <v>Malaysia</v>
          </cell>
          <cell r="B113" t="str">
            <v>A3</v>
          </cell>
          <cell r="C113">
            <v>1.3060556657575006E-2</v>
          </cell>
        </row>
        <row r="114">
          <cell r="A114" t="str">
            <v>Maldives</v>
          </cell>
          <cell r="B114" t="str">
            <v>Caa1</v>
          </cell>
          <cell r="C114">
            <v>8.1692501446400528E-2</v>
          </cell>
        </row>
        <row r="115">
          <cell r="A115" t="str">
            <v>Mali</v>
          </cell>
          <cell r="B115" t="str">
            <v>Caa2</v>
          </cell>
          <cell r="C115">
            <v>9.8082219604926024E-2</v>
          </cell>
        </row>
        <row r="116">
          <cell r="A116" t="str">
            <v>Malta</v>
          </cell>
          <cell r="B116" t="str">
            <v>A2</v>
          </cell>
          <cell r="C116">
            <v>9.2192164641705932E-3</v>
          </cell>
        </row>
        <row r="117">
          <cell r="A117" t="str">
            <v>Martinique</v>
          </cell>
          <cell r="B117" t="str">
            <v>NR</v>
          </cell>
          <cell r="C117">
            <v>0</v>
          </cell>
        </row>
        <row r="118">
          <cell r="A118" t="str">
            <v>Mauritius</v>
          </cell>
          <cell r="B118" t="str">
            <v>Baa3</v>
          </cell>
          <cell r="C118">
            <v>2.3944353872220846E-2</v>
          </cell>
        </row>
        <row r="119">
          <cell r="A119" t="str">
            <v>Mexico</v>
          </cell>
          <cell r="B119" t="str">
            <v>Baa2</v>
          </cell>
          <cell r="C119">
            <v>2.0743237044383835E-2</v>
          </cell>
        </row>
        <row r="120">
          <cell r="A120" t="str">
            <v>Monaco</v>
          </cell>
          <cell r="B120" t="str">
            <v>NR</v>
          </cell>
          <cell r="C120">
            <v>9.5882201472833571E-3</v>
          </cell>
        </row>
        <row r="121">
          <cell r="A121" t="str">
            <v>Moldova</v>
          </cell>
          <cell r="B121" t="str">
            <v>B3</v>
          </cell>
          <cell r="C121">
            <v>7.0808704231754685E-2</v>
          </cell>
        </row>
        <row r="122">
          <cell r="A122" t="str">
            <v>Mongolia</v>
          </cell>
          <cell r="B122" t="str">
            <v>B3</v>
          </cell>
          <cell r="C122">
            <v>7.0808704231754685E-2</v>
          </cell>
        </row>
        <row r="123">
          <cell r="A123" t="str">
            <v>Montenegro</v>
          </cell>
          <cell r="B123" t="str">
            <v>B1</v>
          </cell>
          <cell r="C123">
            <v>4.9041109802463012E-2</v>
          </cell>
        </row>
        <row r="124">
          <cell r="A124" t="str">
            <v>Montserrat</v>
          </cell>
          <cell r="B124" t="str">
            <v>Baa3</v>
          </cell>
          <cell r="C124">
            <v>2.3944353872220846E-2</v>
          </cell>
        </row>
        <row r="125">
          <cell r="A125" t="str">
            <v>Morocco</v>
          </cell>
          <cell r="B125" t="str">
            <v>Ba1</v>
          </cell>
          <cell r="C125">
            <v>2.7273515373171343E-2</v>
          </cell>
        </row>
        <row r="126">
          <cell r="A126" t="str">
            <v>Mozambique</v>
          </cell>
          <cell r="B126" t="str">
            <v>Caa2</v>
          </cell>
          <cell r="C126">
            <v>9.8082219604926024E-2</v>
          </cell>
        </row>
        <row r="127">
          <cell r="A127" t="str">
            <v>Myanmar</v>
          </cell>
          <cell r="B127" t="str">
            <v>NR</v>
          </cell>
          <cell r="C127">
            <v>0.10896601681957191</v>
          </cell>
        </row>
        <row r="128">
          <cell r="A128" t="str">
            <v>Namibia</v>
          </cell>
          <cell r="B128" t="str">
            <v>B1</v>
          </cell>
          <cell r="C128">
            <v>4.9041109802463012E-2</v>
          </cell>
        </row>
        <row r="129">
          <cell r="A129" t="str">
            <v>Netherlands</v>
          </cell>
          <cell r="B129" t="str">
            <v>Aaa</v>
          </cell>
          <cell r="C129">
            <v>0</v>
          </cell>
        </row>
        <row r="130">
          <cell r="A130" t="str">
            <v>Netherlands Antilles</v>
          </cell>
          <cell r="B130" t="str">
            <v>NR</v>
          </cell>
          <cell r="C130">
            <v>0.1054310997313879</v>
          </cell>
        </row>
        <row r="131">
          <cell r="A131" t="str">
            <v>New Zealand</v>
          </cell>
          <cell r="B131" t="str">
            <v>Aaa</v>
          </cell>
          <cell r="C131">
            <v>0</v>
          </cell>
        </row>
        <row r="132">
          <cell r="A132" t="str">
            <v>Nicaragua</v>
          </cell>
          <cell r="B132" t="str">
            <v>B3</v>
          </cell>
          <cell r="C132">
            <v>7.0808704231754685E-2</v>
          </cell>
        </row>
        <row r="133">
          <cell r="A133" t="str">
            <v>Niger</v>
          </cell>
          <cell r="B133" t="str">
            <v>Caa2</v>
          </cell>
          <cell r="C133">
            <v>9.8082219604926024E-2</v>
          </cell>
        </row>
        <row r="134">
          <cell r="A134" t="str">
            <v>Nigeria</v>
          </cell>
          <cell r="B134" t="str">
            <v>Caa1</v>
          </cell>
          <cell r="C134">
            <v>8.1692501446400528E-2</v>
          </cell>
        </row>
        <row r="135">
          <cell r="A135" t="str">
            <v>Norway</v>
          </cell>
          <cell r="B135" t="str">
            <v>Aaa</v>
          </cell>
          <cell r="C135">
            <v>0</v>
          </cell>
        </row>
        <row r="136">
          <cell r="A136" t="str">
            <v>Oman</v>
          </cell>
          <cell r="B136" t="str">
            <v>Ba1</v>
          </cell>
          <cell r="C136">
            <v>2.7273515373171343E-2</v>
          </cell>
        </row>
        <row r="137">
          <cell r="A137" t="str">
            <v>Pakistan</v>
          </cell>
          <cell r="B137" t="str">
            <v>Caa3</v>
          </cell>
          <cell r="C137">
            <v>0.10896601681957188</v>
          </cell>
        </row>
        <row r="138">
          <cell r="A138" t="str">
            <v>Palestinian Authority</v>
          </cell>
          <cell r="B138" t="str">
            <v>NR</v>
          </cell>
          <cell r="C138">
            <v>1.6082653627874467E-2</v>
          </cell>
        </row>
        <row r="139">
          <cell r="A139" t="str">
            <v>Panama</v>
          </cell>
          <cell r="B139" t="str">
            <v>Baa2</v>
          </cell>
          <cell r="C139">
            <v>2.0743237044383835E-2</v>
          </cell>
        </row>
        <row r="140">
          <cell r="A140" t="str">
            <v>Papua New Guinea</v>
          </cell>
          <cell r="B140" t="str">
            <v>B2</v>
          </cell>
          <cell r="C140">
            <v>5.9924907017108855E-2</v>
          </cell>
        </row>
        <row r="141">
          <cell r="A141" t="str">
            <v>Paraguay</v>
          </cell>
          <cell r="B141" t="str">
            <v>Ba1</v>
          </cell>
          <cell r="C141">
            <v>2.7273515373171343E-2</v>
          </cell>
        </row>
        <row r="142">
          <cell r="A142" t="str">
            <v>Peru</v>
          </cell>
          <cell r="B142" t="str">
            <v>Baa1</v>
          </cell>
          <cell r="C142">
            <v>1.7414075543433341E-2</v>
          </cell>
        </row>
        <row r="143">
          <cell r="A143" t="str">
            <v>Philippines</v>
          </cell>
          <cell r="B143" t="str">
            <v>Baa2</v>
          </cell>
          <cell r="C143">
            <v>2.0743237044383835E-2</v>
          </cell>
        </row>
        <row r="144">
          <cell r="A144" t="str">
            <v>Poland</v>
          </cell>
          <cell r="B144" t="str">
            <v>A2</v>
          </cell>
          <cell r="C144">
            <v>9.2192164641705932E-3</v>
          </cell>
        </row>
        <row r="145">
          <cell r="A145" t="str">
            <v>Portugal</v>
          </cell>
          <cell r="B145" t="str">
            <v>A3</v>
          </cell>
          <cell r="C145">
            <v>1.3060556657575006E-2</v>
          </cell>
        </row>
        <row r="146">
          <cell r="A146" t="str">
            <v>Qatar</v>
          </cell>
          <cell r="B146" t="str">
            <v>Aa3</v>
          </cell>
          <cell r="C146">
            <v>6.5302783287875029E-3</v>
          </cell>
        </row>
        <row r="147">
          <cell r="A147" t="str">
            <v>Ras Al Khaimah (Emirate of)</v>
          </cell>
          <cell r="B147" t="str">
            <v>A3</v>
          </cell>
          <cell r="C147">
            <v>1.3060556657575006E-2</v>
          </cell>
        </row>
        <row r="148">
          <cell r="A148" t="str">
            <v>Reunion</v>
          </cell>
          <cell r="B148" t="str">
            <v>NR</v>
          </cell>
          <cell r="C148">
            <v>1.2518555898193178E-2</v>
          </cell>
        </row>
        <row r="149">
          <cell r="A149" t="str">
            <v>Romania</v>
          </cell>
          <cell r="B149" t="str">
            <v>Baa3</v>
          </cell>
          <cell r="C149">
            <v>2.3944353872220846E-2</v>
          </cell>
        </row>
        <row r="150">
          <cell r="A150" t="str">
            <v>Russia</v>
          </cell>
          <cell r="B150" t="str">
            <v>NR</v>
          </cell>
          <cell r="C150">
            <v>4.9041109802463012E-2</v>
          </cell>
        </row>
        <row r="151">
          <cell r="A151" t="str">
            <v>Rwanda</v>
          </cell>
          <cell r="B151" t="str">
            <v>B2</v>
          </cell>
          <cell r="C151">
            <v>5.9924907017108855E-2</v>
          </cell>
        </row>
        <row r="152">
          <cell r="A152" t="str">
            <v>Saint Lucia</v>
          </cell>
          <cell r="B152" t="str">
            <v>NR</v>
          </cell>
          <cell r="C152">
            <v>0.1054310997313879</v>
          </cell>
        </row>
        <row r="153">
          <cell r="A153" t="str">
            <v>Saudi Arabia</v>
          </cell>
          <cell r="B153" t="str">
            <v>A1</v>
          </cell>
          <cell r="C153">
            <v>7.6826803868088279E-3</v>
          </cell>
        </row>
        <row r="154">
          <cell r="A154" t="str">
            <v>Senegal</v>
          </cell>
          <cell r="B154" t="str">
            <v>Ba3</v>
          </cell>
          <cell r="C154">
            <v>3.9181669972725021E-2</v>
          </cell>
        </row>
        <row r="155">
          <cell r="A155" t="str">
            <v>Serbia</v>
          </cell>
          <cell r="B155" t="str">
            <v>Ba2</v>
          </cell>
          <cell r="C155">
            <v>3.2779436317050999E-2</v>
          </cell>
        </row>
        <row r="156">
          <cell r="A156" t="str">
            <v>Sharjah</v>
          </cell>
          <cell r="B156" t="str">
            <v>Ba1</v>
          </cell>
          <cell r="C156">
            <v>2.7273515373171343E-2</v>
          </cell>
        </row>
        <row r="157">
          <cell r="A157" t="str">
            <v>Sierra Leone</v>
          </cell>
          <cell r="B157" t="str">
            <v>NR</v>
          </cell>
          <cell r="C157">
            <v>0.10896601681957191</v>
          </cell>
        </row>
        <row r="158">
          <cell r="A158" t="str">
            <v>Singapore</v>
          </cell>
          <cell r="B158" t="str">
            <v>Aaa</v>
          </cell>
          <cell r="C158">
            <v>0</v>
          </cell>
        </row>
        <row r="159">
          <cell r="A159" t="str">
            <v>Slovakia</v>
          </cell>
          <cell r="B159" t="str">
            <v>A2</v>
          </cell>
          <cell r="C159">
            <v>9.2192164641705932E-3</v>
          </cell>
        </row>
        <row r="160">
          <cell r="A160" t="str">
            <v>Slovenia</v>
          </cell>
          <cell r="B160" t="str">
            <v>A3</v>
          </cell>
          <cell r="C160">
            <v>1.3060556657575006E-2</v>
          </cell>
        </row>
        <row r="161">
          <cell r="A161" t="str">
            <v>Solomon Islands</v>
          </cell>
          <cell r="B161" t="str">
            <v>Caa1</v>
          </cell>
          <cell r="C161">
            <v>8.1692501446400528E-2</v>
          </cell>
        </row>
        <row r="162">
          <cell r="A162" t="str">
            <v>Somalia</v>
          </cell>
          <cell r="B162" t="str">
            <v>NR</v>
          </cell>
          <cell r="C162">
            <v>0.13073361124886354</v>
          </cell>
        </row>
        <row r="163">
          <cell r="A163" t="str">
            <v>South Africa</v>
          </cell>
          <cell r="B163" t="str">
            <v>Ba2</v>
          </cell>
          <cell r="C163">
            <v>3.2779436317050999E-2</v>
          </cell>
        </row>
        <row r="164">
          <cell r="A164" t="str">
            <v>South Korea</v>
          </cell>
          <cell r="B164" t="str">
            <v>Aa2</v>
          </cell>
          <cell r="C164">
            <v>5.3778762707661788E-3</v>
          </cell>
        </row>
        <row r="165">
          <cell r="A165" t="str">
            <v>Spain</v>
          </cell>
          <cell r="B165" t="str">
            <v>Baa1</v>
          </cell>
          <cell r="C165">
            <v>1.7414075543433341E-2</v>
          </cell>
        </row>
        <row r="166">
          <cell r="A166" t="str">
            <v>Sri Lanka</v>
          </cell>
          <cell r="B166" t="str">
            <v>Ca</v>
          </cell>
          <cell r="C166">
            <v>0.13073361124886354</v>
          </cell>
        </row>
        <row r="167">
          <cell r="A167" t="str">
            <v>St. Maarten</v>
          </cell>
          <cell r="B167" t="str">
            <v>Ba2</v>
          </cell>
          <cell r="C167">
            <v>3.2779436317050999E-2</v>
          </cell>
        </row>
        <row r="168">
          <cell r="A168" t="str">
            <v>St. Vincent &amp; the Grenadines</v>
          </cell>
          <cell r="B168" t="str">
            <v>B3</v>
          </cell>
          <cell r="C168">
            <v>7.0808704231754685E-2</v>
          </cell>
        </row>
        <row r="169">
          <cell r="A169" t="str">
            <v>Sudan</v>
          </cell>
          <cell r="B169" t="str">
            <v>NR</v>
          </cell>
          <cell r="C169">
            <v>0.17499999999999999</v>
          </cell>
        </row>
        <row r="170">
          <cell r="A170" t="str">
            <v>Suriname</v>
          </cell>
          <cell r="B170" t="str">
            <v>Caa3</v>
          </cell>
          <cell r="C170">
            <v>0.10896601681957188</v>
          </cell>
        </row>
        <row r="171">
          <cell r="A171" t="str">
            <v>Swaziland</v>
          </cell>
          <cell r="B171" t="str">
            <v>B3</v>
          </cell>
          <cell r="C171">
            <v>7.0808704231754685E-2</v>
          </cell>
        </row>
        <row r="172">
          <cell r="A172" t="str">
            <v>Sweden</v>
          </cell>
          <cell r="B172" t="str">
            <v>Aaa</v>
          </cell>
          <cell r="C172">
            <v>0</v>
          </cell>
        </row>
        <row r="173">
          <cell r="A173" t="str">
            <v>Switzerland</v>
          </cell>
          <cell r="B173" t="str">
            <v>Aaa</v>
          </cell>
          <cell r="C173">
            <v>0</v>
          </cell>
        </row>
        <row r="174">
          <cell r="A174" t="str">
            <v>Syria</v>
          </cell>
          <cell r="B174" t="str">
            <v>NR</v>
          </cell>
          <cell r="C174">
            <v>0.17499999999999999</v>
          </cell>
        </row>
        <row r="175">
          <cell r="A175" t="str">
            <v>Taiwan</v>
          </cell>
          <cell r="B175" t="str">
            <v>Aa3</v>
          </cell>
          <cell r="C175">
            <v>6.5302783287875029E-3</v>
          </cell>
        </row>
        <row r="176">
          <cell r="A176" t="str">
            <v>Tajikistan</v>
          </cell>
          <cell r="B176" t="str">
            <v>B3</v>
          </cell>
          <cell r="C176">
            <v>7.0808704231754685E-2</v>
          </cell>
        </row>
        <row r="177">
          <cell r="A177" t="str">
            <v>Tanzania</v>
          </cell>
          <cell r="B177" t="str">
            <v>B2</v>
          </cell>
          <cell r="C177">
            <v>5.9924907017108855E-2</v>
          </cell>
        </row>
        <row r="178">
          <cell r="A178" t="str">
            <v>Thailand</v>
          </cell>
          <cell r="B178" t="str">
            <v>Baa1</v>
          </cell>
          <cell r="C178">
            <v>1.7414075543433341E-2</v>
          </cell>
        </row>
        <row r="179">
          <cell r="A179" t="str">
            <v>Togo</v>
          </cell>
          <cell r="B179" t="str">
            <v>B3</v>
          </cell>
          <cell r="C179">
            <v>7.0808704231754685E-2</v>
          </cell>
        </row>
        <row r="180">
          <cell r="A180" t="str">
            <v>Trinidad &amp;' Tobago</v>
          </cell>
          <cell r="B180" t="str">
            <v>Ba2</v>
          </cell>
          <cell r="C180">
            <v>3.2779436317050999E-2</v>
          </cell>
        </row>
        <row r="181">
          <cell r="A181" t="str">
            <v>Tunisia</v>
          </cell>
          <cell r="B181" t="str">
            <v>Caa2</v>
          </cell>
          <cell r="C181">
            <v>9.8082219604926024E-2</v>
          </cell>
        </row>
        <row r="182">
          <cell r="A182" t="str">
            <v>Turkey</v>
          </cell>
          <cell r="B182" t="str">
            <v>B3</v>
          </cell>
          <cell r="C182">
            <v>7.0808704231754685E-2</v>
          </cell>
        </row>
        <row r="183">
          <cell r="A183" t="str">
            <v>Turks &amp; Caicos Islands</v>
          </cell>
          <cell r="B183" t="str">
            <v>Baa1</v>
          </cell>
          <cell r="C183">
            <v>1.7414075543433341E-2</v>
          </cell>
        </row>
        <row r="184">
          <cell r="A184" t="str">
            <v>Uganda</v>
          </cell>
          <cell r="B184" t="str">
            <v>B2</v>
          </cell>
          <cell r="C184">
            <v>5.9924907017108855E-2</v>
          </cell>
        </row>
        <row r="185">
          <cell r="A185" t="str">
            <v>Ukraine</v>
          </cell>
          <cell r="B185" t="str">
            <v>Ca</v>
          </cell>
          <cell r="C185">
            <v>0.13073361124886354</v>
          </cell>
        </row>
        <row r="186">
          <cell r="A186" t="str">
            <v>United Arab Emirates</v>
          </cell>
          <cell r="B186" t="str">
            <v>Aa2</v>
          </cell>
          <cell r="C186">
            <v>5.3778762707661788E-3</v>
          </cell>
        </row>
        <row r="187">
          <cell r="A187" t="str">
            <v>United Kingdom</v>
          </cell>
          <cell r="B187" t="str">
            <v>Aa3</v>
          </cell>
          <cell r="C187">
            <v>6.5302783287875029E-3</v>
          </cell>
        </row>
        <row r="188">
          <cell r="A188" t="str">
            <v>United States</v>
          </cell>
          <cell r="B188" t="str">
            <v>Aaa</v>
          </cell>
          <cell r="C188">
            <v>0</v>
          </cell>
        </row>
        <row r="189">
          <cell r="A189" t="str">
            <v>Uruguay</v>
          </cell>
          <cell r="B189" t="str">
            <v>Baa2</v>
          </cell>
          <cell r="C189">
            <v>2.0743237044383835E-2</v>
          </cell>
        </row>
        <row r="190">
          <cell r="A190" t="str">
            <v>Uzbekistan</v>
          </cell>
          <cell r="B190" t="str">
            <v>Ba3</v>
          </cell>
          <cell r="C190">
            <v>3.9181669972725021E-2</v>
          </cell>
        </row>
        <row r="191">
          <cell r="A191" t="str">
            <v>Venezuela</v>
          </cell>
          <cell r="B191" t="str">
            <v>C</v>
          </cell>
          <cell r="C191">
            <v>0.17499999999999999</v>
          </cell>
        </row>
        <row r="192">
          <cell r="A192" t="str">
            <v>Vietnam</v>
          </cell>
          <cell r="B192" t="str">
            <v>Ba2</v>
          </cell>
          <cell r="C192">
            <v>3.2779436317050999E-2</v>
          </cell>
        </row>
        <row r="193">
          <cell r="A193" t="str">
            <v>Yemen</v>
          </cell>
          <cell r="B193" t="str">
            <v>NR</v>
          </cell>
          <cell r="C193">
            <v>0.10896601681957191</v>
          </cell>
        </row>
        <row r="194">
          <cell r="A194" t="str">
            <v>Zambia</v>
          </cell>
          <cell r="B194" t="str">
            <v>Caa3</v>
          </cell>
          <cell r="C194">
            <v>0.10896601681957188</v>
          </cell>
        </row>
        <row r="195">
          <cell r="A195" t="str">
            <v>Zimbabwe</v>
          </cell>
          <cell r="B195" t="str">
            <v>NR</v>
          </cell>
          <cell r="C195">
            <v>9.8082219604926024E-2</v>
          </cell>
        </row>
      </sheetData>
      <sheetData sheetId="11"/>
      <sheetData sheetId="12"/>
      <sheetData sheetId="13"/>
      <sheetData sheetId="14"/>
      <sheetData sheetId="15"/>
    </sheetDataSet>
  </externalBook>
</externalLink>
</file>

<file path=xl/persons/person.xml><?xml version="1.0" encoding="utf-8"?>
<personList xmlns="http://schemas.microsoft.com/office/spreadsheetml/2018/threadedcomments" xmlns:x="http://schemas.openxmlformats.org/spreadsheetml/2006/main">
  <person displayName="Microsoft Office User" id="{E3E184CE-7AF2-024C-A33D-6B164A251245}" userId="Microsoft Office User"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personId="{E3E184CE-7AF2-024C-A33D-6B164A251245}" id="{1C20797D-4877-7147-B4AD-DD4555190DA8}">
    <text>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ext>
  </threadedComment>
</ThreadedComment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A2C0C-34CE-3D4F-876A-782DC8351DB6}">
  <sheetPr>
    <tabColor theme="7"/>
  </sheetPr>
  <dimension ref="B2:O61"/>
  <sheetViews>
    <sheetView zoomScale="86" workbookViewId="0">
      <selection activeCell="E20" sqref="E20"/>
    </sheetView>
  </sheetViews>
  <sheetFormatPr baseColWidth="10" defaultColWidth="9.1640625" defaultRowHeight="15"/>
  <cols>
    <col min="1" max="1" width="9.1640625" style="2"/>
    <col min="2" max="2" width="35.83203125" style="2" bestFit="1" customWidth="1"/>
    <col min="3" max="4" width="24.1640625" style="2" customWidth="1"/>
    <col min="5" max="8" width="31.5" style="2" customWidth="1"/>
    <col min="9" max="9" width="22.5" style="2" customWidth="1"/>
    <col min="10" max="10" width="29.6640625" style="2" customWidth="1"/>
    <col min="11" max="11" width="20.1640625" style="2" customWidth="1"/>
    <col min="12" max="12" width="27.1640625" style="2" customWidth="1"/>
    <col min="13" max="16384" width="9.1640625" style="2"/>
  </cols>
  <sheetData>
    <row r="2" spans="2:15" ht="26">
      <c r="B2" s="1" t="s">
        <v>41</v>
      </c>
    </row>
    <row r="4" spans="2:15" ht="15" customHeight="1">
      <c r="B4" s="3" t="s">
        <v>3</v>
      </c>
    </row>
    <row r="7" spans="2:15" ht="15" customHeight="1">
      <c r="B7" s="4" t="s">
        <v>15</v>
      </c>
      <c r="C7" s="5"/>
      <c r="D7" s="5"/>
    </row>
    <row r="8" spans="2:15" ht="15" customHeight="1">
      <c r="B8" s="2" t="s">
        <v>0</v>
      </c>
      <c r="C8" s="6">
        <v>45337</v>
      </c>
      <c r="D8" s="6"/>
    </row>
    <row r="9" spans="2:15" ht="15" customHeight="1">
      <c r="B9" s="2" t="s">
        <v>1</v>
      </c>
      <c r="C9" s="7">
        <f>'Income Statement'!E3</f>
        <v>7115</v>
      </c>
    </row>
    <row r="10" spans="2:15" ht="15" customHeight="1">
      <c r="B10" s="2" t="s">
        <v>2</v>
      </c>
      <c r="C10" s="7">
        <f>'Income Statement'!E13</f>
        <v>407.90000000000009</v>
      </c>
    </row>
    <row r="11" spans="2:15" ht="15" customHeight="1">
      <c r="B11" s="2" t="s">
        <v>77</v>
      </c>
      <c r="C11" s="7">
        <f>'Valuation output'!B5</f>
        <v>608.90000000000009</v>
      </c>
      <c r="F11" s="8"/>
      <c r="G11" s="8"/>
      <c r="H11" s="8"/>
    </row>
    <row r="12" spans="2:15" ht="15" customHeight="1">
      <c r="B12" s="2" t="s">
        <v>16</v>
      </c>
      <c r="C12" s="7">
        <f>'Income Statement'!E15</f>
        <v>313.5100000000001</v>
      </c>
      <c r="F12" s="8"/>
      <c r="G12" s="8"/>
      <c r="H12" s="8"/>
    </row>
    <row r="13" spans="2:15" ht="15" customHeight="1" thickBot="1">
      <c r="B13" s="9" t="s">
        <v>78</v>
      </c>
      <c r="C13" s="10">
        <f>'Valuation output'!B9</f>
        <v>437.41508259059913</v>
      </c>
      <c r="F13" s="8"/>
      <c r="G13" s="8"/>
      <c r="H13" s="8"/>
    </row>
    <row r="14" spans="2:15" ht="15" customHeight="1">
      <c r="O14" s="2" t="s">
        <v>5</v>
      </c>
    </row>
    <row r="15" spans="2:15" ht="15" customHeight="1">
      <c r="E15" s="8"/>
      <c r="F15" s="8"/>
      <c r="G15" s="8"/>
      <c r="H15" s="8"/>
      <c r="O15" s="2" t="s">
        <v>6</v>
      </c>
    </row>
    <row r="16" spans="2:15" ht="15" customHeight="1">
      <c r="E16" s="8"/>
      <c r="F16" s="8"/>
      <c r="G16" s="8"/>
      <c r="H16" s="8"/>
      <c r="O16" s="2" t="s">
        <v>7</v>
      </c>
    </row>
    <row r="17" spans="2:15" ht="15" customHeight="1">
      <c r="B17" s="4" t="s">
        <v>19</v>
      </c>
      <c r="C17" s="5"/>
      <c r="D17" s="5"/>
      <c r="E17" s="19"/>
      <c r="F17" s="19"/>
      <c r="G17" s="19"/>
      <c r="H17" s="19"/>
      <c r="O17" s="2" t="s">
        <v>8</v>
      </c>
    </row>
    <row r="18" spans="2:15" ht="15" customHeight="1">
      <c r="B18" s="401" t="s">
        <v>728</v>
      </c>
      <c r="C18" s="7">
        <f>'Stories to Numbers'!D33</f>
        <v>202.78936368191717</v>
      </c>
      <c r="E18" s="19"/>
      <c r="F18" s="19"/>
      <c r="G18" s="19"/>
      <c r="H18" s="19"/>
    </row>
    <row r="19" spans="2:15" ht="15" customHeight="1">
      <c r="B19" s="401" t="s">
        <v>726</v>
      </c>
      <c r="C19" s="7">
        <f>'Stories to Numbers'!D34</f>
        <v>5981.97</v>
      </c>
      <c r="E19" s="19"/>
      <c r="F19" s="8"/>
      <c r="G19" s="8"/>
      <c r="H19" s="8"/>
    </row>
    <row r="20" spans="2:15" ht="15" customHeight="1">
      <c r="B20" s="2" t="s">
        <v>727</v>
      </c>
      <c r="C20" s="7">
        <f>'Stories to Numbers'!D35</f>
        <v>1296.3399999999999</v>
      </c>
      <c r="E20" s="19"/>
      <c r="F20" s="8"/>
      <c r="G20" s="8"/>
      <c r="H20" s="8"/>
    </row>
    <row r="21" spans="2:15" ht="15" customHeight="1" thickBot="1">
      <c r="B21" s="9" t="s">
        <v>50</v>
      </c>
      <c r="C21" s="10">
        <v>66</v>
      </c>
      <c r="E21" s="19"/>
      <c r="F21" s="8"/>
      <c r="G21" s="8"/>
      <c r="H21" s="8"/>
    </row>
    <row r="22" spans="2:15" ht="15" customHeight="1">
      <c r="E22" s="19"/>
      <c r="F22" s="19"/>
      <c r="G22" s="19"/>
      <c r="H22" s="19"/>
    </row>
    <row r="23" spans="2:15" ht="15" customHeight="1">
      <c r="E23" s="19"/>
      <c r="F23" s="19"/>
      <c r="G23" s="19"/>
      <c r="H23" s="19"/>
    </row>
    <row r="24" spans="2:15" ht="15" customHeight="1">
      <c r="E24" s="8"/>
      <c r="F24" s="8"/>
      <c r="G24" s="8"/>
      <c r="H24" s="8"/>
    </row>
    <row r="25" spans="2:15" ht="15" customHeight="1"/>
    <row r="26" spans="2:15" ht="16" thickBot="1"/>
    <row r="27" spans="2:15" ht="17" customHeight="1" thickBot="1">
      <c r="C27" s="114" t="s">
        <v>74</v>
      </c>
      <c r="D27" s="115"/>
      <c r="E27" s="115"/>
      <c r="F27" s="115"/>
      <c r="G27" s="115"/>
      <c r="H27" s="116" t="s">
        <v>73</v>
      </c>
      <c r="I27" s="116"/>
      <c r="J27" s="116"/>
    </row>
    <row r="28" spans="2:15" ht="17" customHeight="1" thickBot="1">
      <c r="B28" s="11" t="s">
        <v>3</v>
      </c>
      <c r="C28" s="37" t="s">
        <v>71</v>
      </c>
      <c r="D28" s="38"/>
      <c r="E28" s="120" t="s">
        <v>72</v>
      </c>
      <c r="F28" s="120"/>
      <c r="G28" s="121" t="s">
        <v>731</v>
      </c>
      <c r="H28" s="122"/>
      <c r="I28" s="119" t="s">
        <v>75</v>
      </c>
      <c r="J28" s="120"/>
    </row>
    <row r="29" spans="2:15" ht="33" thickBot="1">
      <c r="B29" s="12" t="s">
        <v>4</v>
      </c>
      <c r="C29" s="20" t="s">
        <v>76</v>
      </c>
      <c r="D29" s="20" t="s">
        <v>14</v>
      </c>
      <c r="E29" s="12" t="s">
        <v>11</v>
      </c>
      <c r="F29" s="12" t="s">
        <v>68</v>
      </c>
      <c r="G29" s="39" t="s">
        <v>69</v>
      </c>
      <c r="H29" s="20" t="s">
        <v>70</v>
      </c>
      <c r="I29" s="20" t="s">
        <v>67</v>
      </c>
      <c r="J29" s="20" t="s">
        <v>12</v>
      </c>
    </row>
    <row r="30" spans="2:15">
      <c r="B30" s="2" t="s">
        <v>42</v>
      </c>
      <c r="C30" s="13">
        <v>33.08</v>
      </c>
      <c r="D30" s="13">
        <v>3.52</v>
      </c>
      <c r="E30" s="13">
        <v>20.02</v>
      </c>
      <c r="F30" s="13">
        <v>25.09</v>
      </c>
      <c r="G30" s="13">
        <v>25.21</v>
      </c>
      <c r="H30" s="13">
        <v>25.66</v>
      </c>
      <c r="I30" s="13">
        <v>34.24</v>
      </c>
      <c r="J30" s="13">
        <v>3.59</v>
      </c>
    </row>
    <row r="31" spans="2:15">
      <c r="B31" s="2" t="s">
        <v>43</v>
      </c>
      <c r="C31" s="13">
        <v>37.18</v>
      </c>
      <c r="D31" s="13">
        <v>5.89</v>
      </c>
      <c r="E31" s="13">
        <v>14.37</v>
      </c>
      <c r="F31" s="13">
        <v>24.17</v>
      </c>
      <c r="G31" s="13">
        <v>28.89</v>
      </c>
      <c r="H31" s="13">
        <v>23.17</v>
      </c>
      <c r="I31" s="13">
        <v>30.97</v>
      </c>
      <c r="J31" s="13">
        <v>4.72</v>
      </c>
    </row>
    <row r="32" spans="2:15">
      <c r="B32" s="2" t="s">
        <v>44</v>
      </c>
      <c r="C32" s="13">
        <v>17.420000000000002</v>
      </c>
      <c r="D32" s="13">
        <v>1.91</v>
      </c>
      <c r="E32" s="13">
        <v>10.92</v>
      </c>
      <c r="F32" s="13">
        <v>13.06</v>
      </c>
      <c r="G32" s="13">
        <v>18.39</v>
      </c>
      <c r="H32" s="13">
        <v>19.05</v>
      </c>
      <c r="I32" s="13">
        <v>18.29</v>
      </c>
      <c r="J32" s="13">
        <v>1.98</v>
      </c>
    </row>
    <row r="33" spans="2:11">
      <c r="B33" s="2" t="s">
        <v>45</v>
      </c>
      <c r="C33" s="13">
        <v>28.06</v>
      </c>
      <c r="D33" s="13">
        <v>4.59</v>
      </c>
      <c r="E33" s="13">
        <v>17.87</v>
      </c>
      <c r="F33" s="13">
        <v>20.12</v>
      </c>
      <c r="G33" s="13">
        <v>23.09</v>
      </c>
      <c r="H33" s="13">
        <v>23.46</v>
      </c>
      <c r="I33" s="13">
        <v>28.83</v>
      </c>
      <c r="J33" s="13">
        <v>4.67</v>
      </c>
    </row>
    <row r="34" spans="2:11">
      <c r="B34" s="2" t="s">
        <v>46</v>
      </c>
      <c r="C34" s="13">
        <v>26.77</v>
      </c>
      <c r="D34" s="13">
        <v>1.42</v>
      </c>
      <c r="E34" s="13">
        <v>12.91</v>
      </c>
      <c r="F34" s="13">
        <v>17.63</v>
      </c>
      <c r="G34" s="13">
        <v>39.67</v>
      </c>
      <c r="H34" s="13">
        <v>31.96</v>
      </c>
      <c r="I34" s="13">
        <v>22.19</v>
      </c>
      <c r="J34" s="13">
        <v>1.1399999999999999</v>
      </c>
    </row>
    <row r="35" spans="2:11">
      <c r="B35" s="2" t="s">
        <v>47</v>
      </c>
      <c r="C35" s="13">
        <v>60.89</v>
      </c>
      <c r="D35" s="13">
        <v>4.6100000000000003</v>
      </c>
      <c r="E35" s="13">
        <v>42.59</v>
      </c>
      <c r="F35" s="13">
        <v>43.53</v>
      </c>
      <c r="G35" s="13">
        <v>50.19</v>
      </c>
      <c r="H35" s="13">
        <v>49.23</v>
      </c>
      <c r="I35" s="13">
        <v>61.72</v>
      </c>
      <c r="J35" s="13">
        <v>4.5199999999999996</v>
      </c>
    </row>
    <row r="36" spans="2:11">
      <c r="B36" s="2" t="s">
        <v>13</v>
      </c>
      <c r="C36" s="13">
        <v>30.88</v>
      </c>
      <c r="D36" s="13">
        <v>3.5</v>
      </c>
      <c r="E36" s="13">
        <v>15.31</v>
      </c>
      <c r="F36" s="13">
        <v>22.31</v>
      </c>
      <c r="G36" s="13">
        <v>18.329999999999998</v>
      </c>
      <c r="H36" s="13">
        <v>14.69</v>
      </c>
      <c r="I36" s="13">
        <v>24.85</v>
      </c>
      <c r="J36" s="13">
        <v>2.8</v>
      </c>
    </row>
    <row r="37" spans="2:11">
      <c r="B37" s="2" t="s">
        <v>48</v>
      </c>
      <c r="C37" s="13">
        <v>52.78</v>
      </c>
      <c r="D37" s="13">
        <v>1.56</v>
      </c>
      <c r="E37" s="13">
        <v>23.06</v>
      </c>
      <c r="F37" s="13">
        <v>34.19</v>
      </c>
      <c r="G37" s="13">
        <v>23.12</v>
      </c>
      <c r="H37" s="13">
        <v>21.36</v>
      </c>
      <c r="I37" s="13">
        <v>52.75</v>
      </c>
      <c r="J37" s="13">
        <v>1.44</v>
      </c>
    </row>
    <row r="38" spans="2:11">
      <c r="B38" s="2" t="s">
        <v>49</v>
      </c>
      <c r="C38" s="13">
        <v>107.78</v>
      </c>
      <c r="D38" s="13">
        <v>1.39</v>
      </c>
      <c r="E38" s="13">
        <v>22.89</v>
      </c>
      <c r="F38" s="13">
        <v>35.39</v>
      </c>
      <c r="G38" s="13">
        <v>22.39</v>
      </c>
      <c r="H38" s="13">
        <v>17.77</v>
      </c>
      <c r="I38" s="13">
        <v>85.99</v>
      </c>
      <c r="J38" s="13">
        <v>1.1000000000000001</v>
      </c>
    </row>
    <row r="39" spans="2:11" ht="16">
      <c r="B39" s="14" t="s">
        <v>5</v>
      </c>
      <c r="C39" s="15">
        <f>PERCENTILE(C30:C38,0.25)</f>
        <v>28.06</v>
      </c>
      <c r="D39" s="15">
        <f t="shared" ref="D39:J39" si="0">PERCENTILE(D30:D38,0.25)</f>
        <v>1.56</v>
      </c>
      <c r="E39" s="15">
        <f t="shared" si="0"/>
        <v>14.37</v>
      </c>
      <c r="F39" s="15">
        <f t="shared" si="0"/>
        <v>20.12</v>
      </c>
      <c r="G39" s="15">
        <f t="shared" si="0"/>
        <v>22.39</v>
      </c>
      <c r="H39" s="15">
        <f t="shared" si="0"/>
        <v>19.05</v>
      </c>
      <c r="I39" s="15">
        <f t="shared" si="0"/>
        <v>24.85</v>
      </c>
      <c r="J39" s="15">
        <f t="shared" si="0"/>
        <v>1.44</v>
      </c>
      <c r="K39" t="str">
        <f ca="1">"&lt;--"&amp;_xlfn.FORMULATEXT(J39)</f>
        <v>&lt;--=PERCENTILE(J30:J38,0.25)</v>
      </c>
    </row>
    <row r="40" spans="2:11" ht="16">
      <c r="B40" s="14" t="s">
        <v>6</v>
      </c>
      <c r="C40" s="15">
        <f>MEDIAN(C30:C38)</f>
        <v>33.08</v>
      </c>
      <c r="D40" s="15">
        <f t="shared" ref="D40:J40" si="1">MEDIAN(D30:D38)</f>
        <v>3.5</v>
      </c>
      <c r="E40" s="15">
        <f t="shared" si="1"/>
        <v>17.87</v>
      </c>
      <c r="F40" s="15">
        <f t="shared" si="1"/>
        <v>24.17</v>
      </c>
      <c r="G40" s="15">
        <f t="shared" si="1"/>
        <v>23.12</v>
      </c>
      <c r="H40" s="15">
        <f t="shared" si="1"/>
        <v>23.17</v>
      </c>
      <c r="I40" s="15">
        <f t="shared" si="1"/>
        <v>30.97</v>
      </c>
      <c r="J40" s="15">
        <f t="shared" si="1"/>
        <v>2.8</v>
      </c>
      <c r="K40" t="str">
        <f t="shared" ref="K40:K57" ca="1" si="2">"&lt;--"&amp;_xlfn.FORMULATEXT(J40)</f>
        <v>&lt;--=MEDIAN(J30:J38)</v>
      </c>
    </row>
    <row r="41" spans="2:11" ht="16">
      <c r="B41" s="14" t="s">
        <v>7</v>
      </c>
      <c r="C41" s="15">
        <f>AVERAGE(C30:C38)</f>
        <v>43.871111111111105</v>
      </c>
      <c r="D41" s="15">
        <f t="shared" ref="D41:J41" si="3">AVERAGE(D30:D38)</f>
        <v>3.1544444444444442</v>
      </c>
      <c r="E41" s="15">
        <f t="shared" si="3"/>
        <v>19.993333333333332</v>
      </c>
      <c r="F41" s="15">
        <f t="shared" si="3"/>
        <v>26.165555555555557</v>
      </c>
      <c r="G41" s="15">
        <f t="shared" si="3"/>
        <v>27.697777777777773</v>
      </c>
      <c r="H41" s="15">
        <f t="shared" si="3"/>
        <v>25.15</v>
      </c>
      <c r="I41" s="15">
        <f t="shared" si="3"/>
        <v>39.981111111111119</v>
      </c>
      <c r="J41" s="15">
        <f t="shared" si="3"/>
        <v>2.8844444444444446</v>
      </c>
      <c r="K41" t="str">
        <f t="shared" ca="1" si="2"/>
        <v>&lt;--=AVERAGE(J30:J38)</v>
      </c>
    </row>
    <row r="42" spans="2:11" ht="16">
      <c r="B42" s="14" t="s">
        <v>8</v>
      </c>
      <c r="C42" s="15">
        <f>PERCENTILE(C30:C38,0.75)</f>
        <v>52.78</v>
      </c>
      <c r="D42" s="15">
        <f t="shared" ref="D42:J42" si="4">PERCENTILE(D30:D38,0.75)</f>
        <v>4.59</v>
      </c>
      <c r="E42" s="15">
        <f t="shared" si="4"/>
        <v>22.89</v>
      </c>
      <c r="F42" s="15">
        <f t="shared" si="4"/>
        <v>34.19</v>
      </c>
      <c r="G42" s="15">
        <f t="shared" si="4"/>
        <v>28.89</v>
      </c>
      <c r="H42" s="15">
        <f t="shared" si="4"/>
        <v>25.66</v>
      </c>
      <c r="I42" s="15">
        <f t="shared" si="4"/>
        <v>52.75</v>
      </c>
      <c r="J42" s="15">
        <f t="shared" si="4"/>
        <v>4.5199999999999996</v>
      </c>
      <c r="K42" t="str">
        <f t="shared" ca="1" si="2"/>
        <v>&lt;--=PERCENTILE(J30:J38,0.75)</v>
      </c>
    </row>
    <row r="43" spans="2:11" ht="16">
      <c r="B43" s="117" t="s">
        <v>9</v>
      </c>
      <c r="C43" s="117"/>
      <c r="D43" s="117"/>
      <c r="E43" s="117"/>
      <c r="F43" s="117"/>
      <c r="G43" s="117"/>
      <c r="H43" s="117"/>
      <c r="I43" s="117"/>
      <c r="J43" s="117"/>
      <c r="K43"/>
    </row>
    <row r="44" spans="2:11" ht="16">
      <c r="B44" s="2" t="s">
        <v>5</v>
      </c>
      <c r="C44" s="16">
        <f>C39*$C$12</f>
        <v>8797.0906000000032</v>
      </c>
      <c r="D44" s="16">
        <f>D39*$C$9</f>
        <v>11099.4</v>
      </c>
      <c r="E44" s="16">
        <f>E39*$C$10</f>
        <v>5861.523000000001</v>
      </c>
      <c r="F44" s="16">
        <f>F39*$C$11</f>
        <v>12251.068000000003</v>
      </c>
      <c r="G44" s="16">
        <f>G39*$C$13</f>
        <v>9793.7236992035141</v>
      </c>
      <c r="H44" s="16">
        <f>H39*$C$13</f>
        <v>8332.7573233509138</v>
      </c>
      <c r="I44" s="16">
        <f>I39*$C$12</f>
        <v>7790.7235000000028</v>
      </c>
      <c r="J44" s="16">
        <f>J39*$C$9</f>
        <v>10245.6</v>
      </c>
      <c r="K44" t="str">
        <f t="shared" ca="1" si="2"/>
        <v>&lt;--=J39*$C$9</v>
      </c>
    </row>
    <row r="45" spans="2:11" ht="16">
      <c r="B45" s="2" t="s">
        <v>6</v>
      </c>
      <c r="C45" s="16">
        <f t="shared" ref="C45:C47" si="5">C40*$C$12</f>
        <v>10370.910800000003</v>
      </c>
      <c r="D45" s="16">
        <f t="shared" ref="D45:D47" si="6">D40*$C$9</f>
        <v>24902.5</v>
      </c>
      <c r="E45" s="16">
        <f t="shared" ref="E45:E47" si="7">E40*$C$10</f>
        <v>7289.1730000000016</v>
      </c>
      <c r="F45" s="16">
        <f t="shared" ref="F45:F47" si="8">F40*$C$11</f>
        <v>14717.113000000003</v>
      </c>
      <c r="G45" s="16">
        <f t="shared" ref="G45:H47" si="9">G40*$C$13</f>
        <v>10113.036709494652</v>
      </c>
      <c r="H45" s="16">
        <f t="shared" si="9"/>
        <v>10134.907463624182</v>
      </c>
      <c r="I45" s="16">
        <f t="shared" ref="I45:I47" si="10">I40*$C$12</f>
        <v>9709.4047000000028</v>
      </c>
      <c r="J45" s="16">
        <f t="shared" ref="J45:J47" si="11">J40*$C$9</f>
        <v>19922</v>
      </c>
      <c r="K45" t="str">
        <f t="shared" ca="1" si="2"/>
        <v>&lt;--=J40*$C$9</v>
      </c>
    </row>
    <row r="46" spans="2:11" ht="16">
      <c r="B46" s="2" t="s">
        <v>7</v>
      </c>
      <c r="C46" s="16">
        <f t="shared" si="5"/>
        <v>13754.032044444448</v>
      </c>
      <c r="D46" s="16">
        <f t="shared" si="6"/>
        <v>22443.87222222222</v>
      </c>
      <c r="E46" s="16">
        <f t="shared" si="7"/>
        <v>8155.2806666666684</v>
      </c>
      <c r="F46" s="16">
        <f t="shared" si="8"/>
        <v>15932.206777777781</v>
      </c>
      <c r="G46" s="16">
        <f t="shared" si="9"/>
        <v>12115.425754242726</v>
      </c>
      <c r="H46" s="16">
        <f t="shared" si="9"/>
        <v>11000.989327153568</v>
      </c>
      <c r="I46" s="16">
        <f t="shared" si="10"/>
        <v>12534.478144444451</v>
      </c>
      <c r="J46" s="16">
        <f t="shared" si="11"/>
        <v>20522.822222222225</v>
      </c>
      <c r="K46" t="str">
        <f t="shared" ca="1" si="2"/>
        <v>&lt;--=J41*$C$9</v>
      </c>
    </row>
    <row r="47" spans="2:11" ht="16">
      <c r="B47" s="2" t="s">
        <v>8</v>
      </c>
      <c r="C47" s="16">
        <f t="shared" si="5"/>
        <v>16547.057800000006</v>
      </c>
      <c r="D47" s="16">
        <f t="shared" si="6"/>
        <v>32657.85</v>
      </c>
      <c r="E47" s="16">
        <f t="shared" si="7"/>
        <v>9336.8310000000019</v>
      </c>
      <c r="F47" s="16">
        <f t="shared" si="8"/>
        <v>20818.291000000001</v>
      </c>
      <c r="G47" s="16">
        <f t="shared" si="9"/>
        <v>12636.921736042408</v>
      </c>
      <c r="H47" s="16">
        <f t="shared" si="9"/>
        <v>11224.071019274774</v>
      </c>
      <c r="I47" s="16">
        <f t="shared" si="10"/>
        <v>16537.652500000004</v>
      </c>
      <c r="J47" s="16">
        <f t="shared" si="11"/>
        <v>32159.799999999996</v>
      </c>
      <c r="K47" t="str">
        <f t="shared" ca="1" si="2"/>
        <v>&lt;--=J42*$C$9</v>
      </c>
    </row>
    <row r="48" spans="2:11" ht="16">
      <c r="B48" s="118" t="s">
        <v>10</v>
      </c>
      <c r="C48" s="118"/>
      <c r="D48" s="118"/>
      <c r="E48" s="118"/>
      <c r="F48" s="118"/>
      <c r="G48" s="118"/>
      <c r="H48" s="118"/>
      <c r="I48" s="118"/>
      <c r="J48" s="118"/>
      <c r="K48"/>
    </row>
    <row r="49" spans="2:11" ht="16">
      <c r="B49" s="2" t="s">
        <v>5</v>
      </c>
      <c r="C49" s="16">
        <f>C44+$C$19-$C$20-$C$18</f>
        <v>13279.931236318087</v>
      </c>
      <c r="D49" s="16">
        <f>D44+$C$19-$C$20-$C$18</f>
        <v>15582.240636318082</v>
      </c>
      <c r="E49" s="16">
        <f>E44+$C$19-$C$20-$C$18</f>
        <v>10344.363636318085</v>
      </c>
      <c r="F49" s="16">
        <f>F44+$C$19-$C$20-$C$18</f>
        <v>16733.908636318087</v>
      </c>
      <c r="G49" s="16">
        <f>G44+$C$19-$C$20-$C$18</f>
        <v>14276.564335521598</v>
      </c>
      <c r="H49" s="16">
        <f>H44+$C$19-$C$20-$C$18</f>
        <v>12815.597959668998</v>
      </c>
      <c r="I49" s="16">
        <f>I44+$C$19-$C$20-$C$18</f>
        <v>12273.564136318086</v>
      </c>
      <c r="J49" s="16">
        <f>J44+$C$19-$C$20-$C$18</f>
        <v>14728.440636318082</v>
      </c>
      <c r="K49" t="str">
        <f t="shared" ca="1" si="2"/>
        <v>&lt;--=J44+$C$19-$C$20-$C$18</v>
      </c>
    </row>
    <row r="50" spans="2:11" ht="16">
      <c r="B50" s="2" t="s">
        <v>6</v>
      </c>
      <c r="C50" s="16">
        <f t="shared" ref="C50:J52" si="12">C45+$C$19-$C$20-$C$18</f>
        <v>14853.751436318085</v>
      </c>
      <c r="D50" s="16">
        <f t="shared" si="12"/>
        <v>29385.340636318084</v>
      </c>
      <c r="E50" s="16">
        <f t="shared" si="12"/>
        <v>11772.013636318085</v>
      </c>
      <c r="F50" s="16">
        <f t="shared" si="12"/>
        <v>19199.953636318085</v>
      </c>
      <c r="G50" s="16">
        <f t="shared" si="12"/>
        <v>14595.877345812736</v>
      </c>
      <c r="H50" s="16">
        <f t="shared" si="12"/>
        <v>14617.748099942266</v>
      </c>
      <c r="I50" s="16">
        <f t="shared" si="12"/>
        <v>14192.245336318087</v>
      </c>
      <c r="J50" s="16">
        <f t="shared" si="12"/>
        <v>24404.840636318084</v>
      </c>
      <c r="K50" t="str">
        <f t="shared" ca="1" si="2"/>
        <v>&lt;--=J45+$C$19-$C$20-$C$18</v>
      </c>
    </row>
    <row r="51" spans="2:11" ht="16">
      <c r="B51" s="2" t="s">
        <v>7</v>
      </c>
      <c r="C51" s="16">
        <f t="shared" si="12"/>
        <v>18236.872680762532</v>
      </c>
      <c r="D51" s="16">
        <f t="shared" si="12"/>
        <v>26926.712858540304</v>
      </c>
      <c r="E51" s="16">
        <f t="shared" si="12"/>
        <v>12638.121302984751</v>
      </c>
      <c r="F51" s="16">
        <f t="shared" si="12"/>
        <v>20415.047414095865</v>
      </c>
      <c r="G51" s="16">
        <f t="shared" si="12"/>
        <v>16598.26639056081</v>
      </c>
      <c r="H51" s="16">
        <f t="shared" si="12"/>
        <v>15483.82996347165</v>
      </c>
      <c r="I51" s="16">
        <f t="shared" si="12"/>
        <v>17017.318780762533</v>
      </c>
      <c r="J51" s="16">
        <f t="shared" si="12"/>
        <v>25005.662858540309</v>
      </c>
      <c r="K51" t="str">
        <f t="shared" ca="1" si="2"/>
        <v>&lt;--=J46+$C$19-$C$20-$C$18</v>
      </c>
    </row>
    <row r="52" spans="2:11" ht="17" thickBot="1">
      <c r="B52" s="17" t="s">
        <v>8</v>
      </c>
      <c r="C52" s="16">
        <f t="shared" si="12"/>
        <v>21029.89843631809</v>
      </c>
      <c r="D52" s="16">
        <f t="shared" si="12"/>
        <v>37140.69063631809</v>
      </c>
      <c r="E52" s="16">
        <f t="shared" si="12"/>
        <v>13819.671636318086</v>
      </c>
      <c r="F52" s="16">
        <f t="shared" si="12"/>
        <v>25301.131636318085</v>
      </c>
      <c r="G52" s="16">
        <f t="shared" si="12"/>
        <v>17119.762372360492</v>
      </c>
      <c r="H52" s="16">
        <f t="shared" si="12"/>
        <v>15706.911655592856</v>
      </c>
      <c r="I52" s="16">
        <f t="shared" si="12"/>
        <v>21020.493136318088</v>
      </c>
      <c r="J52" s="16">
        <f t="shared" si="12"/>
        <v>36642.640636318087</v>
      </c>
      <c r="K52" t="str">
        <f t="shared" ca="1" si="2"/>
        <v>&lt;--=J47+$C$19-$C$20-$C$18</v>
      </c>
    </row>
    <row r="53" spans="2:11" ht="16">
      <c r="B53" s="118" t="s">
        <v>18</v>
      </c>
      <c r="C53" s="118"/>
      <c r="D53" s="118"/>
      <c r="E53" s="118"/>
      <c r="F53" s="118"/>
      <c r="G53" s="118"/>
      <c r="H53" s="118"/>
      <c r="I53" s="118"/>
      <c r="J53" s="118"/>
      <c r="K53"/>
    </row>
    <row r="54" spans="2:11" ht="16">
      <c r="B54" s="2" t="s">
        <v>5</v>
      </c>
      <c r="C54" s="16">
        <f>C49/$C$21</f>
        <v>201.21107933815284</v>
      </c>
      <c r="D54" s="16">
        <f t="shared" ref="D54:I54" si="13">D49/$C$21</f>
        <v>236.09455509572851</v>
      </c>
      <c r="E54" s="16">
        <f t="shared" si="13"/>
        <v>156.73278236845584</v>
      </c>
      <c r="F54" s="16">
        <f t="shared" si="13"/>
        <v>253.54407024724375</v>
      </c>
      <c r="G54" s="16">
        <f t="shared" si="13"/>
        <v>216.31158084123632</v>
      </c>
      <c r="H54" s="16">
        <f t="shared" si="13"/>
        <v>194.17572666165148</v>
      </c>
      <c r="I54" s="16">
        <f t="shared" si="13"/>
        <v>185.96309297451646</v>
      </c>
      <c r="J54" s="16">
        <f>J49/$C$21</f>
        <v>223.15819145936487</v>
      </c>
      <c r="K54" t="str">
        <f t="shared" ca="1" si="2"/>
        <v>&lt;--=J49/$C$21</v>
      </c>
    </row>
    <row r="55" spans="2:11" ht="16">
      <c r="B55" s="2" t="s">
        <v>6</v>
      </c>
      <c r="C55" s="16">
        <f t="shared" ref="C55:C56" si="14">C50/$C$21</f>
        <v>225.05683994421341</v>
      </c>
      <c r="D55" s="16">
        <f t="shared" ref="D55:J55" si="15">D50/$C$21</f>
        <v>445.23243388360731</v>
      </c>
      <c r="E55" s="16">
        <f t="shared" si="15"/>
        <v>178.36384297451644</v>
      </c>
      <c r="F55" s="16">
        <f t="shared" si="15"/>
        <v>290.90838842906192</v>
      </c>
      <c r="G55" s="16">
        <f t="shared" si="15"/>
        <v>221.14965675473843</v>
      </c>
      <c r="H55" s="16">
        <f t="shared" si="15"/>
        <v>221.48103181730707</v>
      </c>
      <c r="I55" s="16">
        <f t="shared" si="15"/>
        <v>215.03402024724375</v>
      </c>
      <c r="J55" s="16">
        <f t="shared" si="15"/>
        <v>369.77031267148612</v>
      </c>
      <c r="K55" t="str">
        <f t="shared" ca="1" si="2"/>
        <v>&lt;--=J50/$C$21</v>
      </c>
    </row>
    <row r="56" spans="2:11" ht="16">
      <c r="B56" s="2" t="s">
        <v>7</v>
      </c>
      <c r="C56" s="16">
        <f t="shared" si="14"/>
        <v>276.31625273882622</v>
      </c>
      <c r="D56" s="16">
        <f t="shared" ref="D56:J56" si="16">D51/$C$21</f>
        <v>407.98049785667126</v>
      </c>
      <c r="E56" s="16">
        <f t="shared" si="16"/>
        <v>191.48668640885987</v>
      </c>
      <c r="F56" s="16">
        <f t="shared" si="16"/>
        <v>309.31890021357373</v>
      </c>
      <c r="G56" s="16">
        <f t="shared" si="16"/>
        <v>251.4888847054668</v>
      </c>
      <c r="H56" s="16">
        <f t="shared" si="16"/>
        <v>234.603484295025</v>
      </c>
      <c r="I56" s="16">
        <f t="shared" si="16"/>
        <v>257.83816334488688</v>
      </c>
      <c r="J56" s="16">
        <f t="shared" si="16"/>
        <v>378.87367967485318</v>
      </c>
      <c r="K56" t="str">
        <f t="shared" ca="1" si="2"/>
        <v>&lt;--=J51/$C$21</v>
      </c>
    </row>
    <row r="57" spans="2:11" ht="17" thickBot="1">
      <c r="B57" s="17" t="s">
        <v>8</v>
      </c>
      <c r="C57" s="18">
        <f>C52/$C$21</f>
        <v>318.63482479269834</v>
      </c>
      <c r="D57" s="18">
        <f t="shared" ref="D57:I57" si="17">D52/$C$21</f>
        <v>562.73773691391045</v>
      </c>
      <c r="E57" s="18">
        <f t="shared" si="17"/>
        <v>209.38896418663765</v>
      </c>
      <c r="F57" s="18">
        <f t="shared" si="17"/>
        <v>383.35047933815281</v>
      </c>
      <c r="G57" s="18">
        <f t="shared" si="17"/>
        <v>259.39033897515895</v>
      </c>
      <c r="H57" s="18">
        <f t="shared" si="17"/>
        <v>237.98350993322509</v>
      </c>
      <c r="I57" s="18">
        <f t="shared" si="17"/>
        <v>318.49232024724375</v>
      </c>
      <c r="J57" s="18">
        <f>J52/$C$21</f>
        <v>555.19152479269826</v>
      </c>
      <c r="K57" t="str">
        <f t="shared" ca="1" si="2"/>
        <v>&lt;--=J52/$C$21</v>
      </c>
    </row>
    <row r="61" spans="2:11">
      <c r="B61" s="68" t="s">
        <v>113</v>
      </c>
      <c r="C61" s="2" t="s">
        <v>114</v>
      </c>
    </row>
  </sheetData>
  <mergeCells count="8">
    <mergeCell ref="C27:G27"/>
    <mergeCell ref="H27:J27"/>
    <mergeCell ref="B43:J43"/>
    <mergeCell ref="B48:J48"/>
    <mergeCell ref="B53:J53"/>
    <mergeCell ref="I28:J28"/>
    <mergeCell ref="E28:F28"/>
    <mergeCell ref="G28:H2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7B5D0-1E31-5D40-9D2F-E5F5589952E6}">
  <dimension ref="A2:AC153"/>
  <sheetViews>
    <sheetView topLeftCell="A8" workbookViewId="0">
      <selection activeCell="C32" sqref="C32"/>
    </sheetView>
  </sheetViews>
  <sheetFormatPr baseColWidth="10" defaultColWidth="9.1640625" defaultRowHeight="15" outlineLevelRow="1" outlineLevelCol="1"/>
  <cols>
    <col min="1" max="1" width="9.1640625" style="19"/>
    <col min="2" max="2" width="37.33203125" style="19" customWidth="1"/>
    <col min="3" max="3" width="25.33203125" style="19" customWidth="1"/>
    <col min="4" max="4" width="100.5" style="147" customWidth="1"/>
    <col min="5" max="26" width="9.1640625" style="19"/>
    <col min="27" max="27" width="0.33203125" style="19" hidden="1" customWidth="1" outlineLevel="1"/>
    <col min="28" max="28" width="0.5" style="19" hidden="1" customWidth="1" outlineLevel="1"/>
    <col min="29" max="29" width="9.1640625" style="19" collapsed="1"/>
    <col min="30" max="16384" width="9.1640625" style="19"/>
  </cols>
  <sheetData>
    <row r="2" spans="2:28" ht="37">
      <c r="B2" s="146" t="s">
        <v>623</v>
      </c>
    </row>
    <row r="4" spans="2:28" ht="19">
      <c r="B4" s="3" t="s">
        <v>628</v>
      </c>
    </row>
    <row r="7" spans="2:28" ht="14.5" customHeight="1">
      <c r="B7" s="4" t="s">
        <v>163</v>
      </c>
      <c r="C7" s="148"/>
      <c r="D7" s="149"/>
    </row>
    <row r="8" spans="2:28" ht="14.5" customHeight="1" thickBot="1">
      <c r="B8" s="9" t="s">
        <v>0</v>
      </c>
      <c r="C8" s="150" t="s">
        <v>622</v>
      </c>
      <c r="D8" s="149"/>
    </row>
    <row r="9" spans="2:28">
      <c r="B9" s="2"/>
      <c r="C9" s="151"/>
      <c r="D9" s="149"/>
    </row>
    <row r="10" spans="2:28" ht="16">
      <c r="B10" s="4" t="s">
        <v>164</v>
      </c>
      <c r="C10" s="148" t="s">
        <v>165</v>
      </c>
      <c r="D10" s="152" t="s">
        <v>166</v>
      </c>
      <c r="AA10" s="153" t="s">
        <v>167</v>
      </c>
      <c r="AB10" s="153" t="s">
        <v>168</v>
      </c>
    </row>
    <row r="11" spans="2:28" ht="14.5" customHeight="1">
      <c r="B11" s="2" t="s">
        <v>169</v>
      </c>
      <c r="C11" s="154" t="s">
        <v>170</v>
      </c>
      <c r="D11" s="149" t="s">
        <v>171</v>
      </c>
      <c r="AA11" s="19" t="s">
        <v>172</v>
      </c>
      <c r="AB11" s="19" t="s">
        <v>173</v>
      </c>
    </row>
    <row r="12" spans="2:28" ht="14.5" customHeight="1">
      <c r="B12" s="2" t="s">
        <v>174</v>
      </c>
      <c r="C12" s="154" t="s">
        <v>211</v>
      </c>
      <c r="D12" s="149" t="s">
        <v>176</v>
      </c>
      <c r="AA12" s="19" t="s">
        <v>177</v>
      </c>
      <c r="AB12" s="19" t="s">
        <v>178</v>
      </c>
    </row>
    <row r="13" spans="2:28" ht="14.5" customHeight="1">
      <c r="B13" s="2" t="s">
        <v>179</v>
      </c>
      <c r="C13" s="155">
        <f>0.0428</f>
        <v>4.2799999999999998E-2</v>
      </c>
      <c r="D13" s="149" t="s">
        <v>625</v>
      </c>
      <c r="AA13" s="19" t="s">
        <v>180</v>
      </c>
      <c r="AB13" s="19" t="s">
        <v>181</v>
      </c>
    </row>
    <row r="14" spans="2:28" ht="14.5" customHeight="1">
      <c r="B14" s="2" t="s">
        <v>618</v>
      </c>
      <c r="C14" s="155">
        <f>0.4</f>
        <v>0.4</v>
      </c>
      <c r="D14" s="149"/>
    </row>
    <row r="15" spans="2:28" ht="17" outlineLevel="1" thickBot="1">
      <c r="B15" s="9" t="s">
        <v>182</v>
      </c>
      <c r="C15" s="156">
        <v>0</v>
      </c>
      <c r="D15" s="157" t="s">
        <v>621</v>
      </c>
      <c r="AA15" s="19" t="s">
        <v>183</v>
      </c>
      <c r="AB15" s="19" t="s">
        <v>184</v>
      </c>
    </row>
    <row r="16" spans="2:28" ht="16" thickBot="1">
      <c r="B16" s="2"/>
      <c r="C16" s="158"/>
      <c r="D16" s="149"/>
      <c r="AA16" s="19" t="s">
        <v>187</v>
      </c>
      <c r="AB16" s="19" t="s">
        <v>188</v>
      </c>
    </row>
    <row r="17" spans="2:28" s="2" customFormat="1" ht="14.5" customHeight="1" thickBot="1">
      <c r="B17" s="11" t="s">
        <v>189</v>
      </c>
      <c r="C17" s="159"/>
      <c r="D17" s="160"/>
      <c r="AA17" s="19" t="s">
        <v>190</v>
      </c>
      <c r="AB17" s="19" t="s">
        <v>191</v>
      </c>
    </row>
    <row r="18" spans="2:28" s="164" customFormat="1" ht="14.5" customHeight="1" thickBot="1">
      <c r="B18" s="161" t="s">
        <v>192</v>
      </c>
      <c r="C18" s="162" t="s">
        <v>193</v>
      </c>
      <c r="D18" s="163" t="s">
        <v>194</v>
      </c>
      <c r="AA18" s="19" t="s">
        <v>195</v>
      </c>
      <c r="AB18" s="19" t="s">
        <v>196</v>
      </c>
    </row>
    <row r="19" spans="2:28" s="2" customFormat="1" ht="14.5" customHeight="1">
      <c r="B19" s="2" t="s">
        <v>197</v>
      </c>
      <c r="C19" s="165">
        <f>VLOOKUP(C12,'Industry Averages(US)'!A2:AA95,7)</f>
        <v>0.92964265743301178</v>
      </c>
      <c r="D19" s="149" t="s">
        <v>566</v>
      </c>
      <c r="AA19" s="19" t="s">
        <v>198</v>
      </c>
      <c r="AB19" s="19" t="s">
        <v>199</v>
      </c>
    </row>
    <row r="20" spans="2:28" s="2" customFormat="1" ht="14.5" customHeight="1">
      <c r="B20" s="2" t="s">
        <v>203</v>
      </c>
      <c r="C20" s="166">
        <f>'Tax rate analysis'!B9</f>
        <v>0.28163067401773845</v>
      </c>
      <c r="D20" s="149" t="str">
        <f>'Tax rate analysis'!A9</f>
        <v>Weighted average</v>
      </c>
      <c r="AA20" s="19" t="s">
        <v>205</v>
      </c>
      <c r="AB20" s="19" t="s">
        <v>206</v>
      </c>
    </row>
    <row r="21" spans="2:28" s="2" customFormat="1" ht="14.5" customHeight="1">
      <c r="B21" s="2" t="s">
        <v>207</v>
      </c>
      <c r="C21" s="165">
        <f>VLOOKUP(C12,'Industry Averages(US)'!A2:AA95,8)</f>
        <v>1.0221017216409709</v>
      </c>
      <c r="D21" s="149" t="s">
        <v>566</v>
      </c>
      <c r="AA21" s="19" t="s">
        <v>208</v>
      </c>
      <c r="AB21" s="19" t="s">
        <v>209</v>
      </c>
    </row>
    <row r="22" spans="2:28" s="2" customFormat="1" ht="14.5" customHeight="1">
      <c r="B22" s="2" t="s">
        <v>179</v>
      </c>
      <c r="C22" s="166">
        <f>C13</f>
        <v>4.2799999999999998E-2</v>
      </c>
      <c r="D22" s="149" t="str">
        <f>D13</f>
        <v>Central Bank rate. Source externally (Preferably 10 yr rate)</v>
      </c>
      <c r="AA22" s="19" t="s">
        <v>210</v>
      </c>
      <c r="AB22" s="19" t="s">
        <v>211</v>
      </c>
    </row>
    <row r="23" spans="2:28" s="2" customFormat="1" ht="14.5" customHeight="1">
      <c r="B23" s="2" t="s">
        <v>182</v>
      </c>
      <c r="C23" s="166">
        <v>0</v>
      </c>
      <c r="D23" s="149" t="s">
        <v>212</v>
      </c>
      <c r="AA23" s="19" t="s">
        <v>213</v>
      </c>
      <c r="AB23" s="19" t="s">
        <v>214</v>
      </c>
    </row>
    <row r="24" spans="2:28" ht="14.5" customHeight="1">
      <c r="B24" s="2" t="s">
        <v>215</v>
      </c>
      <c r="C24" s="166">
        <f>VLOOKUP(C11,'Country equity risk premiums'!A5:F195,4)</f>
        <v>4.4999999999999998E-2</v>
      </c>
      <c r="D24" s="149" t="s">
        <v>216</v>
      </c>
      <c r="AA24" s="19" t="s">
        <v>217</v>
      </c>
      <c r="AB24" s="19" t="s">
        <v>218</v>
      </c>
    </row>
    <row r="25" spans="2:28" ht="14.5" customHeight="1">
      <c r="B25" s="2" t="s">
        <v>219</v>
      </c>
      <c r="C25" s="166">
        <f>VLOOKUP(C11,'Country equity risk premiums'!A5:F195,5)</f>
        <v>0</v>
      </c>
      <c r="D25" s="149" t="s">
        <v>220</v>
      </c>
      <c r="AA25" s="19" t="s">
        <v>221</v>
      </c>
      <c r="AB25" s="19" t="s">
        <v>222</v>
      </c>
    </row>
    <row r="26" spans="2:28" ht="14.5" customHeight="1">
      <c r="B26" s="167" t="s">
        <v>225</v>
      </c>
      <c r="C26" s="168">
        <f>C13+C15+C21*C24+C33</f>
        <v>8.8794577473843686E-2</v>
      </c>
      <c r="D26" s="169" t="s">
        <v>619</v>
      </c>
      <c r="AA26" s="19" t="s">
        <v>226</v>
      </c>
      <c r="AB26" s="19" t="s">
        <v>227</v>
      </c>
    </row>
    <row r="27" spans="2:28" ht="14.5" customHeight="1">
      <c r="B27" s="2"/>
      <c r="C27" s="158"/>
      <c r="D27" s="149"/>
      <c r="AA27" s="19" t="s">
        <v>228</v>
      </c>
      <c r="AB27" s="19" t="s">
        <v>229</v>
      </c>
    </row>
    <row r="28" spans="2:28" ht="14.5" customHeight="1">
      <c r="B28" s="170" t="s">
        <v>203</v>
      </c>
      <c r="C28" s="166">
        <f>C20</f>
        <v>0.28163067401773845</v>
      </c>
      <c r="D28" s="149" t="s">
        <v>204</v>
      </c>
      <c r="AA28" s="19" t="s">
        <v>230</v>
      </c>
      <c r="AB28" s="19" t="s">
        <v>231</v>
      </c>
    </row>
    <row r="29" spans="2:28" ht="14.5" customHeight="1">
      <c r="B29" s="170" t="s">
        <v>179</v>
      </c>
      <c r="C29" s="166">
        <f>C22</f>
        <v>4.2799999999999998E-2</v>
      </c>
      <c r="D29" s="171" t="str">
        <f>D22</f>
        <v>Central Bank rate. Source externally (Preferably 10 yr rate)</v>
      </c>
      <c r="AA29" s="19" t="s">
        <v>232</v>
      </c>
      <c r="AB29" s="19" t="s">
        <v>233</v>
      </c>
    </row>
    <row r="30" spans="2:28" ht="14.5" customHeight="1">
      <c r="B30" s="2" t="s">
        <v>234</v>
      </c>
      <c r="C30" s="166">
        <f>'Synthetic rating'!D16</f>
        <v>9.5200000000000007E-2</v>
      </c>
      <c r="D30" s="149" t="s">
        <v>620</v>
      </c>
      <c r="AA30" s="19" t="s">
        <v>235</v>
      </c>
      <c r="AB30" s="19" t="s">
        <v>236</v>
      </c>
    </row>
    <row r="31" spans="2:28" ht="14.5" customHeight="1">
      <c r="B31" s="2" t="s">
        <v>715</v>
      </c>
      <c r="C31" s="166" t="str">
        <f>'Synthetic rating'!D13</f>
        <v>B3/B-</v>
      </c>
      <c r="D31" s="149" t="s">
        <v>716</v>
      </c>
    </row>
    <row r="32" spans="2:28" ht="14.5" customHeight="1">
      <c r="B32" s="170" t="s">
        <v>182</v>
      </c>
      <c r="C32" s="166">
        <f>C15</f>
        <v>0</v>
      </c>
      <c r="D32" s="149" t="s">
        <v>212</v>
      </c>
      <c r="AA32" s="19" t="s">
        <v>237</v>
      </c>
      <c r="AB32" s="19" t="s">
        <v>238</v>
      </c>
    </row>
    <row r="33" spans="1:28" s="172" customFormat="1" ht="14.5" customHeight="1">
      <c r="A33" s="19"/>
      <c r="B33" s="170" t="s">
        <v>219</v>
      </c>
      <c r="C33" s="166">
        <f>C25</f>
        <v>0</v>
      </c>
      <c r="D33" s="171" t="s">
        <v>220</v>
      </c>
      <c r="AA33" s="19" t="s">
        <v>239</v>
      </c>
      <c r="AB33" s="19" t="s">
        <v>240</v>
      </c>
    </row>
    <row r="34" spans="1:28" ht="14.5" customHeight="1">
      <c r="B34" s="167" t="s">
        <v>243</v>
      </c>
      <c r="C34" s="168">
        <f>(C29+C30+C32+C33)*(1-C28)</f>
        <v>9.9134966985552103E-2</v>
      </c>
      <c r="D34" s="169" t="s">
        <v>567</v>
      </c>
      <c r="AA34" s="19" t="s">
        <v>244</v>
      </c>
      <c r="AB34" s="19" t="s">
        <v>245</v>
      </c>
    </row>
    <row r="35" spans="1:28" ht="14.5" customHeight="1">
      <c r="B35" s="2"/>
      <c r="C35" s="158"/>
      <c r="D35" s="149"/>
      <c r="AA35" s="19" t="s">
        <v>246</v>
      </c>
      <c r="AB35" s="19" t="s">
        <v>247</v>
      </c>
    </row>
    <row r="36" spans="1:28" ht="14.5" customHeight="1">
      <c r="B36" s="170" t="s">
        <v>225</v>
      </c>
      <c r="C36" s="166">
        <f>C26</f>
        <v>8.8794577473843686E-2</v>
      </c>
      <c r="D36" s="171" t="s">
        <v>617</v>
      </c>
      <c r="AA36" s="19" t="s">
        <v>248</v>
      </c>
      <c r="AB36" s="19" t="s">
        <v>249</v>
      </c>
    </row>
    <row r="37" spans="1:28" ht="14.5" customHeight="1">
      <c r="B37" s="170" t="s">
        <v>243</v>
      </c>
      <c r="C37" s="166">
        <f>C34</f>
        <v>9.9134966985552103E-2</v>
      </c>
      <c r="D37" s="171" t="s">
        <v>567</v>
      </c>
      <c r="AA37" s="19" t="s">
        <v>250</v>
      </c>
      <c r="AB37" s="19" t="s">
        <v>251</v>
      </c>
    </row>
    <row r="38" spans="1:28" ht="14.5" customHeight="1">
      <c r="B38" s="167" t="s">
        <v>137</v>
      </c>
      <c r="C38" s="168">
        <f>C36*(1-C14)+C37*(C14)</f>
        <v>9.293073327852705E-2</v>
      </c>
      <c r="D38" s="169" t="s">
        <v>252</v>
      </c>
      <c r="AA38" s="19" t="s">
        <v>253</v>
      </c>
      <c r="AB38" s="19" t="s">
        <v>254</v>
      </c>
    </row>
    <row r="39" spans="1:28">
      <c r="B39" s="2"/>
      <c r="C39" s="2"/>
      <c r="D39" s="149"/>
      <c r="AA39" s="19" t="s">
        <v>255</v>
      </c>
      <c r="AB39" s="19" t="s">
        <v>256</v>
      </c>
    </row>
    <row r="40" spans="1:28">
      <c r="B40" s="2"/>
      <c r="C40" s="2"/>
      <c r="D40" s="149"/>
      <c r="AA40" s="19" t="s">
        <v>257</v>
      </c>
      <c r="AB40" s="19" t="s">
        <v>258</v>
      </c>
    </row>
    <row r="41" spans="1:28">
      <c r="B41" s="2"/>
      <c r="C41" s="2"/>
      <c r="D41" s="149"/>
      <c r="AA41" s="19" t="s">
        <v>259</v>
      </c>
      <c r="AB41" s="19" t="s">
        <v>260</v>
      </c>
    </row>
    <row r="42" spans="1:28">
      <c r="B42" s="2"/>
      <c r="C42" s="2"/>
      <c r="D42" s="149"/>
      <c r="AA42" s="19" t="s">
        <v>261</v>
      </c>
      <c r="AB42" s="19" t="s">
        <v>262</v>
      </c>
    </row>
    <row r="43" spans="1:28">
      <c r="B43" s="2"/>
      <c r="C43" s="2"/>
      <c r="D43" s="149"/>
      <c r="AA43" s="19" t="s">
        <v>263</v>
      </c>
      <c r="AB43" s="19" t="s">
        <v>264</v>
      </c>
    </row>
    <row r="44" spans="1:28">
      <c r="B44" s="2"/>
      <c r="C44" s="2"/>
      <c r="D44" s="149"/>
      <c r="AA44" s="19" t="s">
        <v>265</v>
      </c>
      <c r="AB44" s="19" t="s">
        <v>266</v>
      </c>
    </row>
    <row r="45" spans="1:28">
      <c r="B45" s="2"/>
      <c r="C45" s="2"/>
      <c r="D45" s="149"/>
      <c r="AA45" s="19" t="s">
        <v>267</v>
      </c>
      <c r="AB45" s="19" t="s">
        <v>268</v>
      </c>
    </row>
    <row r="46" spans="1:28">
      <c r="B46" s="2"/>
      <c r="C46" s="2"/>
      <c r="D46" s="149"/>
      <c r="AA46" s="19" t="s">
        <v>269</v>
      </c>
      <c r="AB46" s="19" t="s">
        <v>270</v>
      </c>
    </row>
    <row r="47" spans="1:28">
      <c r="B47" s="2"/>
      <c r="C47" s="2"/>
      <c r="D47" s="149"/>
      <c r="AA47" s="19" t="s">
        <v>271</v>
      </c>
      <c r="AB47" s="19" t="s">
        <v>272</v>
      </c>
    </row>
    <row r="48" spans="1:28">
      <c r="B48" s="2"/>
      <c r="C48" s="2"/>
      <c r="D48" s="149"/>
      <c r="AA48" s="19" t="s">
        <v>273</v>
      </c>
      <c r="AB48" s="19" t="s">
        <v>274</v>
      </c>
    </row>
    <row r="49" spans="2:28">
      <c r="B49" s="2"/>
      <c r="C49" s="2"/>
      <c r="D49" s="149"/>
      <c r="AA49" s="19" t="s">
        <v>275</v>
      </c>
      <c r="AB49" s="19" t="s">
        <v>276</v>
      </c>
    </row>
    <row r="50" spans="2:28">
      <c r="B50" s="2"/>
      <c r="C50" s="2"/>
      <c r="D50" s="149"/>
      <c r="AA50" s="19" t="s">
        <v>277</v>
      </c>
      <c r="AB50" s="19" t="s">
        <v>278</v>
      </c>
    </row>
    <row r="51" spans="2:28">
      <c r="B51" s="2"/>
      <c r="C51" s="2"/>
      <c r="D51" s="149"/>
      <c r="AA51" s="19" t="s">
        <v>279</v>
      </c>
      <c r="AB51" s="19" t="s">
        <v>280</v>
      </c>
    </row>
    <row r="52" spans="2:28">
      <c r="B52" s="2"/>
      <c r="C52" s="2"/>
      <c r="D52" s="149"/>
      <c r="AA52" s="19" t="s">
        <v>281</v>
      </c>
      <c r="AB52" s="19" t="s">
        <v>282</v>
      </c>
    </row>
    <row r="53" spans="2:28">
      <c r="B53" s="2"/>
      <c r="C53" s="2"/>
      <c r="D53" s="149"/>
      <c r="AA53" s="19" t="s">
        <v>283</v>
      </c>
      <c r="AB53" s="19" t="s">
        <v>284</v>
      </c>
    </row>
    <row r="54" spans="2:28">
      <c r="B54" s="2"/>
      <c r="C54" s="2"/>
      <c r="D54" s="149"/>
      <c r="AA54" s="19" t="s">
        <v>285</v>
      </c>
      <c r="AB54" s="19" t="s">
        <v>286</v>
      </c>
    </row>
    <row r="55" spans="2:28">
      <c r="B55" s="2"/>
      <c r="C55" s="2"/>
      <c r="D55" s="149"/>
      <c r="AA55" s="19" t="s">
        <v>287</v>
      </c>
      <c r="AB55" s="19" t="s">
        <v>288</v>
      </c>
    </row>
    <row r="56" spans="2:28">
      <c r="B56" s="2"/>
      <c r="C56" s="2"/>
      <c r="D56" s="149"/>
      <c r="AA56" s="19" t="s">
        <v>289</v>
      </c>
      <c r="AB56" s="19" t="s">
        <v>290</v>
      </c>
    </row>
    <row r="57" spans="2:28">
      <c r="B57" s="2"/>
      <c r="C57" s="2"/>
      <c r="D57" s="149"/>
      <c r="AA57" s="19" t="s">
        <v>291</v>
      </c>
      <c r="AB57" s="19" t="s">
        <v>292</v>
      </c>
    </row>
    <row r="58" spans="2:28">
      <c r="B58" s="2"/>
      <c r="C58" s="2"/>
      <c r="D58" s="149"/>
      <c r="AA58" s="19" t="s">
        <v>293</v>
      </c>
      <c r="AB58" s="19" t="s">
        <v>294</v>
      </c>
    </row>
    <row r="59" spans="2:28">
      <c r="B59" s="2"/>
      <c r="C59" s="2"/>
      <c r="D59" s="149"/>
      <c r="AA59" s="19" t="s">
        <v>295</v>
      </c>
      <c r="AB59" s="19" t="s">
        <v>296</v>
      </c>
    </row>
    <row r="60" spans="2:28">
      <c r="B60" s="2"/>
      <c r="C60" s="2"/>
      <c r="D60" s="149"/>
      <c r="AA60" s="19" t="s">
        <v>297</v>
      </c>
      <c r="AB60" s="19" t="s">
        <v>298</v>
      </c>
    </row>
    <row r="61" spans="2:28">
      <c r="B61" s="2"/>
      <c r="C61" s="2"/>
      <c r="D61" s="149"/>
      <c r="AA61" s="19" t="s">
        <v>299</v>
      </c>
      <c r="AB61" s="19" t="s">
        <v>300</v>
      </c>
    </row>
    <row r="62" spans="2:28">
      <c r="B62" s="2"/>
      <c r="C62" s="2"/>
      <c r="D62" s="149"/>
      <c r="AA62" s="19" t="s">
        <v>301</v>
      </c>
      <c r="AB62" s="19" t="s">
        <v>302</v>
      </c>
    </row>
    <row r="63" spans="2:28">
      <c r="B63" s="2"/>
      <c r="C63" s="2"/>
      <c r="D63" s="149"/>
      <c r="AA63" s="19" t="s">
        <v>303</v>
      </c>
      <c r="AB63" s="19" t="s">
        <v>304</v>
      </c>
    </row>
    <row r="64" spans="2:28">
      <c r="B64" s="2"/>
      <c r="C64" s="2"/>
      <c r="D64" s="149"/>
      <c r="AA64" s="19" t="s">
        <v>305</v>
      </c>
      <c r="AB64" s="19" t="s">
        <v>306</v>
      </c>
    </row>
    <row r="65" spans="2:28">
      <c r="B65" s="2"/>
      <c r="C65" s="2"/>
      <c r="D65" s="149"/>
      <c r="AA65" s="19" t="s">
        <v>307</v>
      </c>
      <c r="AB65" s="19" t="s">
        <v>308</v>
      </c>
    </row>
    <row r="66" spans="2:28">
      <c r="B66" s="2"/>
      <c r="C66" s="2"/>
      <c r="D66" s="149"/>
      <c r="AA66" s="19" t="s">
        <v>309</v>
      </c>
      <c r="AB66" s="19" t="s">
        <v>310</v>
      </c>
    </row>
    <row r="67" spans="2:28">
      <c r="B67" s="2"/>
      <c r="C67" s="2"/>
      <c r="D67" s="149"/>
      <c r="AA67" s="19" t="s">
        <v>311</v>
      </c>
      <c r="AB67" s="19" t="s">
        <v>312</v>
      </c>
    </row>
    <row r="68" spans="2:28">
      <c r="B68" s="2"/>
      <c r="C68" s="2"/>
      <c r="D68" s="149"/>
      <c r="AA68" s="19" t="s">
        <v>313</v>
      </c>
      <c r="AB68" s="19" t="s">
        <v>314</v>
      </c>
    </row>
    <row r="69" spans="2:28">
      <c r="B69" s="2"/>
      <c r="C69" s="2"/>
      <c r="D69" s="149"/>
      <c r="AA69" s="19" t="s">
        <v>315</v>
      </c>
      <c r="AB69" s="19" t="s">
        <v>316</v>
      </c>
    </row>
    <row r="70" spans="2:28">
      <c r="B70" s="2"/>
      <c r="C70" s="2"/>
      <c r="D70" s="149"/>
      <c r="AA70" s="19" t="s">
        <v>317</v>
      </c>
      <c r="AB70" s="19" t="s">
        <v>318</v>
      </c>
    </row>
    <row r="71" spans="2:28">
      <c r="B71" s="2"/>
      <c r="C71" s="2"/>
      <c r="D71" s="149"/>
      <c r="AA71" s="19" t="s">
        <v>319</v>
      </c>
      <c r="AB71" s="19" t="s">
        <v>320</v>
      </c>
    </row>
    <row r="72" spans="2:28">
      <c r="B72" s="2"/>
      <c r="C72" s="2"/>
      <c r="D72" s="149"/>
      <c r="AA72" s="19" t="s">
        <v>321</v>
      </c>
      <c r="AB72" s="19" t="s">
        <v>322</v>
      </c>
    </row>
    <row r="73" spans="2:28">
      <c r="B73" s="2"/>
      <c r="C73" s="2"/>
      <c r="D73" s="149"/>
      <c r="AA73" s="19" t="s">
        <v>323</v>
      </c>
      <c r="AB73" s="19" t="s">
        <v>324</v>
      </c>
    </row>
    <row r="74" spans="2:28">
      <c r="B74" s="2"/>
      <c r="C74" s="2"/>
      <c r="D74" s="149"/>
      <c r="AA74" s="19" t="s">
        <v>325</v>
      </c>
      <c r="AB74" s="19" t="s">
        <v>326</v>
      </c>
    </row>
    <row r="75" spans="2:28">
      <c r="B75" s="2"/>
      <c r="C75" s="2"/>
      <c r="D75" s="149"/>
      <c r="AA75" s="19" t="s">
        <v>327</v>
      </c>
      <c r="AB75" s="19" t="s">
        <v>328</v>
      </c>
    </row>
    <row r="76" spans="2:28">
      <c r="B76" s="2"/>
      <c r="C76" s="2"/>
      <c r="D76" s="149"/>
      <c r="AA76" s="19" t="s">
        <v>329</v>
      </c>
      <c r="AB76" s="19" t="s">
        <v>330</v>
      </c>
    </row>
    <row r="77" spans="2:28">
      <c r="B77" s="2"/>
      <c r="C77" s="2"/>
      <c r="D77" s="149"/>
      <c r="AA77" s="19" t="s">
        <v>331</v>
      </c>
      <c r="AB77" s="19" t="s">
        <v>332</v>
      </c>
    </row>
    <row r="78" spans="2:28">
      <c r="B78" s="2"/>
      <c r="C78" s="2"/>
      <c r="D78" s="149"/>
      <c r="AA78" s="19" t="s">
        <v>333</v>
      </c>
      <c r="AB78" s="19" t="s">
        <v>334</v>
      </c>
    </row>
    <row r="79" spans="2:28">
      <c r="B79" s="2"/>
      <c r="C79" s="2"/>
      <c r="D79" s="149"/>
      <c r="AA79" s="19" t="s">
        <v>335</v>
      </c>
      <c r="AB79" s="19" t="s">
        <v>336</v>
      </c>
    </row>
    <row r="80" spans="2:28">
      <c r="B80" s="2"/>
      <c r="C80" s="2"/>
      <c r="D80" s="149"/>
      <c r="AA80" s="19" t="s">
        <v>337</v>
      </c>
      <c r="AB80" s="19" t="s">
        <v>338</v>
      </c>
    </row>
    <row r="81" spans="2:28">
      <c r="B81" s="2"/>
      <c r="C81" s="2"/>
      <c r="D81" s="149"/>
      <c r="AA81" s="19" t="s">
        <v>339</v>
      </c>
      <c r="AB81" s="19" t="s">
        <v>340</v>
      </c>
    </row>
    <row r="82" spans="2:28">
      <c r="B82" s="2"/>
      <c r="C82" s="2"/>
      <c r="D82" s="149"/>
      <c r="AA82" s="19" t="s">
        <v>341</v>
      </c>
      <c r="AB82" s="19" t="s">
        <v>342</v>
      </c>
    </row>
    <row r="83" spans="2:28">
      <c r="B83" s="2"/>
      <c r="C83" s="2"/>
      <c r="D83" s="149"/>
      <c r="AA83" s="19" t="s">
        <v>343</v>
      </c>
      <c r="AB83" s="19" t="s">
        <v>344</v>
      </c>
    </row>
    <row r="84" spans="2:28">
      <c r="B84" s="2"/>
      <c r="C84" s="2"/>
      <c r="D84" s="149"/>
      <c r="AA84" s="19" t="s">
        <v>345</v>
      </c>
      <c r="AB84" s="19" t="s">
        <v>346</v>
      </c>
    </row>
    <row r="85" spans="2:28">
      <c r="B85" s="2"/>
      <c r="C85" s="2"/>
      <c r="D85" s="149"/>
      <c r="AA85" s="19" t="s">
        <v>347</v>
      </c>
      <c r="AB85" s="19" t="s">
        <v>348</v>
      </c>
    </row>
    <row r="86" spans="2:28">
      <c r="B86" s="2"/>
      <c r="C86" s="2"/>
      <c r="D86" s="149"/>
      <c r="AA86" s="19" t="s">
        <v>349</v>
      </c>
      <c r="AB86" s="19" t="s">
        <v>350</v>
      </c>
    </row>
    <row r="87" spans="2:28">
      <c r="B87" s="2"/>
      <c r="C87" s="2"/>
      <c r="D87" s="149"/>
      <c r="AA87" s="19" t="s">
        <v>351</v>
      </c>
      <c r="AB87" s="19" t="s">
        <v>352</v>
      </c>
    </row>
    <row r="88" spans="2:28">
      <c r="B88" s="2"/>
      <c r="C88" s="2"/>
      <c r="D88" s="149"/>
      <c r="AA88" s="19" t="s">
        <v>353</v>
      </c>
      <c r="AB88" s="19" t="s">
        <v>354</v>
      </c>
    </row>
    <row r="89" spans="2:28">
      <c r="B89" s="2"/>
      <c r="C89" s="2"/>
      <c r="D89" s="149"/>
      <c r="AA89" s="19" t="s">
        <v>355</v>
      </c>
      <c r="AB89" s="19" t="s">
        <v>356</v>
      </c>
    </row>
    <row r="90" spans="2:28">
      <c r="B90" s="2"/>
      <c r="C90" s="2"/>
      <c r="D90" s="149"/>
      <c r="AA90" s="19" t="s">
        <v>357</v>
      </c>
      <c r="AB90" s="19" t="s">
        <v>358</v>
      </c>
    </row>
    <row r="91" spans="2:28">
      <c r="B91" s="2"/>
      <c r="C91" s="2"/>
      <c r="D91" s="149"/>
      <c r="AA91" s="19" t="s">
        <v>359</v>
      </c>
      <c r="AB91" s="19" t="s">
        <v>360</v>
      </c>
    </row>
    <row r="92" spans="2:28">
      <c r="B92" s="2"/>
      <c r="C92" s="2"/>
      <c r="D92" s="149"/>
      <c r="AA92" s="19" t="s">
        <v>361</v>
      </c>
      <c r="AB92" s="19" t="s">
        <v>362</v>
      </c>
    </row>
    <row r="93" spans="2:28">
      <c r="B93" s="2"/>
      <c r="C93" s="2"/>
      <c r="D93" s="149"/>
      <c r="AA93" s="19" t="s">
        <v>363</v>
      </c>
      <c r="AB93" s="19" t="s">
        <v>364</v>
      </c>
    </row>
    <row r="94" spans="2:28">
      <c r="B94" s="2"/>
      <c r="C94" s="2"/>
      <c r="D94" s="149"/>
      <c r="AA94" s="19" t="s">
        <v>365</v>
      </c>
      <c r="AB94" s="19" t="s">
        <v>366</v>
      </c>
    </row>
    <row r="95" spans="2:28">
      <c r="B95" s="2"/>
      <c r="C95" s="2"/>
      <c r="D95" s="149"/>
      <c r="AA95" s="19" t="s">
        <v>367</v>
      </c>
      <c r="AB95" s="19" t="s">
        <v>368</v>
      </c>
    </row>
    <row r="96" spans="2:28">
      <c r="AA96" s="19" t="s">
        <v>369</v>
      </c>
      <c r="AB96" s="19" t="s">
        <v>370</v>
      </c>
    </row>
    <row r="97" spans="27:28">
      <c r="AA97" s="19" t="s">
        <v>371</v>
      </c>
      <c r="AB97" s="19" t="s">
        <v>372</v>
      </c>
    </row>
    <row r="98" spans="27:28">
      <c r="AA98" s="19" t="s">
        <v>373</v>
      </c>
      <c r="AB98" s="19" t="s">
        <v>374</v>
      </c>
    </row>
    <row r="99" spans="27:28">
      <c r="AA99" s="19" t="s">
        <v>375</v>
      </c>
      <c r="AB99" s="19" t="s">
        <v>376</v>
      </c>
    </row>
    <row r="100" spans="27:28">
      <c r="AA100" s="19" t="s">
        <v>377</v>
      </c>
      <c r="AB100" s="19" t="s">
        <v>378</v>
      </c>
    </row>
    <row r="101" spans="27:28">
      <c r="AA101" s="19" t="s">
        <v>379</v>
      </c>
      <c r="AB101" s="19" t="s">
        <v>380</v>
      </c>
    </row>
    <row r="102" spans="27:28">
      <c r="AA102" s="19" t="s">
        <v>381</v>
      </c>
      <c r="AB102" s="19" t="s">
        <v>382</v>
      </c>
    </row>
    <row r="103" spans="27:28">
      <c r="AA103" s="19" t="s">
        <v>383</v>
      </c>
      <c r="AB103" s="19" t="s">
        <v>384</v>
      </c>
    </row>
    <row r="104" spans="27:28">
      <c r="AA104" s="19" t="s">
        <v>385</v>
      </c>
    </row>
    <row r="105" spans="27:28">
      <c r="AA105" s="19" t="s">
        <v>386</v>
      </c>
    </row>
    <row r="106" spans="27:28">
      <c r="AA106" s="19" t="s">
        <v>387</v>
      </c>
    </row>
    <row r="107" spans="27:28">
      <c r="AA107" s="19" t="s">
        <v>388</v>
      </c>
    </row>
    <row r="108" spans="27:28">
      <c r="AA108" s="19" t="s">
        <v>389</v>
      </c>
    </row>
    <row r="109" spans="27:28">
      <c r="AA109" s="19" t="s">
        <v>390</v>
      </c>
    </row>
    <row r="110" spans="27:28">
      <c r="AA110" s="19" t="s">
        <v>391</v>
      </c>
    </row>
    <row r="111" spans="27:28">
      <c r="AA111" s="19" t="s">
        <v>392</v>
      </c>
    </row>
    <row r="112" spans="27:28">
      <c r="AA112" s="19" t="s">
        <v>393</v>
      </c>
    </row>
    <row r="113" spans="27:27">
      <c r="AA113" s="19" t="s">
        <v>394</v>
      </c>
    </row>
    <row r="114" spans="27:27">
      <c r="AA114" s="19" t="s">
        <v>395</v>
      </c>
    </row>
    <row r="115" spans="27:27">
      <c r="AA115" s="19" t="s">
        <v>396</v>
      </c>
    </row>
    <row r="116" spans="27:27">
      <c r="AA116" s="19" t="s">
        <v>397</v>
      </c>
    </row>
    <row r="117" spans="27:27">
      <c r="AA117" s="19" t="s">
        <v>398</v>
      </c>
    </row>
    <row r="118" spans="27:27">
      <c r="AA118" s="19" t="s">
        <v>399</v>
      </c>
    </row>
    <row r="119" spans="27:27">
      <c r="AA119" s="19" t="s">
        <v>400</v>
      </c>
    </row>
    <row r="120" spans="27:27">
      <c r="AA120" s="19" t="s">
        <v>401</v>
      </c>
    </row>
    <row r="121" spans="27:27">
      <c r="AA121" s="19" t="s">
        <v>402</v>
      </c>
    </row>
    <row r="122" spans="27:27">
      <c r="AA122" s="19" t="s">
        <v>403</v>
      </c>
    </row>
    <row r="123" spans="27:27">
      <c r="AA123" s="19" t="s">
        <v>404</v>
      </c>
    </row>
    <row r="124" spans="27:27">
      <c r="AA124" s="19" t="s">
        <v>405</v>
      </c>
    </row>
    <row r="125" spans="27:27">
      <c r="AA125" s="19" t="s">
        <v>406</v>
      </c>
    </row>
    <row r="126" spans="27:27">
      <c r="AA126" s="19" t="s">
        <v>407</v>
      </c>
    </row>
    <row r="127" spans="27:27">
      <c r="AA127" s="19" t="s">
        <v>408</v>
      </c>
    </row>
    <row r="128" spans="27:27">
      <c r="AA128" s="19" t="s">
        <v>409</v>
      </c>
    </row>
    <row r="129" spans="27:27">
      <c r="AA129" s="19" t="s">
        <v>410</v>
      </c>
    </row>
    <row r="130" spans="27:27">
      <c r="AA130" s="19" t="s">
        <v>411</v>
      </c>
    </row>
    <row r="131" spans="27:27">
      <c r="AA131" s="19" t="s">
        <v>412</v>
      </c>
    </row>
    <row r="132" spans="27:27">
      <c r="AA132" s="19" t="s">
        <v>413</v>
      </c>
    </row>
    <row r="133" spans="27:27">
      <c r="AA133" s="19" t="s">
        <v>414</v>
      </c>
    </row>
    <row r="134" spans="27:27">
      <c r="AA134" s="19" t="s">
        <v>415</v>
      </c>
    </row>
    <row r="135" spans="27:27">
      <c r="AA135" s="19" t="s">
        <v>416</v>
      </c>
    </row>
    <row r="136" spans="27:27">
      <c r="AA136" s="19" t="s">
        <v>417</v>
      </c>
    </row>
    <row r="137" spans="27:27">
      <c r="AA137" s="19" t="s">
        <v>418</v>
      </c>
    </row>
    <row r="138" spans="27:27">
      <c r="AA138" s="19" t="s">
        <v>419</v>
      </c>
    </row>
    <row r="139" spans="27:27">
      <c r="AA139" s="19" t="s">
        <v>420</v>
      </c>
    </row>
    <row r="140" spans="27:27">
      <c r="AA140" s="19" t="s">
        <v>421</v>
      </c>
    </row>
    <row r="141" spans="27:27">
      <c r="AA141" s="19" t="s">
        <v>422</v>
      </c>
    </row>
    <row r="142" spans="27:27">
      <c r="AA142" s="19" t="s">
        <v>423</v>
      </c>
    </row>
    <row r="143" spans="27:27">
      <c r="AA143" s="19" t="s">
        <v>424</v>
      </c>
    </row>
    <row r="144" spans="27:27">
      <c r="AA144" s="19" t="s">
        <v>425</v>
      </c>
    </row>
    <row r="145" spans="27:27">
      <c r="AA145" s="19" t="s">
        <v>426</v>
      </c>
    </row>
    <row r="146" spans="27:27">
      <c r="AA146" s="19" t="s">
        <v>170</v>
      </c>
    </row>
    <row r="147" spans="27:27">
      <c r="AA147" s="19" t="s">
        <v>427</v>
      </c>
    </row>
    <row r="148" spans="27:27">
      <c r="AA148" s="19" t="s">
        <v>428</v>
      </c>
    </row>
    <row r="149" spans="27:27">
      <c r="AA149" s="19" t="s">
        <v>429</v>
      </c>
    </row>
    <row r="150" spans="27:27">
      <c r="AA150" s="19" t="s">
        <v>430</v>
      </c>
    </row>
    <row r="151" spans="27:27">
      <c r="AA151" s="19" t="s">
        <v>431</v>
      </c>
    </row>
    <row r="152" spans="27:27">
      <c r="AA152" s="19" t="s">
        <v>432</v>
      </c>
    </row>
    <row r="153" spans="27:27">
      <c r="AA153" s="19" t="s">
        <v>432</v>
      </c>
    </row>
  </sheetData>
  <dataValidations count="2">
    <dataValidation type="list" allowBlank="1" showInputMessage="1" showErrorMessage="1" sqref="C11" xr:uid="{2DDDD63B-C176-D043-93CA-432A128B8242}">
      <formula1>$AA$11:$AA$152</formula1>
    </dataValidation>
    <dataValidation type="list" allowBlank="1" showInputMessage="1" showErrorMessage="1" sqref="C12" xr:uid="{303FA9DD-D28A-9F41-B0FA-D26C5DC47AFF}">
      <formula1>$AB$11:$AB$103</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4BB08-134E-474B-A71B-EB7E9F2B670F}">
  <dimension ref="A1:Y60"/>
  <sheetViews>
    <sheetView topLeftCell="A5" zoomScaleNormal="100" workbookViewId="0">
      <selection activeCell="H19" sqref="H19"/>
    </sheetView>
  </sheetViews>
  <sheetFormatPr baseColWidth="10" defaultRowHeight="16"/>
  <cols>
    <col min="1" max="4" width="11.1640625" style="205" bestFit="1" customWidth="1"/>
    <col min="5" max="5" width="10.83203125" style="205"/>
    <col min="6" max="6" width="12.83203125" style="205" bestFit="1" customWidth="1"/>
    <col min="7" max="7" width="10.83203125" style="205"/>
    <col min="8" max="8" width="11.1640625" style="205" bestFit="1" customWidth="1"/>
    <col min="9" max="10" width="10.83203125" style="205"/>
    <col min="11" max="20" width="11.1640625" style="205" bestFit="1" customWidth="1"/>
    <col min="21" max="16384" width="10.83203125" style="72"/>
  </cols>
  <sheetData>
    <row r="1" spans="1:20">
      <c r="A1" s="202" t="s">
        <v>568</v>
      </c>
      <c r="B1" s="203"/>
      <c r="C1" s="203"/>
      <c r="D1" s="203"/>
      <c r="E1" s="203"/>
      <c r="F1" s="203"/>
      <c r="G1" s="203"/>
      <c r="H1" s="203"/>
      <c r="I1" s="203"/>
      <c r="J1" s="203"/>
      <c r="K1" s="203"/>
      <c r="L1" s="204"/>
      <c r="O1" s="205" t="s">
        <v>624</v>
      </c>
    </row>
    <row r="2" spans="1:20" ht="21" customHeight="1" thickBot="1">
      <c r="A2" s="206"/>
      <c r="B2" s="207"/>
      <c r="C2" s="207"/>
      <c r="D2" s="207"/>
      <c r="E2" s="207"/>
      <c r="F2" s="207"/>
      <c r="G2" s="207"/>
      <c r="H2" s="207"/>
      <c r="I2" s="207"/>
      <c r="J2" s="207"/>
      <c r="K2" s="207"/>
      <c r="L2" s="208"/>
    </row>
    <row r="4" spans="1:20">
      <c r="A4" s="209" t="s">
        <v>569</v>
      </c>
    </row>
    <row r="5" spans="1:20">
      <c r="A5" s="209" t="s">
        <v>570</v>
      </c>
    </row>
    <row r="6" spans="1:20" s="212" customFormat="1" ht="17" thickBot="1">
      <c r="A6" s="210" t="s">
        <v>571</v>
      </c>
      <c r="B6" s="211"/>
      <c r="C6" s="211"/>
      <c r="D6" s="211"/>
      <c r="E6" s="211"/>
      <c r="F6" s="211"/>
      <c r="G6" s="211"/>
      <c r="H6" s="211"/>
      <c r="I6" s="211"/>
      <c r="J6" s="211"/>
      <c r="K6" s="211"/>
      <c r="L6" s="211"/>
      <c r="M6" s="211"/>
      <c r="N6" s="211"/>
      <c r="O6" s="211"/>
      <c r="P6" s="211"/>
      <c r="Q6" s="211"/>
      <c r="R6" s="211"/>
      <c r="S6" s="211"/>
      <c r="T6" s="211"/>
    </row>
    <row r="7" spans="1:20" s="214" customFormat="1" ht="17" thickBot="1">
      <c r="A7" s="205" t="s">
        <v>572</v>
      </c>
      <c r="B7" s="205"/>
      <c r="C7" s="213">
        <f>1</f>
        <v>1</v>
      </c>
      <c r="D7" s="205"/>
      <c r="E7" s="205"/>
      <c r="F7" s="205"/>
      <c r="G7" s="205"/>
      <c r="H7" s="205"/>
      <c r="I7" s="205"/>
      <c r="J7" s="205"/>
      <c r="K7" s="205"/>
      <c r="L7" s="205"/>
      <c r="M7" s="205"/>
      <c r="N7" s="205"/>
      <c r="O7" s="205"/>
      <c r="P7" s="205"/>
      <c r="Q7" s="205"/>
      <c r="R7" s="205"/>
      <c r="S7" s="205"/>
      <c r="T7" s="205"/>
    </row>
    <row r="8" spans="1:20" s="214" customFormat="1" ht="17" thickBot="1">
      <c r="A8" s="205" t="s">
        <v>573</v>
      </c>
      <c r="B8" s="205"/>
      <c r="C8" s="205"/>
      <c r="D8" s="205"/>
      <c r="E8" s="205"/>
      <c r="F8" s="215">
        <f>'Income Statement'!B13</f>
        <v>268.1400000000001</v>
      </c>
      <c r="G8" s="205" t="s">
        <v>574</v>
      </c>
      <c r="H8" s="205"/>
      <c r="I8" s="205"/>
      <c r="J8" s="205"/>
      <c r="K8" s="205"/>
      <c r="L8" s="205"/>
      <c r="M8" s="205"/>
      <c r="N8" s="205"/>
      <c r="O8" s="205"/>
      <c r="P8" s="205"/>
      <c r="Q8" s="205"/>
      <c r="R8" s="205"/>
      <c r="S8" s="205"/>
      <c r="T8" s="205"/>
    </row>
    <row r="9" spans="1:20" s="214" customFormat="1" ht="17" thickBot="1">
      <c r="A9" s="205" t="s">
        <v>575</v>
      </c>
      <c r="B9" s="205"/>
      <c r="C9" s="205"/>
      <c r="D9" s="205"/>
      <c r="E9" s="205"/>
      <c r="F9" s="216">
        <f>'Income Statement'!E9</f>
        <v>201</v>
      </c>
      <c r="G9" s="205" t="s">
        <v>576</v>
      </c>
      <c r="H9" s="205"/>
      <c r="I9" s="205"/>
      <c r="J9" s="205"/>
      <c r="K9" s="205"/>
      <c r="L9" s="205"/>
      <c r="M9" s="205"/>
      <c r="N9" s="205"/>
      <c r="O9" s="205"/>
      <c r="P9" s="205"/>
      <c r="Q9" s="205"/>
      <c r="R9" s="205"/>
      <c r="S9" s="205"/>
      <c r="T9" s="205"/>
    </row>
    <row r="10" spans="1:20" s="214" customFormat="1" ht="17" thickBot="1">
      <c r="A10" s="205" t="s">
        <v>577</v>
      </c>
      <c r="B10" s="205"/>
      <c r="C10" s="205"/>
      <c r="D10" s="205"/>
      <c r="E10" s="205"/>
      <c r="F10" s="217">
        <f>0.0428</f>
        <v>4.2799999999999998E-2</v>
      </c>
      <c r="G10" s="205"/>
      <c r="H10" s="205"/>
      <c r="I10" s="205"/>
      <c r="J10" s="205"/>
      <c r="K10" s="205"/>
      <c r="L10" s="205"/>
      <c r="M10" s="205"/>
      <c r="N10" s="205"/>
      <c r="O10" s="205"/>
      <c r="P10" s="205"/>
      <c r="Q10" s="205"/>
      <c r="R10" s="205"/>
      <c r="S10" s="205"/>
      <c r="T10" s="205"/>
    </row>
    <row r="11" spans="1:20" s="214" customFormat="1" ht="17" thickBot="1">
      <c r="A11" s="209" t="s">
        <v>441</v>
      </c>
      <c r="B11" s="205"/>
      <c r="C11" s="205"/>
      <c r="D11" s="205"/>
      <c r="E11" s="205"/>
      <c r="F11" s="205"/>
      <c r="G11" s="205"/>
      <c r="H11" s="205"/>
      <c r="I11" s="205"/>
      <c r="J11" s="205"/>
      <c r="K11" s="205"/>
      <c r="L11" s="205"/>
      <c r="M11" s="205"/>
      <c r="N11" s="205"/>
      <c r="O11" s="205"/>
      <c r="P11" s="205"/>
      <c r="Q11" s="205"/>
      <c r="R11" s="205"/>
      <c r="S11" s="205"/>
      <c r="T11" s="205"/>
    </row>
    <row r="12" spans="1:20" s="214" customFormat="1" ht="17" thickBot="1">
      <c r="A12" s="205" t="s">
        <v>578</v>
      </c>
      <c r="B12" s="205"/>
      <c r="C12" s="205"/>
      <c r="D12" s="218">
        <f>IF(F9=0,1000000,IF(F8&lt;0,-100000,F8/F9))</f>
        <v>1.3340298507462691</v>
      </c>
      <c r="E12" s="205"/>
      <c r="F12" s="205"/>
      <c r="G12" s="205"/>
      <c r="H12" s="205"/>
      <c r="I12" s="205"/>
      <c r="J12" s="205"/>
      <c r="K12" s="205"/>
      <c r="L12" s="205"/>
      <c r="M12" s="205"/>
      <c r="N12" s="205"/>
      <c r="O12" s="205"/>
      <c r="P12" s="205"/>
      <c r="Q12" s="205"/>
      <c r="R12" s="205"/>
      <c r="S12" s="205"/>
      <c r="T12" s="205"/>
    </row>
    <row r="13" spans="1:20" s="214" customFormat="1" ht="17" thickBot="1">
      <c r="A13" s="205" t="s">
        <v>579</v>
      </c>
      <c r="B13" s="205"/>
      <c r="C13" s="205"/>
      <c r="D13" s="219" t="str">
        <f>IF(C7=1,VLOOKUP(D12,A22:D36,3),(IF(C7=2,VLOOKUP(D12,A41:D55,3),VLOOKUP(D12,F22:I36,3))))</f>
        <v>B3/B-</v>
      </c>
      <c r="E13" s="205"/>
      <c r="F13" s="211" t="s">
        <v>580</v>
      </c>
      <c r="G13" s="205"/>
      <c r="H13" s="205"/>
      <c r="I13" s="205"/>
      <c r="J13" s="205"/>
      <c r="K13" s="205"/>
      <c r="L13" s="205"/>
      <c r="M13" s="205"/>
      <c r="N13" s="205"/>
      <c r="O13" s="205"/>
      <c r="P13" s="205"/>
      <c r="Q13" s="205"/>
      <c r="R13" s="205"/>
      <c r="S13" s="205"/>
      <c r="T13" s="205"/>
    </row>
    <row r="14" spans="1:20" s="214" customFormat="1" ht="17" thickBot="1">
      <c r="A14" s="205" t="s">
        <v>581</v>
      </c>
      <c r="B14" s="205"/>
      <c r="C14" s="205"/>
      <c r="D14" s="220">
        <f>IF(C7=1,VLOOKUP(D12,A22:D36,4),(IF(C7=2,VLOOKUP(D12,A41:D55,4),VLOOKUP(D12,F22:I36,4))))</f>
        <v>5.2400000000000002E-2</v>
      </c>
      <c r="E14" s="205"/>
      <c r="F14" s="211" t="s">
        <v>582</v>
      </c>
      <c r="G14" s="205"/>
      <c r="H14" s="205"/>
      <c r="I14" s="205"/>
      <c r="J14" s="205"/>
      <c r="K14" s="205"/>
      <c r="L14" s="205"/>
      <c r="M14" s="205"/>
      <c r="N14" s="205"/>
      <c r="O14" s="205"/>
      <c r="P14" s="205"/>
      <c r="Q14" s="205"/>
      <c r="R14" s="205"/>
      <c r="S14" s="205"/>
      <c r="T14" s="205"/>
    </row>
    <row r="15" spans="1:20" s="214" customFormat="1" ht="17" thickBot="1">
      <c r="A15" s="205" t="s">
        <v>583</v>
      </c>
      <c r="B15" s="205"/>
      <c r="C15" s="205"/>
      <c r="D15" s="220">
        <f>VLOOKUP('[2]Input sheet'!B7,'[2]Country equity risk premiums'!A5:C195,3)</f>
        <v>0</v>
      </c>
      <c r="E15" s="205"/>
      <c r="F15" s="211"/>
      <c r="G15" s="205"/>
      <c r="H15" s="205"/>
      <c r="I15" s="205"/>
      <c r="J15" s="205"/>
      <c r="K15" s="205"/>
      <c r="L15" s="205"/>
      <c r="M15" s="205"/>
      <c r="N15" s="205"/>
      <c r="O15" s="205"/>
      <c r="P15" s="205"/>
      <c r="Q15" s="205"/>
      <c r="R15" s="205"/>
      <c r="S15" s="205"/>
      <c r="T15" s="205"/>
    </row>
    <row r="16" spans="1:20" s="173" customFormat="1" ht="17" thickBot="1">
      <c r="A16" s="205" t="s">
        <v>584</v>
      </c>
      <c r="B16" s="205"/>
      <c r="C16" s="205"/>
      <c r="D16" s="221">
        <f>F10+D14+D15</f>
        <v>9.5200000000000007E-2</v>
      </c>
      <c r="E16" s="205"/>
      <c r="F16" s="205"/>
      <c r="G16" s="205"/>
      <c r="H16" s="205"/>
      <c r="I16" s="205"/>
      <c r="J16" s="205"/>
      <c r="K16" s="205"/>
      <c r="L16" s="205"/>
      <c r="M16" s="205"/>
      <c r="N16" s="205"/>
      <c r="O16" s="205"/>
      <c r="P16" s="205"/>
      <c r="Q16" s="205"/>
      <c r="R16" s="205"/>
      <c r="S16" s="205"/>
      <c r="T16" s="205"/>
    </row>
    <row r="17" spans="1:20" s="173" customFormat="1">
      <c r="A17" s="205"/>
      <c r="B17" s="205"/>
      <c r="C17" s="205"/>
      <c r="D17" s="222"/>
      <c r="E17" s="205"/>
      <c r="F17" s="205"/>
      <c r="G17" s="205"/>
      <c r="H17" s="205"/>
      <c r="I17" s="205"/>
      <c r="J17" s="205"/>
      <c r="K17" s="205"/>
      <c r="L17" s="205"/>
      <c r="M17" s="205"/>
      <c r="N17" s="205"/>
      <c r="O17" s="205"/>
      <c r="P17" s="205"/>
      <c r="Q17" s="205"/>
      <c r="R17" s="205"/>
      <c r="S17" s="205"/>
      <c r="T17" s="205"/>
    </row>
    <row r="18" spans="1:20" s="224" customFormat="1" ht="17" thickBot="1">
      <c r="A18" s="211" t="s">
        <v>585</v>
      </c>
      <c r="B18" s="211"/>
      <c r="C18" s="211"/>
      <c r="D18" s="223"/>
      <c r="E18" s="211"/>
      <c r="F18" s="211"/>
      <c r="G18" s="211"/>
      <c r="H18" s="211"/>
      <c r="I18" s="211"/>
      <c r="J18" s="211"/>
      <c r="K18" s="211"/>
      <c r="L18" s="211"/>
      <c r="M18" s="211"/>
      <c r="N18" s="211"/>
      <c r="O18" s="211"/>
      <c r="P18" s="211"/>
      <c r="Q18" s="211"/>
      <c r="R18" s="211"/>
      <c r="S18" s="211"/>
      <c r="T18" s="211"/>
    </row>
    <row r="19" spans="1:20" s="214" customFormat="1" ht="17" thickBot="1">
      <c r="A19" s="209" t="s">
        <v>586</v>
      </c>
      <c r="B19" s="205"/>
      <c r="C19" s="205"/>
      <c r="D19" s="205"/>
      <c r="E19" s="205"/>
      <c r="F19" s="205"/>
      <c r="G19" s="205"/>
      <c r="H19" s="205"/>
      <c r="I19" s="205"/>
      <c r="J19" s="225" t="s">
        <v>587</v>
      </c>
      <c r="K19" s="226"/>
      <c r="L19" s="226"/>
      <c r="M19" s="226"/>
      <c r="N19" s="226"/>
      <c r="O19" s="226"/>
      <c r="P19" s="226"/>
      <c r="Q19" s="226"/>
      <c r="R19" s="226"/>
      <c r="S19" s="226"/>
      <c r="T19" s="227"/>
    </row>
    <row r="20" spans="1:20" s="214" customFormat="1">
      <c r="A20" s="228" t="s">
        <v>588</v>
      </c>
      <c r="B20" s="228"/>
      <c r="C20" s="229"/>
      <c r="D20" s="229"/>
      <c r="E20" s="205"/>
      <c r="F20" s="205"/>
      <c r="G20" s="205"/>
      <c r="H20" s="205"/>
      <c r="I20" s="205"/>
      <c r="J20" s="230" t="s">
        <v>589</v>
      </c>
      <c r="K20" s="231">
        <v>1</v>
      </c>
      <c r="L20" s="231">
        <v>2</v>
      </c>
      <c r="M20" s="231">
        <v>3</v>
      </c>
      <c r="N20" s="231">
        <v>4</v>
      </c>
      <c r="O20" s="231">
        <v>5</v>
      </c>
      <c r="P20" s="231">
        <v>6</v>
      </c>
      <c r="Q20" s="231">
        <v>7</v>
      </c>
      <c r="R20" s="231">
        <v>8</v>
      </c>
      <c r="S20" s="231">
        <v>9</v>
      </c>
      <c r="T20" s="231">
        <v>10</v>
      </c>
    </row>
    <row r="21" spans="1:20" s="214" customFormat="1">
      <c r="A21" s="232" t="s">
        <v>590</v>
      </c>
      <c r="B21" s="232" t="s">
        <v>591</v>
      </c>
      <c r="C21" s="232" t="s">
        <v>592</v>
      </c>
      <c r="D21" s="232" t="s">
        <v>593</v>
      </c>
      <c r="E21" s="205"/>
      <c r="F21" s="205"/>
      <c r="G21" s="205"/>
      <c r="H21" s="205"/>
      <c r="I21" s="205"/>
      <c r="J21" s="233" t="s">
        <v>594</v>
      </c>
      <c r="K21" s="234">
        <v>0</v>
      </c>
      <c r="L21" s="234">
        <v>2.9999999999999997E-4</v>
      </c>
      <c r="M21" s="234">
        <v>1.2999999999999999E-3</v>
      </c>
      <c r="N21" s="234">
        <v>2.3999999999999998E-3</v>
      </c>
      <c r="O21" s="234">
        <v>3.4999999999999996E-3</v>
      </c>
      <c r="P21" s="234">
        <v>4.5000000000000005E-3</v>
      </c>
      <c r="Q21" s="234">
        <v>5.1000000000000004E-3</v>
      </c>
      <c r="R21" s="234">
        <v>5.8999999999999999E-3</v>
      </c>
      <c r="S21" s="234">
        <v>6.4000000000000003E-3</v>
      </c>
      <c r="T21" s="234">
        <v>6.9999999999999993E-3</v>
      </c>
    </row>
    <row r="22" spans="1:20" s="214" customFormat="1">
      <c r="A22" s="235">
        <v>-100000</v>
      </c>
      <c r="B22" s="235">
        <v>0.19999900000000001</v>
      </c>
      <c r="C22" s="235" t="s">
        <v>595</v>
      </c>
      <c r="D22" s="236">
        <v>0.2</v>
      </c>
      <c r="E22" s="205"/>
      <c r="F22" s="205"/>
      <c r="G22" s="205"/>
      <c r="H22" s="205"/>
      <c r="I22" s="205"/>
      <c r="J22" s="233" t="s">
        <v>596</v>
      </c>
      <c r="K22" s="234">
        <v>2.0000000000000001E-4</v>
      </c>
      <c r="L22" s="234">
        <v>5.9999999999999995E-4</v>
      </c>
      <c r="M22" s="234">
        <v>1.1999999999999999E-3</v>
      </c>
      <c r="N22" s="234">
        <v>2.0999999999999999E-3</v>
      </c>
      <c r="O22" s="234">
        <v>3.0999999999999999E-3</v>
      </c>
      <c r="P22" s="234">
        <v>4.1999999999999997E-3</v>
      </c>
      <c r="Q22" s="234">
        <v>5.0000000000000001E-3</v>
      </c>
      <c r="R22" s="234">
        <v>5.7999999999999996E-3</v>
      </c>
      <c r="S22" s="234">
        <v>6.5000000000000006E-3</v>
      </c>
      <c r="T22" s="234">
        <v>7.1999999999999998E-3</v>
      </c>
    </row>
    <row r="23" spans="1:20" s="214" customFormat="1">
      <c r="A23" s="235">
        <v>0.2</v>
      </c>
      <c r="B23" s="235">
        <v>0.64999899999999999</v>
      </c>
      <c r="C23" s="235" t="s">
        <v>597</v>
      </c>
      <c r="D23" s="236">
        <v>0.17</v>
      </c>
      <c r="E23" s="205"/>
      <c r="F23" s="235"/>
      <c r="G23" s="205"/>
      <c r="H23" s="205"/>
      <c r="I23" s="205"/>
      <c r="J23" s="233" t="s">
        <v>598</v>
      </c>
      <c r="K23" s="234">
        <v>5.0000000000000001E-4</v>
      </c>
      <c r="L23" s="234">
        <v>1.4000000000000002E-3</v>
      </c>
      <c r="M23" s="234">
        <v>2.3E-3</v>
      </c>
      <c r="N23" s="234">
        <v>3.4999999999999996E-3</v>
      </c>
      <c r="O23" s="234">
        <v>4.6999999999999993E-3</v>
      </c>
      <c r="P23" s="234">
        <v>6.1999999999999998E-3</v>
      </c>
      <c r="Q23" s="234">
        <v>7.9000000000000008E-3</v>
      </c>
      <c r="R23" s="234">
        <v>9.300000000000001E-3</v>
      </c>
      <c r="S23" s="234">
        <v>1.0800000000000001E-2</v>
      </c>
      <c r="T23" s="234">
        <v>1.24E-2</v>
      </c>
    </row>
    <row r="24" spans="1:20" s="214" customFormat="1">
      <c r="A24" s="235">
        <v>0.65</v>
      </c>
      <c r="B24" s="235">
        <v>0.79999900000000002</v>
      </c>
      <c r="C24" s="235" t="s">
        <v>599</v>
      </c>
      <c r="D24" s="236">
        <v>0.1178</v>
      </c>
      <c r="E24" s="205"/>
      <c r="F24" s="205"/>
      <c r="G24" s="205"/>
      <c r="H24" s="205"/>
      <c r="I24" s="205"/>
      <c r="J24" s="233" t="s">
        <v>600</v>
      </c>
      <c r="K24" s="234">
        <v>1.6000000000000001E-3</v>
      </c>
      <c r="L24" s="234">
        <v>4.5000000000000005E-3</v>
      </c>
      <c r="M24" s="234">
        <v>7.8000000000000005E-3</v>
      </c>
      <c r="N24" s="234">
        <v>1.1699999999999999E-2</v>
      </c>
      <c r="O24" s="234">
        <v>1.5800000000000002E-2</v>
      </c>
      <c r="P24" s="234">
        <v>1.9799999999999998E-2</v>
      </c>
      <c r="Q24" s="234">
        <v>2.3300000000000001E-2</v>
      </c>
      <c r="R24" s="234">
        <v>2.6699999999999998E-2</v>
      </c>
      <c r="S24" s="234">
        <v>0.03</v>
      </c>
      <c r="T24" s="234">
        <v>3.32E-2</v>
      </c>
    </row>
    <row r="25" spans="1:20" s="214" customFormat="1">
      <c r="A25" s="235">
        <v>0.8</v>
      </c>
      <c r="B25" s="235">
        <v>1.2499990000000001</v>
      </c>
      <c r="C25" s="235" t="s">
        <v>601</v>
      </c>
      <c r="D25" s="236">
        <v>8.5099999999999995E-2</v>
      </c>
      <c r="E25" s="205"/>
      <c r="F25" s="205"/>
      <c r="G25" s="205"/>
      <c r="H25" s="205"/>
      <c r="I25" s="205"/>
      <c r="J25" s="233" t="s">
        <v>602</v>
      </c>
      <c r="K25" s="234">
        <v>6.0999999999999995E-3</v>
      </c>
      <c r="L25" s="234">
        <v>1.9199999999999998E-2</v>
      </c>
      <c r="M25" s="234">
        <v>3.4799999999999998E-2</v>
      </c>
      <c r="N25" s="234">
        <v>5.0499999999999996E-2</v>
      </c>
      <c r="O25" s="234">
        <v>6.5199999999999994E-2</v>
      </c>
      <c r="P25" s="234">
        <v>7.85E-2</v>
      </c>
      <c r="Q25" s="234">
        <v>9.01E-2</v>
      </c>
      <c r="R25" s="234">
        <v>0.10039999999999999</v>
      </c>
      <c r="S25" s="234">
        <v>0.10970000000000001</v>
      </c>
      <c r="T25" s="234">
        <v>0.11779999999999999</v>
      </c>
    </row>
    <row r="26" spans="1:20" s="214" customFormat="1">
      <c r="A26" s="235">
        <v>1.25</v>
      </c>
      <c r="B26" s="235">
        <v>1.4999990000000001</v>
      </c>
      <c r="C26" s="235" t="s">
        <v>603</v>
      </c>
      <c r="D26" s="236">
        <v>5.2400000000000002E-2</v>
      </c>
      <c r="E26" s="205"/>
      <c r="F26" s="205"/>
      <c r="G26" s="205"/>
      <c r="H26" s="205"/>
      <c r="I26" s="205"/>
      <c r="J26" s="233" t="s">
        <v>604</v>
      </c>
      <c r="K26" s="234">
        <v>3.3300000000000003E-2</v>
      </c>
      <c r="L26" s="234">
        <v>7.7100000000000002E-2</v>
      </c>
      <c r="M26" s="234">
        <v>0.11550000000000001</v>
      </c>
      <c r="N26" s="234">
        <v>0.14580000000000001</v>
      </c>
      <c r="O26" s="234">
        <v>0.16930000000000001</v>
      </c>
      <c r="P26" s="234">
        <v>0.1883</v>
      </c>
      <c r="Q26" s="234">
        <v>0.2036</v>
      </c>
      <c r="R26" s="234">
        <v>0.21600000000000003</v>
      </c>
      <c r="S26" s="234">
        <v>0.22699999999999998</v>
      </c>
      <c r="T26" s="234">
        <v>0.23739999999999997</v>
      </c>
    </row>
    <row r="27" spans="1:20" s="214" customFormat="1">
      <c r="A27" s="235">
        <v>1.5</v>
      </c>
      <c r="B27" s="235">
        <v>1.7499990000000001</v>
      </c>
      <c r="C27" s="235" t="s">
        <v>605</v>
      </c>
      <c r="D27" s="236">
        <v>3.61E-2</v>
      </c>
      <c r="E27" s="205"/>
      <c r="F27" s="205"/>
      <c r="G27" s="205"/>
      <c r="H27" s="205"/>
      <c r="I27" s="205"/>
      <c r="J27" s="233" t="s">
        <v>606</v>
      </c>
      <c r="K27" s="234">
        <v>0.27079999999999999</v>
      </c>
      <c r="L27" s="234">
        <v>0.3664</v>
      </c>
      <c r="M27" s="234">
        <v>0.41409999999999997</v>
      </c>
      <c r="N27" s="234">
        <v>0.441</v>
      </c>
      <c r="O27" s="234">
        <v>0.46189999999999998</v>
      </c>
      <c r="P27" s="234">
        <v>0.47090000000000004</v>
      </c>
      <c r="Q27" s="234">
        <v>0.48259999999999997</v>
      </c>
      <c r="R27" s="234">
        <v>0.49049999999999999</v>
      </c>
      <c r="S27" s="234">
        <v>0.49759999999999999</v>
      </c>
      <c r="T27" s="234">
        <v>0.50380000000000003</v>
      </c>
    </row>
    <row r="28" spans="1:20" s="214" customFormat="1">
      <c r="A28" s="235">
        <v>1.75</v>
      </c>
      <c r="B28" s="235">
        <v>1.9999990000000001</v>
      </c>
      <c r="C28" s="235" t="s">
        <v>607</v>
      </c>
      <c r="D28" s="236">
        <v>3.1399999999999997E-2</v>
      </c>
      <c r="E28" s="205"/>
      <c r="F28" s="205"/>
      <c r="G28" s="205"/>
      <c r="H28" s="205"/>
      <c r="I28" s="205"/>
      <c r="J28" s="205"/>
      <c r="K28" s="205"/>
      <c r="L28" s="205"/>
      <c r="M28" s="205"/>
      <c r="N28" s="205"/>
      <c r="O28" s="205"/>
      <c r="P28" s="205"/>
      <c r="Q28" s="205"/>
      <c r="R28" s="205"/>
      <c r="S28" s="205"/>
      <c r="T28" s="205"/>
    </row>
    <row r="29" spans="1:20" s="214" customFormat="1">
      <c r="A29" s="235">
        <v>2</v>
      </c>
      <c r="B29" s="235">
        <v>2.2499999000000002</v>
      </c>
      <c r="C29" s="235" t="s">
        <v>608</v>
      </c>
      <c r="D29" s="236">
        <v>2.2100000000000002E-2</v>
      </c>
      <c r="E29" s="205"/>
      <c r="F29" s="205"/>
      <c r="G29" s="205"/>
      <c r="H29" s="205"/>
      <c r="I29" s="205"/>
      <c r="J29" s="205"/>
      <c r="K29" s="205"/>
      <c r="L29" s="205"/>
      <c r="M29" s="205"/>
      <c r="N29" s="205"/>
      <c r="O29" s="205"/>
      <c r="P29" s="205"/>
      <c r="Q29" s="205"/>
      <c r="R29" s="205"/>
      <c r="S29" s="205"/>
      <c r="T29" s="205"/>
    </row>
    <row r="30" spans="1:20" s="214" customFormat="1">
      <c r="A30" s="235">
        <v>2.25</v>
      </c>
      <c r="B30" s="235">
        <v>2.4999899999999999</v>
      </c>
      <c r="C30" s="235" t="s">
        <v>609</v>
      </c>
      <c r="D30" s="236">
        <v>1.7399999999999999E-2</v>
      </c>
      <c r="E30" s="205"/>
      <c r="F30" s="205"/>
      <c r="G30" s="205"/>
      <c r="H30" s="205"/>
      <c r="I30" s="205"/>
      <c r="J30" s="205"/>
      <c r="K30" s="205"/>
      <c r="L30" s="205"/>
      <c r="M30" s="205"/>
      <c r="N30" s="205"/>
      <c r="O30" s="205"/>
      <c r="P30" s="205"/>
      <c r="Q30" s="205"/>
      <c r="R30" s="205"/>
      <c r="S30" s="205"/>
      <c r="T30" s="205"/>
    </row>
    <row r="31" spans="1:20" s="214" customFormat="1">
      <c r="A31" s="235">
        <v>2.5</v>
      </c>
      <c r="B31" s="235">
        <v>2.9999989999999999</v>
      </c>
      <c r="C31" s="235" t="s">
        <v>610</v>
      </c>
      <c r="D31" s="236">
        <v>1.47E-2</v>
      </c>
      <c r="E31" s="205"/>
      <c r="F31" s="205"/>
      <c r="G31" s="205"/>
      <c r="H31" s="205"/>
      <c r="I31" s="205"/>
      <c r="J31" s="205"/>
      <c r="K31" s="205"/>
      <c r="L31" s="205"/>
      <c r="M31" s="205"/>
      <c r="N31" s="205"/>
      <c r="O31" s="205"/>
      <c r="P31" s="205"/>
      <c r="Q31" s="205"/>
      <c r="R31" s="205"/>
      <c r="S31" s="205"/>
      <c r="T31" s="205"/>
    </row>
    <row r="32" spans="1:20" s="214" customFormat="1">
      <c r="A32" s="235">
        <v>3</v>
      </c>
      <c r="B32" s="235">
        <v>4.2499989999999999</v>
      </c>
      <c r="C32" s="235" t="s">
        <v>611</v>
      </c>
      <c r="D32" s="236">
        <v>1.21E-2</v>
      </c>
      <c r="E32" s="205"/>
      <c r="F32" s="205"/>
      <c r="G32" s="205"/>
      <c r="H32" s="205"/>
      <c r="I32" s="205"/>
      <c r="J32" s="205"/>
      <c r="K32" s="205"/>
      <c r="L32" s="205"/>
      <c r="M32" s="205"/>
      <c r="N32" s="205"/>
      <c r="O32" s="205"/>
      <c r="P32" s="205"/>
      <c r="Q32" s="205"/>
      <c r="R32" s="205"/>
      <c r="S32" s="205"/>
      <c r="T32" s="205"/>
    </row>
    <row r="33" spans="1:20" s="214" customFormat="1">
      <c r="A33" s="235">
        <v>4.25</v>
      </c>
      <c r="B33" s="235">
        <v>5.4999989999999999</v>
      </c>
      <c r="C33" s="235" t="s">
        <v>612</v>
      </c>
      <c r="D33" s="236">
        <v>1.0699999999999999E-2</v>
      </c>
      <c r="E33" s="205"/>
      <c r="F33" s="205"/>
      <c r="G33" s="205"/>
      <c r="H33" s="205"/>
      <c r="I33" s="205"/>
      <c r="J33" s="205"/>
      <c r="K33" s="205"/>
      <c r="L33" s="205"/>
      <c r="M33" s="205"/>
      <c r="N33" s="205"/>
      <c r="O33" s="205"/>
      <c r="P33" s="205"/>
      <c r="Q33" s="205"/>
      <c r="R33" s="205"/>
      <c r="S33" s="205"/>
      <c r="T33" s="205"/>
    </row>
    <row r="34" spans="1:20" s="214" customFormat="1">
      <c r="A34" s="235">
        <v>5.5</v>
      </c>
      <c r="B34" s="235">
        <v>6.4999989999999999</v>
      </c>
      <c r="C34" s="235" t="s">
        <v>438</v>
      </c>
      <c r="D34" s="236">
        <v>9.1999999999999998E-3</v>
      </c>
      <c r="E34" s="205"/>
      <c r="F34" s="205"/>
      <c r="G34" s="205"/>
      <c r="H34" s="205"/>
      <c r="I34" s="205"/>
      <c r="J34" s="205"/>
      <c r="K34" s="205"/>
      <c r="L34" s="205"/>
      <c r="M34" s="205"/>
      <c r="N34" s="205"/>
      <c r="O34" s="205"/>
      <c r="P34" s="205"/>
      <c r="Q34" s="205"/>
      <c r="R34" s="205"/>
      <c r="S34" s="205"/>
      <c r="T34" s="205"/>
    </row>
    <row r="35" spans="1:20" s="214" customFormat="1">
      <c r="A35" s="235">
        <v>6.5</v>
      </c>
      <c r="B35" s="235">
        <v>8.4999990000000007</v>
      </c>
      <c r="C35" s="235" t="s">
        <v>613</v>
      </c>
      <c r="D35" s="236">
        <v>7.0000000000000001E-3</v>
      </c>
      <c r="E35" s="205"/>
      <c r="F35" s="205"/>
      <c r="G35" s="205"/>
      <c r="H35" s="205"/>
      <c r="I35" s="205"/>
      <c r="J35" s="205"/>
      <c r="K35" s="205"/>
      <c r="L35" s="205"/>
      <c r="M35" s="205"/>
      <c r="N35" s="205"/>
      <c r="O35" s="205"/>
      <c r="P35" s="205"/>
      <c r="Q35" s="205"/>
      <c r="R35" s="205"/>
      <c r="S35" s="205"/>
      <c r="T35" s="205"/>
    </row>
    <row r="36" spans="1:20" s="214" customFormat="1">
      <c r="A36" s="237">
        <v>8.5</v>
      </c>
      <c r="B36" s="235">
        <v>100000</v>
      </c>
      <c r="C36" s="235" t="s">
        <v>614</v>
      </c>
      <c r="D36" s="236">
        <v>5.8999999999999999E-3</v>
      </c>
      <c r="E36" s="205"/>
      <c r="F36" s="205"/>
      <c r="G36" s="205"/>
      <c r="H36" s="205"/>
      <c r="I36" s="205"/>
      <c r="J36" s="205"/>
      <c r="K36" s="205"/>
      <c r="L36" s="205"/>
      <c r="M36" s="205"/>
      <c r="N36" s="205"/>
      <c r="O36" s="205"/>
      <c r="P36" s="205"/>
      <c r="Q36" s="205"/>
      <c r="R36" s="205"/>
      <c r="S36" s="205"/>
      <c r="T36" s="205"/>
    </row>
    <row r="37" spans="1:20" s="214" customFormat="1">
      <c r="A37" s="205"/>
      <c r="B37" s="205"/>
      <c r="C37" s="205"/>
      <c r="D37" s="205"/>
      <c r="E37" s="205"/>
      <c r="F37" s="205"/>
      <c r="G37" s="205"/>
      <c r="H37" s="205"/>
      <c r="I37" s="205"/>
      <c r="J37" s="205"/>
      <c r="K37" s="205"/>
      <c r="L37" s="205"/>
      <c r="M37" s="205"/>
      <c r="N37" s="205"/>
      <c r="O37" s="205"/>
      <c r="P37" s="205"/>
      <c r="Q37" s="205"/>
      <c r="R37" s="205"/>
      <c r="S37" s="205"/>
      <c r="T37" s="205"/>
    </row>
    <row r="38" spans="1:20" s="214" customFormat="1">
      <c r="A38" s="209" t="s">
        <v>615</v>
      </c>
      <c r="B38" s="205"/>
      <c r="C38" s="205"/>
      <c r="D38" s="205"/>
      <c r="E38" s="205"/>
      <c r="F38" s="205"/>
      <c r="G38" s="205"/>
      <c r="H38" s="205"/>
      <c r="I38" s="205"/>
      <c r="J38" s="205"/>
      <c r="K38" s="205"/>
      <c r="L38" s="205"/>
      <c r="M38" s="205"/>
      <c r="N38" s="205"/>
      <c r="O38" s="205"/>
      <c r="P38" s="205"/>
      <c r="Q38" s="205"/>
      <c r="R38" s="205"/>
      <c r="S38" s="205"/>
      <c r="T38" s="205"/>
    </row>
    <row r="39" spans="1:20" s="214" customFormat="1">
      <c r="A39" s="228" t="s">
        <v>588</v>
      </c>
      <c r="B39" s="238"/>
      <c r="C39" s="235"/>
      <c r="D39" s="235"/>
      <c r="E39" s="205"/>
      <c r="F39" s="205"/>
      <c r="G39" s="205"/>
      <c r="H39" s="205"/>
      <c r="I39" s="205"/>
      <c r="J39" s="205"/>
      <c r="K39" s="205"/>
      <c r="L39" s="205"/>
      <c r="M39" s="205"/>
      <c r="N39" s="205"/>
      <c r="O39" s="205"/>
      <c r="P39" s="205"/>
      <c r="Q39" s="205"/>
      <c r="R39" s="205"/>
      <c r="S39" s="205"/>
      <c r="T39" s="205"/>
    </row>
    <row r="40" spans="1:20" s="214" customFormat="1">
      <c r="A40" s="235" t="s">
        <v>616</v>
      </c>
      <c r="B40" s="235" t="s">
        <v>591</v>
      </c>
      <c r="C40" s="235" t="s">
        <v>592</v>
      </c>
      <c r="D40" s="235" t="s">
        <v>593</v>
      </c>
      <c r="E40" s="205"/>
      <c r="F40" s="205"/>
      <c r="G40" s="205"/>
      <c r="H40" s="205"/>
      <c r="I40" s="205"/>
      <c r="J40" s="205"/>
      <c r="K40" s="205"/>
      <c r="L40" s="205"/>
      <c r="M40" s="205"/>
      <c r="N40" s="205"/>
      <c r="O40" s="205"/>
      <c r="P40" s="205"/>
      <c r="Q40" s="205"/>
      <c r="R40" s="205"/>
      <c r="S40" s="205"/>
      <c r="T40" s="205"/>
    </row>
    <row r="41" spans="1:20" s="214" customFormat="1">
      <c r="A41" s="235">
        <v>-100000</v>
      </c>
      <c r="B41" s="235">
        <v>0.49999900000000003</v>
      </c>
      <c r="C41" s="235" t="s">
        <v>595</v>
      </c>
      <c r="D41" s="236">
        <v>0.2</v>
      </c>
      <c r="E41" s="205"/>
      <c r="F41" s="205"/>
      <c r="G41" s="232" t="s">
        <v>592</v>
      </c>
      <c r="H41" s="232" t="s">
        <v>593</v>
      </c>
      <c r="I41" s="205"/>
      <c r="J41" s="205"/>
      <c r="K41" s="205"/>
      <c r="L41" s="205"/>
      <c r="M41" s="205"/>
      <c r="N41" s="205"/>
      <c r="O41" s="205"/>
      <c r="P41" s="205"/>
      <c r="Q41" s="205"/>
      <c r="R41" s="205"/>
      <c r="S41" s="205"/>
      <c r="T41" s="205"/>
    </row>
    <row r="42" spans="1:20" s="214" customFormat="1">
      <c r="A42" s="235">
        <v>0.5</v>
      </c>
      <c r="B42" s="235">
        <v>0.79999900000000002</v>
      </c>
      <c r="C42" s="235" t="s">
        <v>597</v>
      </c>
      <c r="D42" s="236">
        <v>0.17</v>
      </c>
      <c r="E42" s="205"/>
      <c r="F42" s="205"/>
      <c r="G42" s="235" t="s">
        <v>438</v>
      </c>
      <c r="H42" s="236">
        <v>9.1999999999999998E-3</v>
      </c>
      <c r="I42" s="205"/>
      <c r="J42" s="205"/>
      <c r="K42" s="205"/>
      <c r="L42" s="205"/>
      <c r="M42" s="205"/>
      <c r="N42" s="205"/>
      <c r="O42" s="205"/>
      <c r="P42" s="205"/>
      <c r="Q42" s="205"/>
      <c r="R42" s="205"/>
      <c r="S42" s="205"/>
      <c r="T42" s="205"/>
    </row>
    <row r="43" spans="1:20" s="214" customFormat="1">
      <c r="A43" s="235">
        <v>0.8</v>
      </c>
      <c r="B43" s="235">
        <v>1.2499990000000001</v>
      </c>
      <c r="C43" s="235" t="s">
        <v>599</v>
      </c>
      <c r="D43" s="236">
        <v>0.1178</v>
      </c>
      <c r="E43" s="205"/>
      <c r="F43" s="205"/>
      <c r="G43" s="235" t="s">
        <v>612</v>
      </c>
      <c r="H43" s="236">
        <v>1.0699999999999999E-2</v>
      </c>
      <c r="I43" s="205"/>
      <c r="J43" s="205"/>
      <c r="K43" s="205"/>
      <c r="L43" s="205"/>
      <c r="M43" s="205"/>
      <c r="N43" s="205"/>
      <c r="O43" s="205"/>
      <c r="P43" s="205"/>
      <c r="Q43" s="205"/>
      <c r="R43" s="205"/>
      <c r="S43" s="205"/>
      <c r="T43" s="205"/>
    </row>
    <row r="44" spans="1:20" s="214" customFormat="1">
      <c r="A44" s="235">
        <v>1.25</v>
      </c>
      <c r="B44" s="235">
        <v>1.4999990000000001</v>
      </c>
      <c r="C44" s="235" t="s">
        <v>601</v>
      </c>
      <c r="D44" s="236">
        <v>8.5099999999999995E-2</v>
      </c>
      <c r="E44" s="205"/>
      <c r="F44" s="205"/>
      <c r="G44" s="235" t="s">
        <v>611</v>
      </c>
      <c r="H44" s="236">
        <v>1.21E-2</v>
      </c>
      <c r="I44" s="205"/>
      <c r="J44" s="205"/>
      <c r="K44" s="205"/>
      <c r="L44" s="205"/>
      <c r="M44" s="205"/>
      <c r="N44" s="205"/>
      <c r="O44" s="205"/>
      <c r="P44" s="205"/>
      <c r="Q44" s="205"/>
      <c r="R44" s="205"/>
      <c r="S44" s="205"/>
      <c r="T44" s="205"/>
    </row>
    <row r="45" spans="1:20" s="214" customFormat="1">
      <c r="A45" s="235">
        <v>1.5</v>
      </c>
      <c r="B45" s="235">
        <v>1.9999990000000001</v>
      </c>
      <c r="C45" s="235" t="s">
        <v>603</v>
      </c>
      <c r="D45" s="236">
        <v>5.2400000000000002E-2</v>
      </c>
      <c r="E45" s="205"/>
      <c r="F45" s="205"/>
      <c r="G45" s="235" t="s">
        <v>613</v>
      </c>
      <c r="H45" s="236">
        <v>7.0000000000000001E-3</v>
      </c>
      <c r="I45" s="205"/>
      <c r="J45" s="205"/>
      <c r="K45" s="205"/>
      <c r="L45" s="205"/>
      <c r="M45" s="205"/>
      <c r="N45" s="205"/>
      <c r="O45" s="205"/>
      <c r="P45" s="205"/>
      <c r="Q45" s="205"/>
      <c r="R45" s="205"/>
      <c r="S45" s="205"/>
      <c r="T45" s="205"/>
    </row>
    <row r="46" spans="1:20" s="214" customFormat="1">
      <c r="A46" s="235">
        <v>2</v>
      </c>
      <c r="B46" s="235">
        <v>2.4999989999999999</v>
      </c>
      <c r="C46" s="235" t="s">
        <v>605</v>
      </c>
      <c r="D46" s="236">
        <v>3.61E-2</v>
      </c>
      <c r="E46" s="205"/>
      <c r="F46" s="205"/>
      <c r="G46" s="235" t="s">
        <v>614</v>
      </c>
      <c r="H46" s="236">
        <v>5.8999999999999999E-3</v>
      </c>
      <c r="I46" s="205"/>
      <c r="J46" s="205"/>
      <c r="K46" s="205"/>
      <c r="L46" s="205"/>
      <c r="M46" s="205"/>
      <c r="N46" s="205"/>
      <c r="O46" s="205"/>
      <c r="P46" s="205"/>
      <c r="Q46" s="205"/>
      <c r="R46" s="205"/>
      <c r="S46" s="205"/>
      <c r="T46" s="205"/>
    </row>
    <row r="47" spans="1:20" s="214" customFormat="1">
      <c r="A47" s="235">
        <v>2.5</v>
      </c>
      <c r="B47" s="235">
        <v>2.9999989999999999</v>
      </c>
      <c r="C47" s="235" t="s">
        <v>607</v>
      </c>
      <c r="D47" s="236">
        <v>3.1399999999999997E-2</v>
      </c>
      <c r="E47" s="205"/>
      <c r="F47" s="205"/>
      <c r="G47" s="235" t="s">
        <v>607</v>
      </c>
      <c r="H47" s="236">
        <v>3.1399999999999997E-2</v>
      </c>
      <c r="I47" s="205"/>
      <c r="J47" s="205"/>
      <c r="K47" s="205"/>
      <c r="L47" s="205"/>
      <c r="M47" s="205"/>
      <c r="N47" s="205"/>
      <c r="O47" s="205"/>
      <c r="P47" s="205"/>
      <c r="Q47" s="205"/>
      <c r="R47" s="205"/>
      <c r="S47" s="205"/>
      <c r="T47" s="205"/>
    </row>
    <row r="48" spans="1:20" s="214" customFormat="1">
      <c r="A48" s="235">
        <v>3</v>
      </c>
      <c r="B48" s="235">
        <v>3.4999989999999999</v>
      </c>
      <c r="C48" s="235" t="s">
        <v>608</v>
      </c>
      <c r="D48" s="236">
        <v>2.2100000000000002E-2</v>
      </c>
      <c r="E48" s="205"/>
      <c r="F48" s="205"/>
      <c r="G48" s="235" t="s">
        <v>605</v>
      </c>
      <c r="H48" s="236">
        <v>3.61E-2</v>
      </c>
      <c r="I48" s="205"/>
      <c r="J48" s="205"/>
      <c r="K48" s="205"/>
      <c r="L48" s="205"/>
      <c r="M48" s="205"/>
      <c r="N48" s="205"/>
      <c r="O48" s="205"/>
      <c r="P48" s="205"/>
      <c r="Q48" s="205"/>
      <c r="R48" s="205"/>
      <c r="S48" s="205"/>
      <c r="T48" s="205"/>
    </row>
    <row r="49" spans="1:25" s="214" customFormat="1">
      <c r="A49" s="235">
        <v>3.5</v>
      </c>
      <c r="B49" s="235">
        <v>3.9999999000000002</v>
      </c>
      <c r="C49" s="235" t="s">
        <v>609</v>
      </c>
      <c r="D49" s="236">
        <v>1.7399999999999999E-2</v>
      </c>
      <c r="E49" s="205"/>
      <c r="F49" s="205"/>
      <c r="G49" s="235" t="s">
        <v>603</v>
      </c>
      <c r="H49" s="236">
        <v>5.2400000000000002E-2</v>
      </c>
      <c r="I49" s="205"/>
      <c r="J49" s="205"/>
      <c r="K49" s="205"/>
      <c r="L49" s="205"/>
      <c r="M49" s="205"/>
      <c r="N49" s="205"/>
      <c r="O49" s="205"/>
      <c r="P49" s="205"/>
      <c r="Q49" s="205"/>
      <c r="R49" s="205"/>
      <c r="S49" s="205"/>
      <c r="T49" s="205"/>
    </row>
    <row r="50" spans="1:25" s="214" customFormat="1">
      <c r="A50" s="235">
        <v>4</v>
      </c>
      <c r="B50" s="235">
        <v>4.4999989999999999</v>
      </c>
      <c r="C50" s="235" t="s">
        <v>610</v>
      </c>
      <c r="D50" s="236">
        <v>1.47E-2</v>
      </c>
      <c r="E50" s="205"/>
      <c r="F50" s="205"/>
      <c r="G50" s="235" t="s">
        <v>609</v>
      </c>
      <c r="H50" s="236">
        <v>1.7399999999999999E-2</v>
      </c>
      <c r="I50" s="205"/>
      <c r="J50" s="205"/>
      <c r="K50" s="205"/>
      <c r="L50" s="205"/>
      <c r="M50" s="205"/>
      <c r="N50" s="205"/>
      <c r="O50" s="205"/>
      <c r="P50" s="205"/>
      <c r="Q50" s="205"/>
      <c r="R50" s="205"/>
      <c r="S50" s="205"/>
      <c r="T50" s="205"/>
    </row>
    <row r="51" spans="1:25" s="214" customFormat="1">
      <c r="A51" s="235">
        <v>4.5</v>
      </c>
      <c r="B51" s="235">
        <v>5.9999989999999999</v>
      </c>
      <c r="C51" s="235" t="s">
        <v>611</v>
      </c>
      <c r="D51" s="236">
        <v>1.21E-2</v>
      </c>
      <c r="E51" s="205"/>
      <c r="F51" s="205"/>
      <c r="G51" s="235" t="s">
        <v>608</v>
      </c>
      <c r="H51" s="236">
        <v>2.2100000000000002E-2</v>
      </c>
      <c r="I51" s="205"/>
      <c r="J51" s="205"/>
      <c r="K51" s="205"/>
      <c r="L51" s="205"/>
      <c r="M51" s="205"/>
      <c r="N51" s="205"/>
      <c r="O51" s="205"/>
      <c r="P51" s="205"/>
      <c r="Q51" s="205"/>
      <c r="R51" s="205"/>
      <c r="S51" s="205"/>
      <c r="T51" s="205"/>
    </row>
    <row r="52" spans="1:25" s="214" customFormat="1">
      <c r="A52" s="235">
        <v>6</v>
      </c>
      <c r="B52" s="235">
        <v>7.4999989999999999</v>
      </c>
      <c r="C52" s="235" t="s">
        <v>612</v>
      </c>
      <c r="D52" s="236">
        <v>1.0699999999999999E-2</v>
      </c>
      <c r="E52" s="205"/>
      <c r="F52" s="205"/>
      <c r="G52" s="235" t="s">
        <v>610</v>
      </c>
      <c r="H52" s="236">
        <v>1.47E-2</v>
      </c>
      <c r="I52" s="205"/>
      <c r="J52" s="205"/>
      <c r="K52" s="205"/>
      <c r="L52" s="205"/>
      <c r="M52" s="205"/>
      <c r="N52" s="205"/>
      <c r="O52" s="205"/>
      <c r="P52" s="205"/>
      <c r="Q52" s="205"/>
      <c r="R52" s="205"/>
      <c r="S52" s="205"/>
      <c r="T52" s="205"/>
    </row>
    <row r="53" spans="1:25" s="214" customFormat="1">
      <c r="A53" s="235">
        <v>7.5</v>
      </c>
      <c r="B53" s="235">
        <v>9.4999990000000007</v>
      </c>
      <c r="C53" s="235" t="s">
        <v>438</v>
      </c>
      <c r="D53" s="236">
        <v>9.1999999999999998E-3</v>
      </c>
      <c r="E53" s="205"/>
      <c r="F53" s="205"/>
      <c r="G53" s="235" t="s">
        <v>597</v>
      </c>
      <c r="H53" s="236">
        <v>0.17</v>
      </c>
      <c r="I53" s="205"/>
      <c r="J53" s="205"/>
      <c r="K53" s="205"/>
      <c r="L53" s="205"/>
      <c r="M53" s="205"/>
      <c r="N53" s="205"/>
      <c r="O53" s="205"/>
      <c r="P53" s="205"/>
      <c r="Q53" s="205"/>
      <c r="R53" s="205"/>
      <c r="S53" s="205"/>
      <c r="T53" s="205"/>
    </row>
    <row r="54" spans="1:25">
      <c r="A54" s="235">
        <v>9.5</v>
      </c>
      <c r="B54" s="235">
        <v>12.499999000000001</v>
      </c>
      <c r="C54" s="235" t="s">
        <v>613</v>
      </c>
      <c r="D54" s="236">
        <v>7.0000000000000001E-3</v>
      </c>
      <c r="G54" s="235" t="s">
        <v>599</v>
      </c>
      <c r="H54" s="236">
        <v>0.1178</v>
      </c>
      <c r="U54" s="214"/>
      <c r="V54" s="214"/>
      <c r="W54" s="214"/>
      <c r="X54" s="214"/>
      <c r="Y54" s="214"/>
    </row>
    <row r="55" spans="1:25">
      <c r="A55" s="235">
        <v>12.5</v>
      </c>
      <c r="B55" s="235">
        <v>100000</v>
      </c>
      <c r="C55" s="235" t="s">
        <v>614</v>
      </c>
      <c r="D55" s="236">
        <v>5.8999999999999999E-3</v>
      </c>
      <c r="G55" s="235" t="s">
        <v>601</v>
      </c>
      <c r="H55" s="236">
        <v>8.5099999999999995E-2</v>
      </c>
      <c r="U55" s="214"/>
      <c r="V55" s="214"/>
      <c r="W55" s="214"/>
      <c r="X55" s="214"/>
      <c r="Y55" s="214"/>
    </row>
    <row r="56" spans="1:25">
      <c r="G56" s="235" t="s">
        <v>595</v>
      </c>
      <c r="H56" s="236">
        <v>0.2</v>
      </c>
      <c r="U56" s="214"/>
      <c r="V56" s="214"/>
      <c r="W56" s="214"/>
      <c r="X56" s="214"/>
      <c r="Y56" s="214"/>
    </row>
    <row r="57" spans="1:25">
      <c r="U57" s="214"/>
      <c r="V57" s="214"/>
      <c r="W57" s="214"/>
      <c r="X57" s="214"/>
      <c r="Y57" s="214"/>
    </row>
    <row r="58" spans="1:25">
      <c r="U58" s="214"/>
      <c r="V58" s="214"/>
      <c r="W58" s="214"/>
      <c r="X58" s="214"/>
      <c r="Y58" s="214"/>
    </row>
    <row r="59" spans="1:25">
      <c r="U59" s="214"/>
      <c r="V59" s="214"/>
      <c r="W59" s="214"/>
      <c r="X59" s="214"/>
      <c r="Y59" s="214"/>
    </row>
    <row r="60" spans="1:25">
      <c r="U60" s="214"/>
      <c r="V60" s="214"/>
      <c r="W60" s="214"/>
      <c r="X60" s="214"/>
      <c r="Y60" s="214"/>
    </row>
  </sheetData>
  <mergeCells count="2">
    <mergeCell ref="A1:L2"/>
    <mergeCell ref="J19:T19"/>
  </mergeCells>
  <pageMargins left="0.75" right="0.75" top="1" bottom="1" header="0.5" footer="0.5"/>
  <pageSetup orientation="portrait" horizontalDpi="4294967292" verticalDpi="429496729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C1CFE-975A-1D49-8F80-3B1CFBE183D5}">
  <dimension ref="A1:AA95"/>
  <sheetViews>
    <sheetView workbookViewId="0">
      <pane xSplit="1" ySplit="1" topLeftCell="G2" activePane="bottomRight" state="frozen"/>
      <selection pane="topRight" activeCell="B1" sqref="B1"/>
      <selection pane="bottomLeft" activeCell="A2" sqref="A2"/>
      <selection pane="bottomRight" activeCell="H12" sqref="H12"/>
    </sheetView>
  </sheetViews>
  <sheetFormatPr baseColWidth="10" defaultColWidth="11.5" defaultRowHeight="13"/>
  <cols>
    <col min="1" max="1" width="20.33203125" style="72" bestFit="1" customWidth="1"/>
    <col min="2" max="2" width="11.5" style="72" bestFit="1" customWidth="1"/>
    <col min="3" max="3" width="9.5" style="72" bestFit="1" customWidth="1"/>
    <col min="4" max="4" width="11.83203125" style="72" bestFit="1" customWidth="1"/>
    <col min="5" max="5" width="12.5" style="72" customWidth="1"/>
    <col min="6" max="6" width="10.5" style="72" bestFit="1" customWidth="1"/>
    <col min="7" max="7" width="11.5" style="72" bestFit="1" customWidth="1"/>
    <col min="8" max="8" width="22.5" style="72" bestFit="1" customWidth="1"/>
    <col min="9" max="23" width="10.83203125" style="72" customWidth="1"/>
    <col min="24" max="16384" width="11.5" style="72"/>
  </cols>
  <sheetData>
    <row r="1" spans="1:27" s="180" customFormat="1" ht="84">
      <c r="A1" s="176" t="s">
        <v>443</v>
      </c>
      <c r="B1" s="177" t="s">
        <v>444</v>
      </c>
      <c r="C1" s="178" t="s">
        <v>445</v>
      </c>
      <c r="D1" s="178" t="s">
        <v>446</v>
      </c>
      <c r="E1" s="178" t="s">
        <v>447</v>
      </c>
      <c r="F1" s="177" t="s">
        <v>448</v>
      </c>
      <c r="G1" s="177" t="s">
        <v>440</v>
      </c>
      <c r="H1" s="177" t="s">
        <v>449</v>
      </c>
      <c r="I1" s="177" t="s">
        <v>450</v>
      </c>
      <c r="J1" s="177" t="s">
        <v>451</v>
      </c>
      <c r="K1" s="177" t="s">
        <v>452</v>
      </c>
      <c r="L1" s="177" t="s">
        <v>453</v>
      </c>
      <c r="M1" s="177" t="s">
        <v>153</v>
      </c>
      <c r="N1" s="179" t="s">
        <v>454</v>
      </c>
      <c r="O1" s="177" t="s">
        <v>439</v>
      </c>
      <c r="P1" s="177" t="s">
        <v>455</v>
      </c>
      <c r="Q1" s="177" t="s">
        <v>456</v>
      </c>
      <c r="R1" s="177" t="s">
        <v>457</v>
      </c>
      <c r="S1" s="177" t="s">
        <v>458</v>
      </c>
      <c r="T1" s="177" t="s">
        <v>459</v>
      </c>
      <c r="U1" s="177" t="s">
        <v>460</v>
      </c>
      <c r="V1" s="177" t="s">
        <v>461</v>
      </c>
      <c r="W1" s="177" t="s">
        <v>151</v>
      </c>
      <c r="X1" s="176" t="s">
        <v>462</v>
      </c>
      <c r="Y1" s="176" t="s">
        <v>463</v>
      </c>
      <c r="Z1" s="176" t="s">
        <v>464</v>
      </c>
      <c r="AA1" s="177" t="s">
        <v>465</v>
      </c>
    </row>
    <row r="2" spans="1:27" ht="14">
      <c r="A2" s="181" t="s">
        <v>173</v>
      </c>
      <c r="B2" s="182">
        <v>57</v>
      </c>
      <c r="C2" s="183">
        <v>0.11568399999999998</v>
      </c>
      <c r="D2" s="183">
        <v>9.6130213372469048E-2</v>
      </c>
      <c r="E2" s="183">
        <v>0.31515111490453068</v>
      </c>
      <c r="F2" s="183">
        <v>0.20554353210253967</v>
      </c>
      <c r="G2" s="184">
        <v>1.1806104386629273</v>
      </c>
      <c r="H2" s="184">
        <v>1.3723256229214125</v>
      </c>
      <c r="I2" s="183">
        <v>0.10192697865438498</v>
      </c>
      <c r="J2" s="183">
        <v>0.56414425301504312</v>
      </c>
      <c r="K2" s="183">
        <v>5.3524000000000002E-2</v>
      </c>
      <c r="L2" s="183">
        <v>0.25241808479709577</v>
      </c>
      <c r="M2" s="183">
        <v>8.633158509130047E-2</v>
      </c>
      <c r="N2" s="184">
        <v>3.2834030413330759</v>
      </c>
      <c r="O2" s="184">
        <v>2.2595129005604955</v>
      </c>
      <c r="P2" s="184">
        <v>12.940312997421533</v>
      </c>
      <c r="Q2" s="184">
        <v>22.238594038328291</v>
      </c>
      <c r="R2" s="184">
        <v>5.7632981253415299</v>
      </c>
      <c r="S2" s="184">
        <v>175.73470187151344</v>
      </c>
      <c r="T2" s="183">
        <v>1.2534141364144605E-2</v>
      </c>
      <c r="U2" s="183">
        <v>1.8346746746974021E-2</v>
      </c>
      <c r="V2" s="183">
        <v>-1.6886086216883787E-2</v>
      </c>
      <c r="W2" s="183">
        <v>-9.9340600189793196E-3</v>
      </c>
      <c r="X2" s="183">
        <v>3.2541006196152036E-2</v>
      </c>
      <c r="Y2" s="183">
        <v>2.828444643801165</v>
      </c>
      <c r="Z2" s="183">
        <v>2.828444643801165</v>
      </c>
      <c r="AA2" s="185">
        <v>0.10140072310597556</v>
      </c>
    </row>
    <row r="3" spans="1:27" ht="14">
      <c r="A3" s="181" t="s">
        <v>178</v>
      </c>
      <c r="B3" s="182">
        <v>70</v>
      </c>
      <c r="C3" s="183">
        <v>7.5882564102564082E-2</v>
      </c>
      <c r="D3" s="183">
        <v>8.5393846789115893E-2</v>
      </c>
      <c r="E3" s="183">
        <v>0.16167717664340658</v>
      </c>
      <c r="F3" s="183">
        <v>0.15449878451886198</v>
      </c>
      <c r="G3" s="184">
        <v>0.93085354059484426</v>
      </c>
      <c r="H3" s="184">
        <v>1.0764050153356324</v>
      </c>
      <c r="I3" s="183">
        <v>8.8314630705439087E-2</v>
      </c>
      <c r="J3" s="183">
        <v>0.36402149671230677</v>
      </c>
      <c r="K3" s="183">
        <v>5.0854999999999997E-2</v>
      </c>
      <c r="L3" s="183">
        <v>0.20291777620162876</v>
      </c>
      <c r="M3" s="183">
        <v>7.8133559868173677E-2</v>
      </c>
      <c r="N3" s="184">
        <v>1.9843395804666923</v>
      </c>
      <c r="O3" s="184">
        <v>2.478314246749687</v>
      </c>
      <c r="P3" s="184">
        <v>18.488711603269998</v>
      </c>
      <c r="Q3" s="184">
        <v>28.310279485536824</v>
      </c>
      <c r="R3" s="184">
        <v>5.0771568796832156</v>
      </c>
      <c r="S3" s="184">
        <v>32.517250905909876</v>
      </c>
      <c r="T3" s="183">
        <v>0.45042764203965496</v>
      </c>
      <c r="U3" s="183">
        <v>2.8342846696895605E-2</v>
      </c>
      <c r="V3" s="183">
        <v>2.282923210385782E-2</v>
      </c>
      <c r="W3" s="183">
        <v>0.39247743028218712</v>
      </c>
      <c r="X3" s="183">
        <v>0.13191483651952815</v>
      </c>
      <c r="Y3" s="183">
        <v>0.53694697197206931</v>
      </c>
      <c r="Z3" s="183">
        <v>0.53694697197206931</v>
      </c>
      <c r="AA3" s="185">
        <v>8.7701154266332376E-2</v>
      </c>
    </row>
    <row r="4" spans="1:27" ht="14">
      <c r="A4" s="181" t="s">
        <v>181</v>
      </c>
      <c r="B4" s="182">
        <v>25</v>
      </c>
      <c r="C4" s="183">
        <v>2.9028333333333337E-2</v>
      </c>
      <c r="D4" s="183">
        <v>6.8956114823073109E-2</v>
      </c>
      <c r="E4" s="183">
        <v>0.1092325173386668</v>
      </c>
      <c r="F4" s="183">
        <v>0.23528767545229368</v>
      </c>
      <c r="G4" s="184">
        <v>0.64018804683047448</v>
      </c>
      <c r="H4" s="184">
        <v>1.2668401714816373</v>
      </c>
      <c r="I4" s="183">
        <v>9.7074647888155313E-2</v>
      </c>
      <c r="J4" s="183">
        <v>0.44650998921901031</v>
      </c>
      <c r="K4" s="183">
        <v>5.0854999999999997E-2</v>
      </c>
      <c r="L4" s="183">
        <v>0.61854039037606257</v>
      </c>
      <c r="M4" s="183">
        <v>6.062196095222791E-2</v>
      </c>
      <c r="N4" s="184">
        <v>1.7773199625336142</v>
      </c>
      <c r="O4" s="184">
        <v>0.90579180310273899</v>
      </c>
      <c r="P4" s="184">
        <v>6.1674965255190735</v>
      </c>
      <c r="Q4" s="184">
        <v>13.024537501330959</v>
      </c>
      <c r="R4" s="184">
        <v>2.2359420389310194</v>
      </c>
      <c r="S4" s="184">
        <v>12.658954105086503</v>
      </c>
      <c r="T4" s="183">
        <v>1.0944385248270856E-2</v>
      </c>
      <c r="U4" s="183">
        <v>0.11159925638117965</v>
      </c>
      <c r="V4" s="183">
        <v>6.7202754627620362E-2</v>
      </c>
      <c r="W4" s="183">
        <v>1.1858967293486484</v>
      </c>
      <c r="X4" s="183">
        <v>0.219363538879951</v>
      </c>
      <c r="Y4" s="183">
        <v>7.8632719088479394E-2</v>
      </c>
      <c r="Z4" s="183">
        <v>7.8632719088479353E-2</v>
      </c>
      <c r="AA4" s="185">
        <v>6.7227109104728219E-2</v>
      </c>
    </row>
    <row r="5" spans="1:27" ht="14">
      <c r="A5" s="181" t="s">
        <v>184</v>
      </c>
      <c r="B5" s="182">
        <v>38</v>
      </c>
      <c r="C5" s="183">
        <v>5.7186000000000001E-2</v>
      </c>
      <c r="D5" s="183">
        <v>8.7577811977779155E-2</v>
      </c>
      <c r="E5" s="183">
        <v>0.15293487788906657</v>
      </c>
      <c r="F5" s="183">
        <v>0.32165919331897802</v>
      </c>
      <c r="G5" s="184">
        <v>0.92957565005501674</v>
      </c>
      <c r="H5" s="184">
        <v>1.1946998769689117</v>
      </c>
      <c r="I5" s="183">
        <v>9.3756194340569934E-2</v>
      </c>
      <c r="J5" s="183">
        <v>0.37035509904588476</v>
      </c>
      <c r="K5" s="183">
        <v>5.0854999999999997E-2</v>
      </c>
      <c r="L5" s="183">
        <v>0.3277875013609528</v>
      </c>
      <c r="M5" s="183">
        <v>7.5526310696846052E-2</v>
      </c>
      <c r="N5" s="184">
        <v>1.7730762352050577</v>
      </c>
      <c r="O5" s="184">
        <v>1.2013803591525696</v>
      </c>
      <c r="P5" s="184">
        <v>7.9181161902182877</v>
      </c>
      <c r="Q5" s="184">
        <v>12.388401308447197</v>
      </c>
      <c r="R5" s="184">
        <v>2.5581525508953336</v>
      </c>
      <c r="S5" s="184">
        <v>18.688545427356651</v>
      </c>
      <c r="T5" s="183">
        <v>0.24650261726088157</v>
      </c>
      <c r="U5" s="183">
        <v>2.41727298617933E-2</v>
      </c>
      <c r="V5" s="183">
        <v>5.3650838666078442E-3</v>
      </c>
      <c r="W5" s="183">
        <v>-7.2858762711417155E-2</v>
      </c>
      <c r="X5" s="183">
        <v>9.204171598277805E-2</v>
      </c>
      <c r="Y5" s="183">
        <v>0.74982998278991408</v>
      </c>
      <c r="Z5" s="183">
        <v>0.74982998278991408</v>
      </c>
      <c r="AA5" s="185">
        <v>9.6042064560311724E-2</v>
      </c>
    </row>
    <row r="6" spans="1:27" ht="14">
      <c r="A6" s="181" t="s">
        <v>186</v>
      </c>
      <c r="B6" s="182">
        <v>34</v>
      </c>
      <c r="C6" s="183">
        <v>0.21942111111111109</v>
      </c>
      <c r="D6" s="183">
        <v>4.8197319767260507E-2</v>
      </c>
      <c r="E6" s="183">
        <v>5.1866325086608607E-2</v>
      </c>
      <c r="F6" s="183">
        <v>0.13206977576521484</v>
      </c>
      <c r="G6" s="184">
        <v>1.3040309184380587</v>
      </c>
      <c r="H6" s="184">
        <v>1.5223779065768546</v>
      </c>
      <c r="I6" s="183">
        <v>0.10882938370253531</v>
      </c>
      <c r="J6" s="183">
        <v>0.59698514250325996</v>
      </c>
      <c r="K6" s="183">
        <v>5.3524000000000002E-2</v>
      </c>
      <c r="L6" s="183">
        <v>0.23675434053330363</v>
      </c>
      <c r="M6" s="183">
        <v>9.2567584225424104E-2</v>
      </c>
      <c r="N6" s="184">
        <v>1.0487316786221139</v>
      </c>
      <c r="O6" s="184">
        <v>2.4924481910179397</v>
      </c>
      <c r="P6" s="184">
        <v>21.649291457975476</v>
      </c>
      <c r="Q6" s="184">
        <v>49.578165599480705</v>
      </c>
      <c r="R6" s="184">
        <v>4.5988812443196219</v>
      </c>
      <c r="S6" s="184">
        <v>21.120152874872904</v>
      </c>
      <c r="T6" s="183">
        <v>-2.1993841210595461E-2</v>
      </c>
      <c r="U6" s="183">
        <v>6.409275484587712E-2</v>
      </c>
      <c r="V6" s="183">
        <v>2.6576673289955756E-2</v>
      </c>
      <c r="W6" s="183">
        <v>0.81471031512595593</v>
      </c>
      <c r="X6" s="183">
        <v>9.3709081086337465E-2</v>
      </c>
      <c r="Y6" s="183">
        <v>0.35459224927693617</v>
      </c>
      <c r="Z6" s="183">
        <v>0.35459224927693622</v>
      </c>
      <c r="AA6" s="185">
        <v>5.097954162021133E-2</v>
      </c>
    </row>
    <row r="7" spans="1:27" ht="14">
      <c r="A7" s="181" t="s">
        <v>188</v>
      </c>
      <c r="B7" s="182">
        <v>39</v>
      </c>
      <c r="C7" s="183">
        <v>6.2846956521739161E-2</v>
      </c>
      <c r="D7" s="183">
        <v>5.3068985394390568E-2</v>
      </c>
      <c r="E7" s="183">
        <v>0.10156047044070848</v>
      </c>
      <c r="F7" s="183">
        <v>0.2795040993246159</v>
      </c>
      <c r="G7" s="184">
        <v>1.1211038704345888</v>
      </c>
      <c r="H7" s="184">
        <v>1.3444265903808044</v>
      </c>
      <c r="I7" s="183">
        <v>0.100643623157517</v>
      </c>
      <c r="J7" s="183">
        <v>0.37071964001600449</v>
      </c>
      <c r="K7" s="183">
        <v>5.0854999999999997E-2</v>
      </c>
      <c r="L7" s="183">
        <v>0.2776627158727018</v>
      </c>
      <c r="M7" s="183">
        <v>8.3289044478111765E-2</v>
      </c>
      <c r="N7" s="184">
        <v>2.0047909637588615</v>
      </c>
      <c r="O7" s="184">
        <v>0.81660915840074455</v>
      </c>
      <c r="P7" s="184">
        <v>7.0555269605485504</v>
      </c>
      <c r="Q7" s="184">
        <v>14.11643631329104</v>
      </c>
      <c r="R7" s="184">
        <v>1.9975303469056522</v>
      </c>
      <c r="S7" s="184">
        <v>39.033424628609531</v>
      </c>
      <c r="T7" s="183">
        <v>0.15450924675978886</v>
      </c>
      <c r="U7" s="183">
        <v>3.7078148075236982E-2</v>
      </c>
      <c r="V7" s="183">
        <v>3.1693603646353471E-2</v>
      </c>
      <c r="W7" s="183">
        <v>0.95183324795159374</v>
      </c>
      <c r="X7" s="183">
        <v>5.7236136729090913E-2</v>
      </c>
      <c r="Y7" s="183">
        <v>0.4536555295436519</v>
      </c>
      <c r="Z7" s="183">
        <v>0.45365552954365196</v>
      </c>
      <c r="AA7" s="185">
        <v>5.8520548536996245E-2</v>
      </c>
    </row>
    <row r="8" spans="1:27" ht="14">
      <c r="A8" s="181" t="s">
        <v>191</v>
      </c>
      <c r="B8" s="182">
        <v>15</v>
      </c>
      <c r="C8" s="183">
        <v>7.2753846153846155E-2</v>
      </c>
      <c r="D8" s="183">
        <v>0</v>
      </c>
      <c r="E8" s="183">
        <v>1.7809965864835952E-4</v>
      </c>
      <c r="F8" s="183">
        <v>0.15860164261163576</v>
      </c>
      <c r="G8" s="184">
        <v>0.64400511784529801</v>
      </c>
      <c r="H8" s="184">
        <v>1.0613761697933088</v>
      </c>
      <c r="I8" s="183">
        <v>8.7623303810492215E-2</v>
      </c>
      <c r="J8" s="183">
        <v>0.22510527234137442</v>
      </c>
      <c r="K8" s="183">
        <v>4.5043E-2</v>
      </c>
      <c r="L8" s="183">
        <v>0.68370660862510779</v>
      </c>
      <c r="M8" s="183">
        <v>5.0811819504918643E-2</v>
      </c>
      <c r="N8" s="184">
        <v>0.26645699933051714</v>
      </c>
      <c r="O8" s="184">
        <v>5.265879881670676</v>
      </c>
      <c r="P8" s="184" t="s">
        <v>466</v>
      </c>
      <c r="Q8" s="184" t="s">
        <v>466</v>
      </c>
      <c r="R8" s="184">
        <v>1.0492601893677032</v>
      </c>
      <c r="S8" s="184">
        <v>8.547358658097874</v>
      </c>
      <c r="T8" s="183" t="s">
        <v>466</v>
      </c>
      <c r="U8" s="183">
        <v>1.9731137380717412E-2</v>
      </c>
      <c r="V8" s="183">
        <v>1.2953142452475423E-2</v>
      </c>
      <c r="W8" s="183">
        <v>55.728776313853096</v>
      </c>
      <c r="X8" s="183">
        <v>0.14874034732315899</v>
      </c>
      <c r="Y8" s="183">
        <v>0.24337970298838549</v>
      </c>
      <c r="Z8" s="183">
        <v>0.24337970298838552</v>
      </c>
      <c r="AA8" s="185">
        <v>8.1200893217945561E-4</v>
      </c>
    </row>
    <row r="9" spans="1:27" ht="14">
      <c r="A9" s="181" t="s">
        <v>196</v>
      </c>
      <c r="B9" s="182">
        <v>625</v>
      </c>
      <c r="C9" s="183">
        <v>9.2156242299794702E-2</v>
      </c>
      <c r="D9" s="183">
        <v>3.6415348617892096E-8</v>
      </c>
      <c r="E9" s="183">
        <v>-5.3374958145126011E-4</v>
      </c>
      <c r="F9" s="183">
        <v>0.20724129233055669</v>
      </c>
      <c r="G9" s="184">
        <v>0.33336660673496787</v>
      </c>
      <c r="H9" s="184">
        <v>0.46115813409367462</v>
      </c>
      <c r="I9" s="183">
        <v>6.0013274168309032E-2</v>
      </c>
      <c r="J9" s="183">
        <v>0.1867735328629955</v>
      </c>
      <c r="K9" s="183">
        <v>4.5043E-2</v>
      </c>
      <c r="L9" s="183">
        <v>0.50481828844665777</v>
      </c>
      <c r="M9" s="183">
        <v>4.677137344346035E-2</v>
      </c>
      <c r="N9" s="184">
        <v>0.3671924593155293</v>
      </c>
      <c r="O9" s="184">
        <v>4.4737564903858402</v>
      </c>
      <c r="P9" s="184" t="s">
        <v>466</v>
      </c>
      <c r="Q9" s="184" t="s">
        <v>466</v>
      </c>
      <c r="R9" s="184">
        <v>1.0188589222331499</v>
      </c>
      <c r="S9" s="184">
        <v>35.966292420385749</v>
      </c>
      <c r="T9" s="183" t="s">
        <v>466</v>
      </c>
      <c r="U9" s="183">
        <v>2.7336820130708508E-2</v>
      </c>
      <c r="V9" s="183">
        <v>-0.10087904726752299</v>
      </c>
      <c r="W9" s="183" t="s">
        <v>466</v>
      </c>
      <c r="X9" s="183">
        <v>0.12142592116953591</v>
      </c>
      <c r="Y9" s="183">
        <v>0.32014617865318346</v>
      </c>
      <c r="Z9" s="183">
        <v>0.3201461786531834</v>
      </c>
      <c r="AA9" s="185">
        <v>-1.7660881241903206E-3</v>
      </c>
    </row>
    <row r="10" spans="1:27" ht="14">
      <c r="A10" s="181" t="s">
        <v>199</v>
      </c>
      <c r="B10" s="182">
        <v>19</v>
      </c>
      <c r="C10" s="183">
        <v>0.12062222222222224</v>
      </c>
      <c r="D10" s="183">
        <v>0.20626605729454345</v>
      </c>
      <c r="E10" s="183">
        <v>0.16670846804136458</v>
      </c>
      <c r="F10" s="183">
        <v>0.25595531935006144</v>
      </c>
      <c r="G10" s="184">
        <v>0.97026335212736425</v>
      </c>
      <c r="H10" s="184">
        <v>1.1318349126688121</v>
      </c>
      <c r="I10" s="183">
        <v>9.0864405982765351E-2</v>
      </c>
      <c r="J10" s="183">
        <v>0.4970414041193621</v>
      </c>
      <c r="K10" s="183">
        <v>5.0854999999999997E-2</v>
      </c>
      <c r="L10" s="183">
        <v>0.19656022020066688</v>
      </c>
      <c r="M10" s="183">
        <v>8.0501130833118884E-2</v>
      </c>
      <c r="N10" s="184">
        <v>0.89682311533521308</v>
      </c>
      <c r="O10" s="184">
        <v>3.8916686876869191</v>
      </c>
      <c r="P10" s="184">
        <v>14.843529532980639</v>
      </c>
      <c r="Q10" s="184">
        <v>18.678840886226705</v>
      </c>
      <c r="R10" s="184">
        <v>3.0993348768756093</v>
      </c>
      <c r="S10" s="184">
        <v>35.375901073895371</v>
      </c>
      <c r="T10" s="183">
        <v>0.17116248155736727</v>
      </c>
      <c r="U10" s="183">
        <v>7.6631776152694453E-2</v>
      </c>
      <c r="V10" s="183">
        <v>9.390305849002889E-2</v>
      </c>
      <c r="W10" s="183">
        <v>0.90812968595804455</v>
      </c>
      <c r="X10" s="183">
        <v>8.69908980857384E-2</v>
      </c>
      <c r="Y10" s="183">
        <v>0.54634665208152333</v>
      </c>
      <c r="Z10" s="183">
        <v>0.54634665208152333</v>
      </c>
      <c r="AA10" s="185">
        <v>0.20751043151831927</v>
      </c>
    </row>
    <row r="11" spans="1:27" ht="14">
      <c r="A11" s="181" t="s">
        <v>175</v>
      </c>
      <c r="B11" s="182">
        <v>29</v>
      </c>
      <c r="C11" s="183">
        <v>0.28579076923076918</v>
      </c>
      <c r="D11" s="183">
        <v>0.19303402977387185</v>
      </c>
      <c r="E11" s="183">
        <v>0.3065163030779624</v>
      </c>
      <c r="F11" s="183">
        <v>0.18728623048491203</v>
      </c>
      <c r="G11" s="184">
        <v>0.70183334721111912</v>
      </c>
      <c r="H11" s="184">
        <v>0.76414587542458534</v>
      </c>
      <c r="I11" s="183">
        <v>7.3950710269530928E-2</v>
      </c>
      <c r="J11" s="183">
        <v>0.42961071148670704</v>
      </c>
      <c r="K11" s="183">
        <v>5.0854999999999997E-2</v>
      </c>
      <c r="L11" s="183">
        <v>0.14615787524295451</v>
      </c>
      <c r="M11" s="183">
        <v>6.8716875642939296E-2</v>
      </c>
      <c r="N11" s="184">
        <v>1.6931990505110932</v>
      </c>
      <c r="O11" s="184">
        <v>4.164625625009446</v>
      </c>
      <c r="P11" s="184">
        <v>18.067516918352702</v>
      </c>
      <c r="Q11" s="184">
        <v>21.467253635523878</v>
      </c>
      <c r="R11" s="184">
        <v>7.4226028259444998</v>
      </c>
      <c r="S11" s="184">
        <v>33.673065255533182</v>
      </c>
      <c r="T11" s="183">
        <v>-7.1416168745672318E-2</v>
      </c>
      <c r="U11" s="183">
        <v>4.6538312568521902E-2</v>
      </c>
      <c r="V11" s="183">
        <v>2.386992815326883E-2</v>
      </c>
      <c r="W11" s="183">
        <v>0.25676455571759477</v>
      </c>
      <c r="X11" s="183">
        <v>0.30557353679830446</v>
      </c>
      <c r="Y11" s="183">
        <v>0.6638966866591276</v>
      </c>
      <c r="Z11" s="183">
        <v>0.6638966866591276</v>
      </c>
      <c r="AA11" s="185">
        <v>0.19397268289715019</v>
      </c>
    </row>
    <row r="12" spans="1:27" ht="14">
      <c r="A12" s="181" t="s">
        <v>202</v>
      </c>
      <c r="B12" s="182">
        <v>22</v>
      </c>
      <c r="C12" s="183">
        <v>5.4847058823529415E-2</v>
      </c>
      <c r="D12" s="183">
        <v>0.11778498155713862</v>
      </c>
      <c r="E12" s="183">
        <v>0.12063888924002568</v>
      </c>
      <c r="F12" s="183">
        <v>0.26271149782887182</v>
      </c>
      <c r="G12" s="184">
        <v>0.49975667452480371</v>
      </c>
      <c r="H12" s="184">
        <v>1.0609243999049403</v>
      </c>
      <c r="I12" s="183">
        <v>8.7602522395627255E-2</v>
      </c>
      <c r="J12" s="183">
        <v>0.38457133667076027</v>
      </c>
      <c r="K12" s="183">
        <v>5.0854999999999997E-2</v>
      </c>
      <c r="L12" s="183">
        <v>0.63820798682921376</v>
      </c>
      <c r="M12" s="183">
        <v>5.603594331400262E-2</v>
      </c>
      <c r="N12" s="184">
        <v>1.1159893806472496</v>
      </c>
      <c r="O12" s="184">
        <v>1.2533019633843616</v>
      </c>
      <c r="P12" s="184">
        <v>7.3098296438361263</v>
      </c>
      <c r="Q12" s="184">
        <v>10.673057550494407</v>
      </c>
      <c r="R12" s="184">
        <v>0.80101351287155709</v>
      </c>
      <c r="S12" s="184">
        <v>7.8167811735331334</v>
      </c>
      <c r="T12" s="183">
        <v>0.10922957427443249</v>
      </c>
      <c r="U12" s="183">
        <v>2.5150013344556445E-2</v>
      </c>
      <c r="V12" s="183">
        <v>-2.0612152442738167E-2</v>
      </c>
      <c r="W12" s="183">
        <v>2.1143668601085928</v>
      </c>
      <c r="X12" s="183">
        <v>-2.1565149058570276E-2</v>
      </c>
      <c r="Y12" s="183">
        <v>2.1958759739129407E-3</v>
      </c>
      <c r="Z12" s="183">
        <v>2.1958759739129086E-3</v>
      </c>
      <c r="AA12" s="185">
        <v>0.11731512451023196</v>
      </c>
    </row>
    <row r="13" spans="1:27" ht="14">
      <c r="A13" s="181" t="s">
        <v>206</v>
      </c>
      <c r="B13" s="182">
        <v>27</v>
      </c>
      <c r="C13" s="183">
        <v>0.12787473684210526</v>
      </c>
      <c r="D13" s="183">
        <v>7.7058531092326328E-3</v>
      </c>
      <c r="E13" s="183">
        <v>1.307446941021954E-3</v>
      </c>
      <c r="F13" s="183">
        <v>0.21046665127451775</v>
      </c>
      <c r="G13" s="184">
        <v>0.55077822149952105</v>
      </c>
      <c r="H13" s="184">
        <v>1.120326193984736</v>
      </c>
      <c r="I13" s="183">
        <v>9.0335004923297851E-2</v>
      </c>
      <c r="J13" s="183">
        <v>0.25213732428210645</v>
      </c>
      <c r="K13" s="183">
        <v>5.0854999999999997E-2</v>
      </c>
      <c r="L13" s="183">
        <v>0.69330765887708945</v>
      </c>
      <c r="M13" s="183">
        <v>5.4148674889421655E-2</v>
      </c>
      <c r="N13" s="184">
        <v>0.27949922437037333</v>
      </c>
      <c r="O13" s="184">
        <v>5.6097535469357611</v>
      </c>
      <c r="P13" s="184" t="s">
        <v>466</v>
      </c>
      <c r="Q13" s="184" t="s">
        <v>466</v>
      </c>
      <c r="R13" s="184">
        <v>1.6565413108416178</v>
      </c>
      <c r="S13" s="184">
        <v>222.18514648652769</v>
      </c>
      <c r="T13" s="183" t="s">
        <v>466</v>
      </c>
      <c r="U13" s="183">
        <v>3.4125847634679171E-2</v>
      </c>
      <c r="V13" s="183">
        <v>1.6766162791348155E-2</v>
      </c>
      <c r="W13" s="183">
        <v>56.433655889964861</v>
      </c>
      <c r="X13" s="183">
        <v>0.10413110832014963</v>
      </c>
      <c r="Y13" s="183">
        <v>0.4352511082051424</v>
      </c>
      <c r="Z13" s="183">
        <v>0.43525110820514246</v>
      </c>
      <c r="AA13" s="185">
        <v>5.7932474418426055E-3</v>
      </c>
    </row>
    <row r="14" spans="1:27" ht="14">
      <c r="A14" s="181" t="s">
        <v>209</v>
      </c>
      <c r="B14" s="182">
        <v>44</v>
      </c>
      <c r="C14" s="183">
        <v>6.4077647058823517E-2</v>
      </c>
      <c r="D14" s="183">
        <v>0.13549668839875367</v>
      </c>
      <c r="E14" s="183">
        <v>0.25267057444947799</v>
      </c>
      <c r="F14" s="183">
        <v>0.24749103744997217</v>
      </c>
      <c r="G14" s="184">
        <v>1.2090471865786552</v>
      </c>
      <c r="H14" s="184">
        <v>1.3177985305249351</v>
      </c>
      <c r="I14" s="183">
        <v>9.9418732404147017E-2</v>
      </c>
      <c r="J14" s="183">
        <v>0.28715879840268466</v>
      </c>
      <c r="K14" s="183">
        <v>5.0854999999999997E-2</v>
      </c>
      <c r="L14" s="183">
        <v>0.15361123144803443</v>
      </c>
      <c r="M14" s="183">
        <v>9.0005822872010727E-2</v>
      </c>
      <c r="N14" s="184">
        <v>2.2882186586804418</v>
      </c>
      <c r="O14" s="184">
        <v>2.1109365215921261</v>
      </c>
      <c r="P14" s="184">
        <v>12.010468803767779</v>
      </c>
      <c r="Q14" s="184">
        <v>15.394243623712891</v>
      </c>
      <c r="R14" s="184">
        <v>4.735200284670956</v>
      </c>
      <c r="S14" s="184">
        <v>24.847889315631068</v>
      </c>
      <c r="T14" s="183">
        <v>0.18356211311341869</v>
      </c>
      <c r="U14" s="183">
        <v>3.2512733848203627E-2</v>
      </c>
      <c r="V14" s="183">
        <v>2.4513125773923429E-2</v>
      </c>
      <c r="W14" s="183">
        <v>-7.6166544925225102E-3</v>
      </c>
      <c r="X14" s="183">
        <v>0.21354650605206582</v>
      </c>
      <c r="Y14" s="183">
        <v>0.29019405797616848</v>
      </c>
      <c r="Z14" s="183">
        <v>0.29019405797616848</v>
      </c>
      <c r="AA14" s="185">
        <v>0.13773258950466172</v>
      </c>
    </row>
    <row r="15" spans="1:27" ht="14">
      <c r="A15" s="181" t="s">
        <v>211</v>
      </c>
      <c r="B15" s="182">
        <v>162</v>
      </c>
      <c r="C15" s="183">
        <v>6.6924269662921379E-2</v>
      </c>
      <c r="D15" s="183">
        <v>0.11098788170854047</v>
      </c>
      <c r="E15" s="183">
        <v>0.27452359974428153</v>
      </c>
      <c r="F15" s="183">
        <v>0.24242512766060723</v>
      </c>
      <c r="G15" s="184">
        <v>0.92964265743301178</v>
      </c>
      <c r="H15" s="184">
        <v>1.0221017216409709</v>
      </c>
      <c r="I15" s="183">
        <v>8.5816679195484663E-2</v>
      </c>
      <c r="J15" s="183">
        <v>0.41290054994468384</v>
      </c>
      <c r="K15" s="183">
        <v>5.0854999999999997E-2</v>
      </c>
      <c r="L15" s="183">
        <v>0.15210606535531057</v>
      </c>
      <c r="M15" s="183">
        <v>7.8564957246433781E-2</v>
      </c>
      <c r="N15" s="184">
        <v>2.7218927299604339</v>
      </c>
      <c r="O15" s="184">
        <v>2.6819987829385279</v>
      </c>
      <c r="P15" s="184">
        <v>16.123377912677118</v>
      </c>
      <c r="Q15" s="184">
        <v>23.493439699858502</v>
      </c>
      <c r="R15" s="184">
        <v>5.5355120575616938</v>
      </c>
      <c r="S15" s="184">
        <v>86.899382361961813</v>
      </c>
      <c r="T15" s="183">
        <v>0.13484425179191181</v>
      </c>
      <c r="U15" s="183">
        <v>2.9848449272908677E-2</v>
      </c>
      <c r="V15" s="183">
        <v>1.6940121240038436E-2</v>
      </c>
      <c r="W15" s="183">
        <v>0.25446821033167139</v>
      </c>
      <c r="X15" s="183">
        <v>0.1399754737551486</v>
      </c>
      <c r="Y15" s="183">
        <v>0.59783007780719277</v>
      </c>
      <c r="Z15" s="183">
        <v>0.59783007780719277</v>
      </c>
      <c r="AA15" s="185">
        <v>0.11307358791595411</v>
      </c>
    </row>
    <row r="16" spans="1:27" ht="14">
      <c r="A16" s="181" t="s">
        <v>214</v>
      </c>
      <c r="B16" s="182">
        <v>10</v>
      </c>
      <c r="C16" s="183">
        <v>0.16231666666666669</v>
      </c>
      <c r="D16" s="183">
        <v>0.19465081924755748</v>
      </c>
      <c r="E16" s="183">
        <v>0.11311872163563386</v>
      </c>
      <c r="F16" s="183">
        <v>0.25555176669754759</v>
      </c>
      <c r="G16" s="184">
        <v>0.73562954032076278</v>
      </c>
      <c r="H16" s="184">
        <v>1.2767983158980267</v>
      </c>
      <c r="I16" s="183">
        <v>9.7532722531309235E-2</v>
      </c>
      <c r="J16" s="183">
        <v>0.3300530419558696</v>
      </c>
      <c r="K16" s="183">
        <v>5.0854999999999997E-2</v>
      </c>
      <c r="L16" s="183">
        <v>0.50426003463258229</v>
      </c>
      <c r="M16" s="183">
        <v>6.7583976535791179E-2</v>
      </c>
      <c r="N16" s="184">
        <v>0.77672236932259209</v>
      </c>
      <c r="O16" s="184">
        <v>2.5465853835816081</v>
      </c>
      <c r="P16" s="184">
        <v>7.8008723610498603</v>
      </c>
      <c r="Q16" s="184">
        <v>13.348955942597875</v>
      </c>
      <c r="R16" s="184">
        <v>2.063094529414669</v>
      </c>
      <c r="S16" s="184">
        <v>16.12065991866249</v>
      </c>
      <c r="T16" s="183">
        <v>-9.7741192310436191E-4</v>
      </c>
      <c r="U16" s="183">
        <v>0.14079353806475833</v>
      </c>
      <c r="V16" s="183">
        <v>1.6512641327761278E-2</v>
      </c>
      <c r="W16" s="183">
        <v>0.15767366778442643</v>
      </c>
      <c r="X16" s="183">
        <v>0.19466771140821634</v>
      </c>
      <c r="Y16" s="183">
        <v>0.21927067291667543</v>
      </c>
      <c r="Z16" s="183">
        <v>0.21927067291667546</v>
      </c>
      <c r="AA16" s="185">
        <v>0.19087795085663556</v>
      </c>
    </row>
    <row r="17" spans="1:27" ht="14">
      <c r="A17" s="181" t="s">
        <v>218</v>
      </c>
      <c r="B17" s="182">
        <v>32</v>
      </c>
      <c r="C17" s="183">
        <v>0.11316100000000001</v>
      </c>
      <c r="D17" s="183">
        <v>7.8809382448858323E-2</v>
      </c>
      <c r="E17" s="183">
        <v>0.11808931523559212</v>
      </c>
      <c r="F17" s="183">
        <v>0.23971308008564993</v>
      </c>
      <c r="G17" s="184">
        <v>0.87469078478798268</v>
      </c>
      <c r="H17" s="184">
        <v>1.096267077331708</v>
      </c>
      <c r="I17" s="183">
        <v>8.9228285557258563E-2</v>
      </c>
      <c r="J17" s="183">
        <v>0.38924523542650602</v>
      </c>
      <c r="K17" s="183">
        <v>5.0854999999999997E-2</v>
      </c>
      <c r="L17" s="183">
        <v>0.31354657676699077</v>
      </c>
      <c r="M17" s="183">
        <v>7.3210120441106613E-2</v>
      </c>
      <c r="N17" s="184">
        <v>1.6175128141587387</v>
      </c>
      <c r="O17" s="184">
        <v>1.1499985705299101</v>
      </c>
      <c r="P17" s="184">
        <v>8.0995322699832801</v>
      </c>
      <c r="Q17" s="184">
        <v>14.05606834124257</v>
      </c>
      <c r="R17" s="184">
        <v>1.9757813391316583</v>
      </c>
      <c r="S17" s="184">
        <v>12.407994201775024</v>
      </c>
      <c r="T17" s="183">
        <v>0.14739172149447363</v>
      </c>
      <c r="U17" s="183">
        <v>5.5075323588956941E-2</v>
      </c>
      <c r="V17" s="183">
        <v>3.0793498175279994E-2</v>
      </c>
      <c r="W17" s="183">
        <v>0.17366700473212501</v>
      </c>
      <c r="X17" s="183">
        <v>8.8946041576985921E-2</v>
      </c>
      <c r="Y17" s="183">
        <v>1.3126657214952435</v>
      </c>
      <c r="Z17" s="183">
        <v>1.3126657214952435</v>
      </c>
      <c r="AA17" s="185">
        <v>8.0172535926678418E-2</v>
      </c>
    </row>
    <row r="18" spans="1:27" ht="14">
      <c r="A18" s="181" t="s">
        <v>222</v>
      </c>
      <c r="B18" s="182">
        <v>4</v>
      </c>
      <c r="C18" s="183">
        <v>-7.5500000000000038E-3</v>
      </c>
      <c r="D18" s="183">
        <v>1.5232688891083214E-2</v>
      </c>
      <c r="E18" s="183">
        <v>1.5720852535763625E-2</v>
      </c>
      <c r="F18" s="183">
        <v>0.44293366295838488</v>
      </c>
      <c r="G18" s="184">
        <v>0.81346085769352849</v>
      </c>
      <c r="H18" s="184">
        <v>1.1332797311390761</v>
      </c>
      <c r="I18" s="183">
        <v>9.0930867632397494E-2</v>
      </c>
      <c r="J18" s="183">
        <v>0.37242278384437877</v>
      </c>
      <c r="K18" s="183">
        <v>5.0854999999999997E-2</v>
      </c>
      <c r="L18" s="183">
        <v>0.41012862019663632</v>
      </c>
      <c r="M18" s="183">
        <v>6.9280334592114287E-2</v>
      </c>
      <c r="N18" s="184">
        <v>1.2786447256557913</v>
      </c>
      <c r="O18" s="184">
        <v>1.1597139266470613</v>
      </c>
      <c r="P18" s="184">
        <v>15.396063877133198</v>
      </c>
      <c r="Q18" s="184">
        <v>73.615159171578384</v>
      </c>
      <c r="R18" s="184">
        <v>1.9746042510627253</v>
      </c>
      <c r="S18" s="184">
        <v>30.527729815250837</v>
      </c>
      <c r="T18" s="183">
        <v>0.17621388838495999</v>
      </c>
      <c r="U18" s="183">
        <v>4.511777011805717E-2</v>
      </c>
      <c r="V18" s="183">
        <v>-5.7903354329949218E-3</v>
      </c>
      <c r="W18" s="183">
        <v>-5.556514170837235</v>
      </c>
      <c r="X18" s="183">
        <v>-2.3605004225089869E-2</v>
      </c>
      <c r="Y18" s="183">
        <v>1.037037037037037E-2</v>
      </c>
      <c r="Z18" s="183">
        <v>1.0370370370370363E-2</v>
      </c>
      <c r="AA18" s="185">
        <v>1.4639496833568348E-2</v>
      </c>
    </row>
    <row r="19" spans="1:27" ht="14">
      <c r="A19" s="181" t="s">
        <v>224</v>
      </c>
      <c r="B19" s="182">
        <v>68</v>
      </c>
      <c r="C19" s="183">
        <v>7.3318750000000016E-2</v>
      </c>
      <c r="D19" s="183">
        <v>0.13090390749762712</v>
      </c>
      <c r="E19" s="183">
        <v>0.13505275648152232</v>
      </c>
      <c r="F19" s="183">
        <v>0.18266700211687126</v>
      </c>
      <c r="G19" s="184">
        <v>0.93813574342911976</v>
      </c>
      <c r="H19" s="184">
        <v>1.0873832852797658</v>
      </c>
      <c r="I19" s="183">
        <v>8.8819631122869225E-2</v>
      </c>
      <c r="J19" s="183">
        <v>0.36600539277751015</v>
      </c>
      <c r="K19" s="183">
        <v>5.0854999999999997E-2</v>
      </c>
      <c r="L19" s="183">
        <v>0.21148852013848732</v>
      </c>
      <c r="M19" s="183">
        <v>7.8101735296179364E-2</v>
      </c>
      <c r="N19" s="184">
        <v>1.15732408251221</v>
      </c>
      <c r="O19" s="184">
        <v>2.6791416225374163</v>
      </c>
      <c r="P19" s="184">
        <v>12.849678147864511</v>
      </c>
      <c r="Q19" s="184">
        <v>19.995555424351952</v>
      </c>
      <c r="R19" s="184">
        <v>2.67276074057165</v>
      </c>
      <c r="S19" s="184">
        <v>60.901134435897625</v>
      </c>
      <c r="T19" s="183">
        <v>0.22747765886505658</v>
      </c>
      <c r="U19" s="183">
        <v>8.4587824919642812E-2</v>
      </c>
      <c r="V19" s="183">
        <v>9.8115172777548026E-2</v>
      </c>
      <c r="W19" s="183">
        <v>1.0348496791866486</v>
      </c>
      <c r="X19" s="183">
        <v>0.14943273384769459</v>
      </c>
      <c r="Y19" s="183">
        <v>0.33249927210754887</v>
      </c>
      <c r="Z19" s="183">
        <v>0.33249927210754882</v>
      </c>
      <c r="AA19" s="185">
        <v>0.1304736636407548</v>
      </c>
    </row>
    <row r="20" spans="1:27" ht="14">
      <c r="A20" s="181" t="s">
        <v>227</v>
      </c>
      <c r="B20" s="182">
        <v>18</v>
      </c>
      <c r="C20" s="183">
        <v>5.559999999999999E-2</v>
      </c>
      <c r="D20" s="183">
        <v>0.20509759118732937</v>
      </c>
      <c r="E20" s="183">
        <v>0.29497550992564786</v>
      </c>
      <c r="F20" s="183">
        <v>0.13126063867339174</v>
      </c>
      <c r="G20" s="184">
        <v>1.2427250283125129</v>
      </c>
      <c r="H20" s="184">
        <v>1.2707580825145446</v>
      </c>
      <c r="I20" s="183">
        <v>9.7254871795669051E-2</v>
      </c>
      <c r="J20" s="183">
        <v>0.55692259899700314</v>
      </c>
      <c r="K20" s="183">
        <v>5.3524000000000002E-2</v>
      </c>
      <c r="L20" s="183">
        <v>0.18396815851589854</v>
      </c>
      <c r="M20" s="183">
        <v>8.6748105912023726E-2</v>
      </c>
      <c r="N20" s="184">
        <v>1.4739520943470472</v>
      </c>
      <c r="O20" s="184">
        <v>1.329263856564374</v>
      </c>
      <c r="P20" s="184">
        <v>2.7528990930238861</v>
      </c>
      <c r="Q20" s="184">
        <v>4.0368281544460292</v>
      </c>
      <c r="R20" s="184">
        <v>1.7901440274639588</v>
      </c>
      <c r="S20" s="184">
        <v>91.912422983759726</v>
      </c>
      <c r="T20" s="183">
        <v>6.1300782894183045E-2</v>
      </c>
      <c r="U20" s="183">
        <v>9.3046119803254237E-2</v>
      </c>
      <c r="V20" s="183">
        <v>1.5940120019722653E-2</v>
      </c>
      <c r="W20" s="183">
        <v>0.13283664539899678</v>
      </c>
      <c r="X20" s="183">
        <v>0.29069215958320355</v>
      </c>
      <c r="Y20" s="183">
        <v>0.15155665948302102</v>
      </c>
      <c r="Z20" s="183">
        <v>0.15155665948302099</v>
      </c>
      <c r="AA20" s="185">
        <v>0.20552884089594509</v>
      </c>
    </row>
    <row r="21" spans="1:27" ht="14">
      <c r="A21" s="181" t="s">
        <v>229</v>
      </c>
      <c r="B21" s="182">
        <v>72</v>
      </c>
      <c r="C21" s="183">
        <v>0.10926473684210528</v>
      </c>
      <c r="D21" s="183">
        <v>6.9781750755169278E-2</v>
      </c>
      <c r="E21" s="183">
        <v>0.24167411086330845</v>
      </c>
      <c r="F21" s="183">
        <v>0.18859681218443272</v>
      </c>
      <c r="G21" s="184">
        <v>0.85869750711737747</v>
      </c>
      <c r="H21" s="184">
        <v>0.99732353782806837</v>
      </c>
      <c r="I21" s="183">
        <v>8.4676882740091136E-2</v>
      </c>
      <c r="J21" s="183">
        <v>0.49612772702274627</v>
      </c>
      <c r="K21" s="183">
        <v>5.0854999999999997E-2</v>
      </c>
      <c r="L21" s="183">
        <v>0.22566035729965525</v>
      </c>
      <c r="M21" s="183">
        <v>7.4175635228796638E-2</v>
      </c>
      <c r="N21" s="184">
        <v>3.5867521403435378</v>
      </c>
      <c r="O21" s="184">
        <v>1.3742206681743261</v>
      </c>
      <c r="P21" s="184">
        <v>12.610910959671749</v>
      </c>
      <c r="Q21" s="184">
        <v>18.862943171557092</v>
      </c>
      <c r="R21" s="184">
        <v>4.3745780390573517</v>
      </c>
      <c r="S21" s="184">
        <v>76.132199815532758</v>
      </c>
      <c r="T21" s="183">
        <v>0.13853121727988529</v>
      </c>
      <c r="U21" s="183">
        <v>1.2325750009423415E-2</v>
      </c>
      <c r="V21" s="183">
        <v>8.2343910033029176E-3</v>
      </c>
      <c r="W21" s="183">
        <v>0.23795588571918946</v>
      </c>
      <c r="X21" s="183">
        <v>0.18772570752648005</v>
      </c>
      <c r="Y21" s="183">
        <v>0.57072644434029085</v>
      </c>
      <c r="Z21" s="183">
        <v>0.57072644434029085</v>
      </c>
      <c r="AA21" s="185">
        <v>7.303438673884674E-2</v>
      </c>
    </row>
    <row r="22" spans="1:27" ht="14">
      <c r="A22" s="181" t="s">
        <v>231</v>
      </c>
      <c r="B22" s="182">
        <v>36</v>
      </c>
      <c r="C22" s="183">
        <v>2.3118148148148145E-2</v>
      </c>
      <c r="D22" s="183">
        <v>0.21063899949335566</v>
      </c>
      <c r="E22" s="183">
        <v>0.37798197124632166</v>
      </c>
      <c r="F22" s="183">
        <v>0.146118607992441</v>
      </c>
      <c r="G22" s="184">
        <v>1.1003543807483607</v>
      </c>
      <c r="H22" s="184">
        <v>1.1329223650294353</v>
      </c>
      <c r="I22" s="183">
        <v>9.0914428791354029E-2</v>
      </c>
      <c r="J22" s="183">
        <v>0.38898164531276785</v>
      </c>
      <c r="K22" s="183">
        <v>5.0854999999999997E-2</v>
      </c>
      <c r="L22" s="183">
        <v>5.7417446747048767E-2</v>
      </c>
      <c r="M22" s="183">
        <v>8.7884327608428986E-2</v>
      </c>
      <c r="N22" s="184">
        <v>1.9227871093142761</v>
      </c>
      <c r="O22" s="184">
        <v>5.5117305732812101</v>
      </c>
      <c r="P22" s="184">
        <v>21.831632280697495</v>
      </c>
      <c r="Q22" s="184">
        <v>25.971419409717786</v>
      </c>
      <c r="R22" s="184">
        <v>30.982880033408666</v>
      </c>
      <c r="S22" s="184">
        <v>31.833390779893396</v>
      </c>
      <c r="T22" s="183">
        <v>-9.8693444874868835E-2</v>
      </c>
      <c r="U22" s="183">
        <v>3.0597659642645401E-2</v>
      </c>
      <c r="V22" s="183">
        <v>9.0047013395217704E-3</v>
      </c>
      <c r="W22" s="183">
        <v>9.2441186690531002E-2</v>
      </c>
      <c r="X22" s="183">
        <v>-1.2342890084991339E-5</v>
      </c>
      <c r="Y22" s="183">
        <v>0.17443899392066986</v>
      </c>
      <c r="Z22" s="183">
        <v>0.17443899392066986</v>
      </c>
      <c r="AA22" s="185">
        <v>0.21483117342726249</v>
      </c>
    </row>
    <row r="23" spans="1:27" ht="14">
      <c r="A23" s="181" t="s">
        <v>233</v>
      </c>
      <c r="B23" s="182">
        <v>11</v>
      </c>
      <c r="C23" s="183">
        <v>9.3214285714285708E-2</v>
      </c>
      <c r="D23" s="183">
        <v>0.19042805922763226</v>
      </c>
      <c r="E23" s="183">
        <v>0.16917184600449708</v>
      </c>
      <c r="F23" s="183">
        <v>0.20587654716037279</v>
      </c>
      <c r="G23" s="184">
        <v>0.85045702070612572</v>
      </c>
      <c r="H23" s="184">
        <v>0.93781621828777395</v>
      </c>
      <c r="I23" s="183">
        <v>8.1939546041237599E-2</v>
      </c>
      <c r="J23" s="183">
        <v>0.30297083677405678</v>
      </c>
      <c r="K23" s="183">
        <v>5.0854999999999997E-2</v>
      </c>
      <c r="L23" s="183">
        <v>0.13984162501138236</v>
      </c>
      <c r="M23" s="183">
        <v>7.5814721150101336E-2</v>
      </c>
      <c r="N23" s="184">
        <v>1.0504344600135633</v>
      </c>
      <c r="O23" s="184">
        <v>4.0960651964189765</v>
      </c>
      <c r="P23" s="184">
        <v>14.937131868626217</v>
      </c>
      <c r="Q23" s="184">
        <v>21.867430131104488</v>
      </c>
      <c r="R23" s="184">
        <v>3.7678129120418093</v>
      </c>
      <c r="S23" s="184">
        <v>63.097848899177691</v>
      </c>
      <c r="T23" s="183">
        <v>0.22904316172646905</v>
      </c>
      <c r="U23" s="183">
        <v>9.466841831568E-2</v>
      </c>
      <c r="V23" s="183">
        <v>3.4544525640674763E-2</v>
      </c>
      <c r="W23" s="183">
        <v>0.39648111433244615</v>
      </c>
      <c r="X23" s="183">
        <v>0.1720397075859865</v>
      </c>
      <c r="Y23" s="183">
        <v>0.15193309779614278</v>
      </c>
      <c r="Z23" s="183">
        <v>0.15193309779614284</v>
      </c>
      <c r="AA23" s="185">
        <v>0.18714102189619572</v>
      </c>
    </row>
    <row r="24" spans="1:27" ht="14">
      <c r="A24" s="181" t="s">
        <v>236</v>
      </c>
      <c r="B24" s="182">
        <v>23</v>
      </c>
      <c r="C24" s="183">
        <v>6.9406363636363641E-2</v>
      </c>
      <c r="D24" s="183">
        <v>0.22931748516386233</v>
      </c>
      <c r="E24" s="183">
        <v>0.20395197737613438</v>
      </c>
      <c r="F24" s="183">
        <v>0.17651836241260768</v>
      </c>
      <c r="G24" s="184">
        <v>1.0923486152033832</v>
      </c>
      <c r="H24" s="184">
        <v>1.1948544445210565</v>
      </c>
      <c r="I24" s="183">
        <v>9.3763304447968598E-2</v>
      </c>
      <c r="J24" s="183">
        <v>0.5225050340018127</v>
      </c>
      <c r="K24" s="183">
        <v>5.3524000000000002E-2</v>
      </c>
      <c r="L24" s="183">
        <v>0.1607420785589129</v>
      </c>
      <c r="M24" s="183">
        <v>8.5144265258040405E-2</v>
      </c>
      <c r="N24" s="184">
        <v>0.93313862274715875</v>
      </c>
      <c r="O24" s="184">
        <v>2.4285333531334716</v>
      </c>
      <c r="P24" s="184">
        <v>8.9346371681963657</v>
      </c>
      <c r="Q24" s="184">
        <v>10.510496860016763</v>
      </c>
      <c r="R24" s="184">
        <v>1.8732585871718974</v>
      </c>
      <c r="S24" s="184">
        <v>13.800008820068092</v>
      </c>
      <c r="T24" s="183">
        <v>5.0020771018464777E-2</v>
      </c>
      <c r="U24" s="183">
        <v>4.4830248929640291E-2</v>
      </c>
      <c r="V24" s="183">
        <v>4.6101030377602686E-2</v>
      </c>
      <c r="W24" s="183">
        <v>0.25080420620828026</v>
      </c>
      <c r="X24" s="183">
        <v>0.15867710900985088</v>
      </c>
      <c r="Y24" s="183">
        <v>8.1605407127575316E-2</v>
      </c>
      <c r="Z24" s="183">
        <v>8.1605407127575358E-2</v>
      </c>
      <c r="AA24" s="185">
        <v>0.23068357288812125</v>
      </c>
    </row>
    <row r="25" spans="1:27" ht="14">
      <c r="A25" s="181" t="s">
        <v>238</v>
      </c>
      <c r="B25" s="182">
        <v>572</v>
      </c>
      <c r="C25" s="183">
        <v>0.18950851190476192</v>
      </c>
      <c r="D25" s="183">
        <v>1.0772125793898567E-2</v>
      </c>
      <c r="E25" s="183">
        <v>1.5551579144381567E-2</v>
      </c>
      <c r="F25" s="183">
        <v>0.16414119075344816</v>
      </c>
      <c r="G25" s="184">
        <v>1.0890964696256169</v>
      </c>
      <c r="H25" s="184">
        <v>1.1233547439492362</v>
      </c>
      <c r="I25" s="183">
        <v>9.0474318221664865E-2</v>
      </c>
      <c r="J25" s="183">
        <v>0.6198094773831897</v>
      </c>
      <c r="K25" s="183">
        <v>5.3524000000000002E-2</v>
      </c>
      <c r="L25" s="183">
        <v>0.14082267604024337</v>
      </c>
      <c r="M25" s="183">
        <v>8.3386527301056959E-2</v>
      </c>
      <c r="N25" s="184">
        <v>0.40681193428310364</v>
      </c>
      <c r="O25" s="184">
        <v>6.8880470352138108</v>
      </c>
      <c r="P25" s="184">
        <v>13.519816800069261</v>
      </c>
      <c r="Q25" s="184" t="s">
        <v>466</v>
      </c>
      <c r="R25" s="184">
        <v>6.135291677851848</v>
      </c>
      <c r="S25" s="184">
        <v>30.391605386786914</v>
      </c>
      <c r="T25" s="183">
        <v>9.9810417479148511E-2</v>
      </c>
      <c r="U25" s="183">
        <v>3.8231005472018041E-2</v>
      </c>
      <c r="V25" s="183">
        <v>3.468871974612317E-2</v>
      </c>
      <c r="W25" s="183" t="s">
        <v>466</v>
      </c>
      <c r="X25" s="183">
        <v>-0.11590040227481527</v>
      </c>
      <c r="Y25" s="183">
        <v>8.849667367975925E-4</v>
      </c>
      <c r="Z25" s="183">
        <v>8.8496673679760995E-4</v>
      </c>
      <c r="AA25" s="185">
        <v>3.8302994165288748E-2</v>
      </c>
    </row>
    <row r="26" spans="1:27" ht="14">
      <c r="A26" s="181" t="s">
        <v>240</v>
      </c>
      <c r="B26" s="182">
        <v>245</v>
      </c>
      <c r="C26" s="183">
        <v>0.41537666666666667</v>
      </c>
      <c r="D26" s="183">
        <v>0.1816047184019137</v>
      </c>
      <c r="E26" s="183">
        <v>0.13375270622156929</v>
      </c>
      <c r="F26" s="183">
        <v>0.14924679402968208</v>
      </c>
      <c r="G26" s="184">
        <v>0.94399768677855111</v>
      </c>
      <c r="H26" s="184">
        <v>1.0269619624933468</v>
      </c>
      <c r="I26" s="183">
        <v>8.6040250274693947E-2</v>
      </c>
      <c r="J26" s="183">
        <v>0.6530341383257241</v>
      </c>
      <c r="K26" s="183">
        <v>6.0879000000000003E-2</v>
      </c>
      <c r="L26" s="183">
        <v>0.13828827500212321</v>
      </c>
      <c r="M26" s="183">
        <v>8.0456031403846245E-2</v>
      </c>
      <c r="N26" s="184">
        <v>0.64296181942943686</v>
      </c>
      <c r="O26" s="184">
        <v>5.0792398099384464</v>
      </c>
      <c r="P26" s="184">
        <v>16.617974116905632</v>
      </c>
      <c r="Q26" s="184">
        <v>27.428480363585575</v>
      </c>
      <c r="R26" s="184">
        <v>5.1951082931130115</v>
      </c>
      <c r="S26" s="184">
        <v>57.625877349549583</v>
      </c>
      <c r="T26" s="183">
        <v>0.22369121415285234</v>
      </c>
      <c r="U26" s="183">
        <v>5.3053463594413347E-2</v>
      </c>
      <c r="V26" s="183">
        <v>0.1297351632612678</v>
      </c>
      <c r="W26" s="183">
        <v>0.85392631754367632</v>
      </c>
      <c r="X26" s="183">
        <v>0.17320808107952249</v>
      </c>
      <c r="Y26" s="183">
        <v>0.69958361802549229</v>
      </c>
      <c r="Z26" s="183">
        <v>0.69958361802549229</v>
      </c>
      <c r="AA26" s="185">
        <v>0.21327300590991013</v>
      </c>
    </row>
    <row r="27" spans="1:27" ht="14">
      <c r="A27" s="181" t="s">
        <v>242</v>
      </c>
      <c r="B27" s="182">
        <v>31</v>
      </c>
      <c r="C27" s="183">
        <v>4.1181874999999993E-2</v>
      </c>
      <c r="D27" s="183">
        <v>5.8152137730714419E-2</v>
      </c>
      <c r="E27" s="183">
        <v>5.9280308281626143E-2</v>
      </c>
      <c r="F27" s="183">
        <v>0.32156187378758871</v>
      </c>
      <c r="G27" s="184">
        <v>1.1467394309363781</v>
      </c>
      <c r="H27" s="184">
        <v>1.2251855531141391</v>
      </c>
      <c r="I27" s="183">
        <v>9.5158535443250397E-2</v>
      </c>
      <c r="J27" s="183">
        <v>0.43781301036597053</v>
      </c>
      <c r="K27" s="183">
        <v>5.0854999999999997E-2</v>
      </c>
      <c r="L27" s="183">
        <v>0.16383109786985448</v>
      </c>
      <c r="M27" s="183">
        <v>8.5817330971523803E-2</v>
      </c>
      <c r="N27" s="184">
        <v>1.2894168928698895</v>
      </c>
      <c r="O27" s="184">
        <v>2.3038717172014334</v>
      </c>
      <c r="P27" s="184">
        <v>10.79885515422891</v>
      </c>
      <c r="Q27" s="184">
        <v>31.741208061314889</v>
      </c>
      <c r="R27" s="184">
        <v>2.7160288491807298</v>
      </c>
      <c r="S27" s="184">
        <v>34.573469860937713</v>
      </c>
      <c r="T27" s="183">
        <v>9.0768336455339341E-2</v>
      </c>
      <c r="U27" s="183">
        <v>2.9240501681576912E-2</v>
      </c>
      <c r="V27" s="183">
        <v>3.3245288819538331E-3</v>
      </c>
      <c r="W27" s="183">
        <v>0.97503980207358554</v>
      </c>
      <c r="X27" s="183">
        <v>1.6746880536467494E-2</v>
      </c>
      <c r="Y27" s="183">
        <v>0.38078808076847676</v>
      </c>
      <c r="Z27" s="183">
        <v>0.3807880807684767</v>
      </c>
      <c r="AA27" s="185">
        <v>5.1629989846851708E-2</v>
      </c>
    </row>
    <row r="28" spans="1:27" ht="14">
      <c r="A28" s="181" t="s">
        <v>245</v>
      </c>
      <c r="B28" s="182">
        <v>103</v>
      </c>
      <c r="C28" s="183">
        <v>0.14907829787234042</v>
      </c>
      <c r="D28" s="183">
        <v>9.0010627576211533E-2</v>
      </c>
      <c r="E28" s="183">
        <v>0.13265964322266596</v>
      </c>
      <c r="F28" s="183">
        <v>0.21670554463683422</v>
      </c>
      <c r="G28" s="184">
        <v>1.145843471951508</v>
      </c>
      <c r="H28" s="184">
        <v>1.2410543592858396</v>
      </c>
      <c r="I28" s="183">
        <v>9.5888500527148618E-2</v>
      </c>
      <c r="J28" s="183">
        <v>0.54423898938240323</v>
      </c>
      <c r="K28" s="183">
        <v>5.3524000000000002E-2</v>
      </c>
      <c r="L28" s="183">
        <v>0.17619594793469248</v>
      </c>
      <c r="M28" s="183">
        <v>8.6066369218673763E-2</v>
      </c>
      <c r="N28" s="184">
        <v>1.4659763013390332</v>
      </c>
      <c r="O28" s="184">
        <v>2.9757179784329062</v>
      </c>
      <c r="P28" s="184">
        <v>14.654554784871266</v>
      </c>
      <c r="Q28" s="184">
        <v>28.89201617695047</v>
      </c>
      <c r="R28" s="184">
        <v>2.9236490003601276</v>
      </c>
      <c r="S28" s="184">
        <v>24.688706144324069</v>
      </c>
      <c r="T28" s="183">
        <v>0.28273149237542999</v>
      </c>
      <c r="U28" s="183">
        <v>6.1632530290405142E-2</v>
      </c>
      <c r="V28" s="183">
        <v>9.8179239343670066E-2</v>
      </c>
      <c r="W28" s="183">
        <v>2.1463997544763114</v>
      </c>
      <c r="X28" s="183">
        <v>0.23703235618633814</v>
      </c>
      <c r="Y28" s="183">
        <v>0.17177866341194353</v>
      </c>
      <c r="Z28" s="183">
        <v>0.17177866341194359</v>
      </c>
      <c r="AA28" s="185">
        <v>9.5714676405284388E-2</v>
      </c>
    </row>
    <row r="29" spans="1:27" ht="14">
      <c r="A29" s="181" t="s">
        <v>247</v>
      </c>
      <c r="B29" s="182">
        <v>13</v>
      </c>
      <c r="C29" s="183">
        <v>-6.3210000000000002E-2</v>
      </c>
      <c r="D29" s="183">
        <v>-7.643401586021315E-4</v>
      </c>
      <c r="E29" s="183">
        <v>9.5426355462240233E-3</v>
      </c>
      <c r="F29" s="183">
        <v>0.6944234404536862</v>
      </c>
      <c r="G29" s="184">
        <v>1.3029636093516688</v>
      </c>
      <c r="H29" s="184">
        <v>1.2951787766557901</v>
      </c>
      <c r="I29" s="183">
        <v>9.8378223726166336E-2</v>
      </c>
      <c r="J29" s="183">
        <v>0.39424154982087117</v>
      </c>
      <c r="K29" s="183">
        <v>5.0854999999999997E-2</v>
      </c>
      <c r="L29" s="183">
        <v>0.15486981955971799</v>
      </c>
      <c r="M29" s="183">
        <v>8.904933447437148E-2</v>
      </c>
      <c r="N29" s="184">
        <v>1.6732153737167332</v>
      </c>
      <c r="O29" s="184">
        <v>0.84607344479761215</v>
      </c>
      <c r="P29" s="184">
        <v>19.143941698748328</v>
      </c>
      <c r="Q29" s="184" t="s">
        <v>466</v>
      </c>
      <c r="R29" s="184">
        <v>1.9031490452094928</v>
      </c>
      <c r="S29" s="184">
        <v>38.632883209912393</v>
      </c>
      <c r="T29" s="183">
        <v>0.15533542696520905</v>
      </c>
      <c r="U29" s="183">
        <v>1.5568092728386464E-2</v>
      </c>
      <c r="V29" s="183">
        <v>-2.2079528200980025E-3</v>
      </c>
      <c r="W29" s="183" t="s">
        <v>466</v>
      </c>
      <c r="X29" s="183">
        <v>-6.6268001387247435E-2</v>
      </c>
      <c r="Y29" s="183">
        <v>0</v>
      </c>
      <c r="Z29" s="183">
        <v>0</v>
      </c>
      <c r="AA29" s="185">
        <v>5.6724354829463522E-3</v>
      </c>
    </row>
    <row r="30" spans="1:27" ht="14">
      <c r="A30" s="181" t="s">
        <v>249</v>
      </c>
      <c r="B30" s="182">
        <v>129</v>
      </c>
      <c r="C30" s="183">
        <v>0.15823965116279071</v>
      </c>
      <c r="D30" s="183">
        <v>9.4816605584407423E-2</v>
      </c>
      <c r="E30" s="183">
        <v>0.15114383953059968</v>
      </c>
      <c r="F30" s="183">
        <v>0.22613287894821063</v>
      </c>
      <c r="G30" s="184">
        <v>0.8772051743933108</v>
      </c>
      <c r="H30" s="184">
        <v>0.93395459906726541</v>
      </c>
      <c r="I30" s="183">
        <v>8.1761911557094211E-2</v>
      </c>
      <c r="J30" s="183">
        <v>0.42942643620556031</v>
      </c>
      <c r="K30" s="183">
        <v>5.0854999999999997E-2</v>
      </c>
      <c r="L30" s="183">
        <v>0.14673840734826454</v>
      </c>
      <c r="M30" s="183">
        <v>7.5361085152728532E-2</v>
      </c>
      <c r="N30" s="184">
        <v>1.6768879249052682</v>
      </c>
      <c r="O30" s="184">
        <v>2.1770119295764263</v>
      </c>
      <c r="P30" s="184">
        <v>13.589599841576854</v>
      </c>
      <c r="Q30" s="184">
        <v>22.109356359942485</v>
      </c>
      <c r="R30" s="184">
        <v>3.2790176756415139</v>
      </c>
      <c r="S30" s="184">
        <v>102.2602762874735</v>
      </c>
      <c r="T30" s="183">
        <v>0.24013986599713918</v>
      </c>
      <c r="U30" s="183">
        <v>4.0634673225505777E-2</v>
      </c>
      <c r="V30" s="183">
        <v>4.116813973531535E-2</v>
      </c>
      <c r="W30" s="183">
        <v>0.70431641073104712</v>
      </c>
      <c r="X30" s="183">
        <v>8.797660106927524E-2</v>
      </c>
      <c r="Y30" s="183">
        <v>0.28526884031561212</v>
      </c>
      <c r="Z30" s="183">
        <v>0.28526884031561206</v>
      </c>
      <c r="AA30" s="185">
        <v>9.7970185070913832E-2</v>
      </c>
    </row>
    <row r="31" spans="1:27" ht="14">
      <c r="A31" s="181" t="s">
        <v>251</v>
      </c>
      <c r="B31" s="182">
        <v>77</v>
      </c>
      <c r="C31" s="183">
        <v>6.5536666666666632E-2</v>
      </c>
      <c r="D31" s="183">
        <v>0.10360185076313747</v>
      </c>
      <c r="E31" s="183">
        <v>0.18528356431084828</v>
      </c>
      <c r="F31" s="183">
        <v>0.2368733194672781</v>
      </c>
      <c r="G31" s="184">
        <v>0.92403959370273336</v>
      </c>
      <c r="H31" s="184">
        <v>1.0580761393416174</v>
      </c>
      <c r="I31" s="183">
        <v>8.7471502409714408E-2</v>
      </c>
      <c r="J31" s="183">
        <v>0.36589093646977811</v>
      </c>
      <c r="K31" s="183">
        <v>5.0854999999999997E-2</v>
      </c>
      <c r="L31" s="183">
        <v>0.21102553579017477</v>
      </c>
      <c r="M31" s="183">
        <v>7.7061559464289858E-2</v>
      </c>
      <c r="N31" s="184">
        <v>2.037850068990315</v>
      </c>
      <c r="O31" s="184">
        <v>1.5719288338742232</v>
      </c>
      <c r="P31" s="184">
        <v>11.036891379802853</v>
      </c>
      <c r="Q31" s="184">
        <v>14.820564347673916</v>
      </c>
      <c r="R31" s="184">
        <v>3.7460429418716128</v>
      </c>
      <c r="S31" s="184">
        <v>36.142452668814599</v>
      </c>
      <c r="T31" s="183">
        <v>0.1894488945698595</v>
      </c>
      <c r="U31" s="183">
        <v>3.7420769095906761E-2</v>
      </c>
      <c r="V31" s="183">
        <v>2.8433401793941292E-2</v>
      </c>
      <c r="W31" s="183">
        <v>0.66623551016856597</v>
      </c>
      <c r="X31" s="183">
        <v>0.21241763392703947</v>
      </c>
      <c r="Y31" s="183">
        <v>0.2474936008483172</v>
      </c>
      <c r="Z31" s="183">
        <v>0.24749360084831717</v>
      </c>
      <c r="AA31" s="185">
        <v>0.10638181139347136</v>
      </c>
    </row>
    <row r="32" spans="1:27" ht="14">
      <c r="A32" s="181" t="s">
        <v>254</v>
      </c>
      <c r="B32" s="182">
        <v>98</v>
      </c>
      <c r="C32" s="183">
        <v>0.15469137931034482</v>
      </c>
      <c r="D32" s="183">
        <v>7.0067935835321643E-2</v>
      </c>
      <c r="E32" s="183">
        <v>7.5578911739182089E-2</v>
      </c>
      <c r="F32" s="183">
        <v>0.19997160037162454</v>
      </c>
      <c r="G32" s="184">
        <v>0.86571919280395593</v>
      </c>
      <c r="H32" s="184">
        <v>0.99455942915170392</v>
      </c>
      <c r="I32" s="183">
        <v>8.4549733740978378E-2</v>
      </c>
      <c r="J32" s="183">
        <v>0.61185830172417144</v>
      </c>
      <c r="K32" s="183">
        <v>5.3524000000000002E-2</v>
      </c>
      <c r="L32" s="183">
        <v>0.22327359258810395</v>
      </c>
      <c r="M32" s="183">
        <v>7.4634882763526755E-2</v>
      </c>
      <c r="N32" s="184">
        <v>1.105934104413193</v>
      </c>
      <c r="O32" s="184">
        <v>3.0674272548861663</v>
      </c>
      <c r="P32" s="184">
        <v>16.372327269203399</v>
      </c>
      <c r="Q32" s="184">
        <v>42.533399418877075</v>
      </c>
      <c r="R32" s="184">
        <v>2.5929691561863222</v>
      </c>
      <c r="S32" s="184">
        <v>31.168325364687774</v>
      </c>
      <c r="T32" s="183">
        <v>3.8054347095575536E-2</v>
      </c>
      <c r="U32" s="183">
        <v>4.3745016460205635E-2</v>
      </c>
      <c r="V32" s="183">
        <v>-2.2575917320574641E-2</v>
      </c>
      <c r="W32" s="183">
        <v>-0.20650613209517016</v>
      </c>
      <c r="X32" s="183">
        <v>-2.7275543810870717E-3</v>
      </c>
      <c r="Y32" s="183">
        <v>3.4346522556140007E-3</v>
      </c>
      <c r="Z32" s="183">
        <v>3.4346522556140124E-3</v>
      </c>
      <c r="AA32" s="185">
        <v>7.0525654364218135E-2</v>
      </c>
    </row>
    <row r="33" spans="1:27" ht="14">
      <c r="A33" s="181" t="s">
        <v>256</v>
      </c>
      <c r="B33" s="182">
        <v>57</v>
      </c>
      <c r="C33" s="183">
        <v>0.13381230769230767</v>
      </c>
      <c r="D33" s="183">
        <v>0.13553472241576553</v>
      </c>
      <c r="E33" s="183">
        <v>0.29942483961191058</v>
      </c>
      <c r="F33" s="183">
        <v>0.24029481031347999</v>
      </c>
      <c r="G33" s="184">
        <v>0.78573019548056033</v>
      </c>
      <c r="H33" s="184">
        <v>0.90699903446977015</v>
      </c>
      <c r="I33" s="183">
        <v>8.0521955585609428E-2</v>
      </c>
      <c r="J33" s="183">
        <v>0.4606641855124769</v>
      </c>
      <c r="K33" s="183">
        <v>5.0854999999999997E-2</v>
      </c>
      <c r="L33" s="183">
        <v>0.17996903176435833</v>
      </c>
      <c r="M33" s="183">
        <v>7.2894741035876967E-2</v>
      </c>
      <c r="N33" s="184">
        <v>2.2902044972728537</v>
      </c>
      <c r="O33" s="184">
        <v>3.3833883540504326</v>
      </c>
      <c r="P33" s="184">
        <v>15.00034560192311</v>
      </c>
      <c r="Q33" s="184">
        <v>24.256339038064446</v>
      </c>
      <c r="R33" s="184">
        <v>6.2476402280431014</v>
      </c>
      <c r="S33" s="184">
        <v>31.275191037772736</v>
      </c>
      <c r="T33" s="183">
        <v>0.10180591590590521</v>
      </c>
      <c r="U33" s="183">
        <v>7.8381742161797524E-2</v>
      </c>
      <c r="V33" s="183">
        <v>6.4845913725881957E-2</v>
      </c>
      <c r="W33" s="183">
        <v>0.70099824399013422</v>
      </c>
      <c r="X33" s="183">
        <v>0.2101163487107984</v>
      </c>
      <c r="Y33" s="183">
        <v>0.3634221878468773</v>
      </c>
      <c r="Z33" s="183">
        <v>0.3634221878468773</v>
      </c>
      <c r="AA33" s="185">
        <v>0.13822317401919318</v>
      </c>
    </row>
    <row r="34" spans="1:27" ht="14">
      <c r="A34" s="181" t="s">
        <v>258</v>
      </c>
      <c r="B34" s="182">
        <v>42</v>
      </c>
      <c r="C34" s="183">
        <v>0.21383809523809522</v>
      </c>
      <c r="D34" s="183">
        <v>0.1017867183533354</v>
      </c>
      <c r="E34" s="183">
        <v>0.17930588293067248</v>
      </c>
      <c r="F34" s="183">
        <v>0.20906218860773967</v>
      </c>
      <c r="G34" s="184">
        <v>0.76921333535098557</v>
      </c>
      <c r="H34" s="184">
        <v>0.99162450807266023</v>
      </c>
      <c r="I34" s="183">
        <v>8.4414727371342368E-2</v>
      </c>
      <c r="J34" s="183">
        <v>0.54139722238781107</v>
      </c>
      <c r="K34" s="183">
        <v>5.3524000000000002E-2</v>
      </c>
      <c r="L34" s="183">
        <v>0.31178335075736729</v>
      </c>
      <c r="M34" s="183">
        <v>7.0611539867688589E-2</v>
      </c>
      <c r="N34" s="184">
        <v>1.8306605351728302</v>
      </c>
      <c r="O34" s="184">
        <v>1.1055363962241</v>
      </c>
      <c r="P34" s="184">
        <v>8.9728445584552468</v>
      </c>
      <c r="Q34" s="184">
        <v>10.564710180101258</v>
      </c>
      <c r="R34" s="184">
        <v>2.7330367548600969</v>
      </c>
      <c r="S34" s="184">
        <v>21.611875005333811</v>
      </c>
      <c r="T34" s="183">
        <v>0.14722500458801463</v>
      </c>
      <c r="U34" s="183">
        <v>3.3959385963758186E-2</v>
      </c>
      <c r="V34" s="183">
        <v>2.6989790167118995E-2</v>
      </c>
      <c r="W34" s="183">
        <v>0.53012035842397032</v>
      </c>
      <c r="X34" s="183">
        <v>0.27512096983755308</v>
      </c>
      <c r="Y34" s="183">
        <v>0.17330466660689933</v>
      </c>
      <c r="Z34" s="183">
        <v>0.17330466660689936</v>
      </c>
      <c r="AA34" s="185">
        <v>0.10487455135329483</v>
      </c>
    </row>
    <row r="35" spans="1:27" ht="14">
      <c r="A35" s="181" t="s">
        <v>260</v>
      </c>
      <c r="B35" s="182">
        <v>192</v>
      </c>
      <c r="C35" s="183">
        <v>0.19123907563025216</v>
      </c>
      <c r="D35" s="183">
        <v>0.15992933926673833</v>
      </c>
      <c r="E35" s="183">
        <v>9.6330086209587031E-3</v>
      </c>
      <c r="F35" s="183">
        <v>0.18997827291193156</v>
      </c>
      <c r="G35" s="184">
        <v>0.32851469580529807</v>
      </c>
      <c r="H35" s="184">
        <v>1.1400490933846248</v>
      </c>
      <c r="I35" s="183">
        <v>9.1242258295692741E-2</v>
      </c>
      <c r="J35" s="183">
        <v>0.3810213497605191</v>
      </c>
      <c r="K35" s="183">
        <v>5.0854999999999997E-2</v>
      </c>
      <c r="L35" s="183">
        <v>0.77415085291115138</v>
      </c>
      <c r="M35" s="183">
        <v>5.0134067433140084E-2</v>
      </c>
      <c r="N35" s="184">
        <v>6.7119149808869766E-2</v>
      </c>
      <c r="O35" s="184">
        <v>18.642987157381903</v>
      </c>
      <c r="P35" s="184">
        <v>57.680538877058737</v>
      </c>
      <c r="Q35" s="184">
        <v>77.49458222836256</v>
      </c>
      <c r="R35" s="184">
        <v>3.380815208699703</v>
      </c>
      <c r="S35" s="184">
        <v>25.806044221433432</v>
      </c>
      <c r="T35" s="183">
        <v>12.604428612688091</v>
      </c>
      <c r="U35" s="183">
        <v>2.8409763229394477E-2</v>
      </c>
      <c r="V35" s="183">
        <v>2.7841238176068952E-2</v>
      </c>
      <c r="W35" s="183">
        <v>0.20105976764142242</v>
      </c>
      <c r="X35" s="183">
        <v>0.21311643829434393</v>
      </c>
      <c r="Y35" s="183">
        <v>0.31700384210797466</v>
      </c>
      <c r="Z35" s="183">
        <v>0.31700384210797461</v>
      </c>
      <c r="AA35" s="185">
        <v>0.16014177442862765</v>
      </c>
    </row>
    <row r="36" spans="1:27" ht="14">
      <c r="A36" s="181" t="s">
        <v>262</v>
      </c>
      <c r="B36" s="182">
        <v>93</v>
      </c>
      <c r="C36" s="183">
        <v>6.4526666666666663E-2</v>
      </c>
      <c r="D36" s="183">
        <v>0.10491049844080848</v>
      </c>
      <c r="E36" s="183">
        <v>0.16632787981640612</v>
      </c>
      <c r="F36" s="183">
        <v>0.22335961513857117</v>
      </c>
      <c r="G36" s="184">
        <v>0.56908998002411471</v>
      </c>
      <c r="H36" s="184">
        <v>0.70750533667560889</v>
      </c>
      <c r="I36" s="183">
        <v>7.1345245487078018E-2</v>
      </c>
      <c r="J36" s="183">
        <v>0.35521016825252899</v>
      </c>
      <c r="K36" s="183">
        <v>5.0854999999999997E-2</v>
      </c>
      <c r="L36" s="183">
        <v>0.2689285723195291</v>
      </c>
      <c r="M36" s="183">
        <v>6.2415742385434035E-2</v>
      </c>
      <c r="N36" s="184">
        <v>1.7135538990520314</v>
      </c>
      <c r="O36" s="184">
        <v>1.7282134371080651</v>
      </c>
      <c r="P36" s="184">
        <v>11.437949138986205</v>
      </c>
      <c r="Q36" s="184">
        <v>16.118698126776067</v>
      </c>
      <c r="R36" s="184">
        <v>2.3044996770005595</v>
      </c>
      <c r="S36" s="184">
        <v>30.03172173237634</v>
      </c>
      <c r="T36" s="183">
        <v>7.7500137053759716E-2</v>
      </c>
      <c r="U36" s="183">
        <v>4.469492651895738E-2</v>
      </c>
      <c r="V36" s="183">
        <v>3.3044851127673275E-2</v>
      </c>
      <c r="W36" s="183">
        <v>0.46455600027816707</v>
      </c>
      <c r="X36" s="183">
        <v>8.9774903428867805E-2</v>
      </c>
      <c r="Y36" s="183">
        <v>0.76422137793570577</v>
      </c>
      <c r="Z36" s="183">
        <v>0.76422137793570577</v>
      </c>
      <c r="AA36" s="185">
        <v>0.10671025642607875</v>
      </c>
    </row>
    <row r="37" spans="1:27" ht="14">
      <c r="A37" s="181" t="s">
        <v>264</v>
      </c>
      <c r="B37" s="182">
        <v>14</v>
      </c>
      <c r="C37" s="183">
        <v>0.18654000000000004</v>
      </c>
      <c r="D37" s="183">
        <v>2.2317777961135557E-2</v>
      </c>
      <c r="E37" s="183">
        <v>0.14961754390226162</v>
      </c>
      <c r="F37" s="183">
        <v>0.2440190000210877</v>
      </c>
      <c r="G37" s="184">
        <v>0.73507044655838505</v>
      </c>
      <c r="H37" s="184">
        <v>0.96571097077283663</v>
      </c>
      <c r="I37" s="183">
        <v>8.3222704655550483E-2</v>
      </c>
      <c r="J37" s="183">
        <v>0.27303412055804871</v>
      </c>
      <c r="K37" s="183">
        <v>5.0854999999999997E-2</v>
      </c>
      <c r="L37" s="183">
        <v>0.30860321409511282</v>
      </c>
      <c r="M37" s="183">
        <v>6.9310422852764508E-2</v>
      </c>
      <c r="N37" s="184">
        <v>8.0191460013825839</v>
      </c>
      <c r="O37" s="184">
        <v>0.40048850227638738</v>
      </c>
      <c r="P37" s="184">
        <v>11.256367425384894</v>
      </c>
      <c r="Q37" s="184">
        <v>18.0515417386402</v>
      </c>
      <c r="R37" s="184">
        <v>4.1027570359655128</v>
      </c>
      <c r="S37" s="184">
        <v>26.104224353465391</v>
      </c>
      <c r="T37" s="183">
        <v>5.7756762830022068E-2</v>
      </c>
      <c r="U37" s="183">
        <v>9.3056479659282213E-3</v>
      </c>
      <c r="V37" s="183">
        <v>8.9900828796691135E-3</v>
      </c>
      <c r="W37" s="183">
        <v>0.47194525861898456</v>
      </c>
      <c r="X37" s="183">
        <v>0.21114375328629606</v>
      </c>
      <c r="Y37" s="183">
        <v>0.38161390503630449</v>
      </c>
      <c r="Z37" s="183">
        <v>0.38161390503630455</v>
      </c>
      <c r="AA37" s="185">
        <v>2.2183644509181345E-2</v>
      </c>
    </row>
    <row r="38" spans="1:27" ht="14">
      <c r="A38" s="181" t="s">
        <v>266</v>
      </c>
      <c r="B38" s="182">
        <v>31</v>
      </c>
      <c r="C38" s="183">
        <v>3.1330476190476186E-2</v>
      </c>
      <c r="D38" s="183">
        <v>5.8633420949189427E-2</v>
      </c>
      <c r="E38" s="183">
        <v>0.1031461588962982</v>
      </c>
      <c r="F38" s="183">
        <v>0.34491477746639632</v>
      </c>
      <c r="G38" s="184">
        <v>0.86118748521761213</v>
      </c>
      <c r="H38" s="184">
        <v>1.1071062452097284</v>
      </c>
      <c r="I38" s="183">
        <v>8.9726887279647505E-2</v>
      </c>
      <c r="J38" s="183">
        <v>0.46652480430214993</v>
      </c>
      <c r="K38" s="183">
        <v>5.0854999999999997E-2</v>
      </c>
      <c r="L38" s="183">
        <v>0.32226061623577029</v>
      </c>
      <c r="M38" s="183">
        <v>7.3102868020993375E-2</v>
      </c>
      <c r="N38" s="184">
        <v>1.9608741359470769</v>
      </c>
      <c r="O38" s="184">
        <v>1.0479459257763848</v>
      </c>
      <c r="P38" s="184">
        <v>9.3651533150560073</v>
      </c>
      <c r="Q38" s="184">
        <v>16.699225224322326</v>
      </c>
      <c r="R38" s="184">
        <v>2.2525462393242712</v>
      </c>
      <c r="S38" s="184">
        <v>19.580017118656851</v>
      </c>
      <c r="T38" s="183">
        <v>0.13973769506770378</v>
      </c>
      <c r="U38" s="183">
        <v>3.2449167583192058E-2</v>
      </c>
      <c r="V38" s="183">
        <v>7.2155187930717318E-2</v>
      </c>
      <c r="W38" s="183">
        <v>0.97314551193468091</v>
      </c>
      <c r="X38" s="183">
        <v>-6.5262790801996332E-2</v>
      </c>
      <c r="Y38" s="183">
        <v>8.5617107786026027E-3</v>
      </c>
      <c r="Z38" s="183">
        <v>8.5617107786025715E-3</v>
      </c>
      <c r="AA38" s="185">
        <v>6.1113859297196843E-2</v>
      </c>
    </row>
    <row r="39" spans="1:27" ht="14">
      <c r="A39" s="181" t="s">
        <v>268</v>
      </c>
      <c r="B39" s="182">
        <v>17</v>
      </c>
      <c r="C39" s="183">
        <v>3.7350000000000001E-2</v>
      </c>
      <c r="D39" s="183">
        <v>0.23439691972396948</v>
      </c>
      <c r="E39" s="183">
        <v>4.1502730750869E-2</v>
      </c>
      <c r="F39" s="183">
        <v>7.0572558077555192E-2</v>
      </c>
      <c r="G39" s="184">
        <v>0.55608601915516875</v>
      </c>
      <c r="H39" s="184">
        <v>1.1067077196296322</v>
      </c>
      <c r="I39" s="183">
        <v>8.9708555102963078E-2</v>
      </c>
      <c r="J39" s="183">
        <v>0.5733620520250774</v>
      </c>
      <c r="K39" s="183">
        <v>5.3524000000000002E-2</v>
      </c>
      <c r="L39" s="183">
        <v>0.58576061978789462</v>
      </c>
      <c r="M39" s="183">
        <v>6.0675004825720386E-2</v>
      </c>
      <c r="N39" s="184">
        <v>0.19933188854202233</v>
      </c>
      <c r="O39" s="184">
        <v>7.4719645715662937</v>
      </c>
      <c r="P39" s="184">
        <v>12.631994561427968</v>
      </c>
      <c r="Q39" s="184">
        <v>33.578774668897871</v>
      </c>
      <c r="R39" s="184">
        <v>0.85442228941416143</v>
      </c>
      <c r="S39" s="184">
        <v>39.872418108542938</v>
      </c>
      <c r="T39" s="183">
        <v>-0.27981625458988918</v>
      </c>
      <c r="U39" s="183">
        <v>0.44316771676285083</v>
      </c>
      <c r="V39" s="183">
        <v>0.20460875674779533</v>
      </c>
      <c r="W39" s="183">
        <v>1.1590198207962661</v>
      </c>
      <c r="X39" s="183">
        <v>0.10675101428653834</v>
      </c>
      <c r="Y39" s="183">
        <v>0.2559530242443892</v>
      </c>
      <c r="Z39" s="183">
        <v>0.25595302424438926</v>
      </c>
      <c r="AA39" s="185">
        <v>0.21775570853782217</v>
      </c>
    </row>
    <row r="40" spans="1:27" ht="14">
      <c r="A40" s="181" t="s">
        <v>270</v>
      </c>
      <c r="B40" s="182">
        <v>230</v>
      </c>
      <c r="C40" s="183">
        <v>0.17948400000000009</v>
      </c>
      <c r="D40" s="183">
        <v>0.13294967540797936</v>
      </c>
      <c r="E40" s="183">
        <v>0.13081181602888342</v>
      </c>
      <c r="F40" s="183">
        <v>0.20580162761975571</v>
      </c>
      <c r="G40" s="184">
        <v>1.0054180718910262</v>
      </c>
      <c r="H40" s="184">
        <v>1.0620798954428441</v>
      </c>
      <c r="I40" s="183">
        <v>8.7655675190370819E-2</v>
      </c>
      <c r="J40" s="183">
        <v>0.52205534504314732</v>
      </c>
      <c r="K40" s="183">
        <v>5.3524000000000002E-2</v>
      </c>
      <c r="L40" s="183">
        <v>0.11239729750559911</v>
      </c>
      <c r="M40" s="183">
        <v>8.2315378901711811E-2</v>
      </c>
      <c r="N40" s="184">
        <v>0.9916960692418304</v>
      </c>
      <c r="O40" s="184">
        <v>5.1610656647278397</v>
      </c>
      <c r="P40" s="184">
        <v>21.511372797591477</v>
      </c>
      <c r="Q40" s="184">
        <v>36.992220884124826</v>
      </c>
      <c r="R40" s="184">
        <v>4.6291469613257821</v>
      </c>
      <c r="S40" s="184">
        <v>61.891562138745677</v>
      </c>
      <c r="T40" s="183">
        <v>0.25574201971953897</v>
      </c>
      <c r="U40" s="183">
        <v>4.9018238448480196E-2</v>
      </c>
      <c r="V40" s="183">
        <v>2.0771729298397056E-2</v>
      </c>
      <c r="W40" s="183">
        <v>0.49512455251752285</v>
      </c>
      <c r="X40" s="183">
        <v>8.305797928561881E-2</v>
      </c>
      <c r="Y40" s="183">
        <v>0.41765478553209229</v>
      </c>
      <c r="Z40" s="183">
        <v>0.41765478553209223</v>
      </c>
      <c r="AA40" s="185">
        <v>0.13835739605834813</v>
      </c>
    </row>
    <row r="41" spans="1:27" ht="14">
      <c r="A41" s="181" t="s">
        <v>272</v>
      </c>
      <c r="B41" s="182">
        <v>119</v>
      </c>
      <c r="C41" s="183">
        <v>0.12421877192982453</v>
      </c>
      <c r="D41" s="183">
        <v>3.9183419890367124E-2</v>
      </c>
      <c r="E41" s="183">
        <v>0.45741028306204884</v>
      </c>
      <c r="F41" s="183">
        <v>0.22529394737980976</v>
      </c>
      <c r="G41" s="184">
        <v>0.94030624894969284</v>
      </c>
      <c r="H41" s="184">
        <v>1.0326229061406076</v>
      </c>
      <c r="I41" s="183">
        <v>8.6300653682467948E-2</v>
      </c>
      <c r="J41" s="183">
        <v>0.49525733448964099</v>
      </c>
      <c r="K41" s="183">
        <v>5.0854999999999997E-2</v>
      </c>
      <c r="L41" s="183">
        <v>0.2117523051840508</v>
      </c>
      <c r="M41" s="183">
        <v>7.6102788936416088E-2</v>
      </c>
      <c r="N41" s="184">
        <v>12.880997802478152</v>
      </c>
      <c r="O41" s="184">
        <v>0.6094709713815003</v>
      </c>
      <c r="P41" s="184">
        <v>11.292454334901061</v>
      </c>
      <c r="Q41" s="184">
        <v>15.455594645482641</v>
      </c>
      <c r="R41" s="184">
        <v>3.3377128034800818</v>
      </c>
      <c r="S41" s="184">
        <v>80.168287304864251</v>
      </c>
      <c r="T41" s="183">
        <v>-6.5254137415651933E-2</v>
      </c>
      <c r="U41" s="183">
        <v>7.0548223798331212E-3</v>
      </c>
      <c r="V41" s="183">
        <v>1.9151402871181444E-2</v>
      </c>
      <c r="W41" s="183">
        <v>0.6275372045055494</v>
      </c>
      <c r="X41" s="183">
        <v>0.15620310034184115</v>
      </c>
      <c r="Y41" s="183">
        <v>0.29625921121923621</v>
      </c>
      <c r="Z41" s="183">
        <v>0.29625921121923615</v>
      </c>
      <c r="AA41" s="185">
        <v>3.8635101743000333E-2</v>
      </c>
    </row>
    <row r="42" spans="1:27" ht="14">
      <c r="A42" s="181" t="s">
        <v>274</v>
      </c>
      <c r="B42" s="182">
        <v>128</v>
      </c>
      <c r="C42" s="183">
        <v>0.19666706896551731</v>
      </c>
      <c r="D42" s="183">
        <v>0.14008066391084326</v>
      </c>
      <c r="E42" s="183">
        <v>0.14281217248637942</v>
      </c>
      <c r="F42" s="183">
        <v>0.11691985958691149</v>
      </c>
      <c r="G42" s="184">
        <v>1.1875339477983193</v>
      </c>
      <c r="H42" s="184">
        <v>1.2747542568245518</v>
      </c>
      <c r="I42" s="183">
        <v>9.7438695813929388E-2</v>
      </c>
      <c r="J42" s="183">
        <v>0.54153165246921775</v>
      </c>
      <c r="K42" s="183">
        <v>5.3524000000000002E-2</v>
      </c>
      <c r="L42" s="183">
        <v>0.13845034763183783</v>
      </c>
      <c r="M42" s="183">
        <v>8.9506086810682825E-2</v>
      </c>
      <c r="N42" s="184">
        <v>1.0414718449585996</v>
      </c>
      <c r="O42" s="184">
        <v>5.2888957340712599</v>
      </c>
      <c r="P42" s="184">
        <v>21.435576546426841</v>
      </c>
      <c r="Q42" s="184">
        <v>36.529531221176818</v>
      </c>
      <c r="R42" s="184">
        <v>4.0887278277055206</v>
      </c>
      <c r="S42" s="184">
        <v>44.436443878627578</v>
      </c>
      <c r="T42" s="183">
        <v>0.22945875273735597</v>
      </c>
      <c r="U42" s="183">
        <v>4.5108188895623375E-2</v>
      </c>
      <c r="V42" s="183">
        <v>2.6677271844225636E-2</v>
      </c>
      <c r="W42" s="183">
        <v>0.31339455513224623</v>
      </c>
      <c r="X42" s="183">
        <v>5.17765805634577E-2</v>
      </c>
      <c r="Y42" s="183">
        <v>0.19727330771004128</v>
      </c>
      <c r="Z42" s="183">
        <v>0.19727330771004126</v>
      </c>
      <c r="AA42" s="185">
        <v>0.14149228552648924</v>
      </c>
    </row>
    <row r="43" spans="1:27" ht="14">
      <c r="A43" s="181" t="s">
        <v>276</v>
      </c>
      <c r="B43" s="182">
        <v>32</v>
      </c>
      <c r="C43" s="183">
        <v>0.11040782608695648</v>
      </c>
      <c r="D43" s="183">
        <v>0.16243511385197026</v>
      </c>
      <c r="E43" s="183">
        <v>0.20906182388989658</v>
      </c>
      <c r="F43" s="183">
        <v>0.23441748751073238</v>
      </c>
      <c r="G43" s="184">
        <v>1.3535915929813263</v>
      </c>
      <c r="H43" s="184">
        <v>1.3695349346617718</v>
      </c>
      <c r="I43" s="183">
        <v>0.1017986069944415</v>
      </c>
      <c r="J43" s="183">
        <v>0.32313883781178943</v>
      </c>
      <c r="K43" s="183">
        <v>5.0854999999999997E-2</v>
      </c>
      <c r="L43" s="183">
        <v>0.14104057563334713</v>
      </c>
      <c r="M43" s="183">
        <v>9.2820336720647989E-2</v>
      </c>
      <c r="N43" s="184">
        <v>1.5490492448976174</v>
      </c>
      <c r="O43" s="184">
        <v>1.3227511565241321</v>
      </c>
      <c r="P43" s="184">
        <v>7.7926513257951306</v>
      </c>
      <c r="Q43" s="184">
        <v>8.1068864527413051</v>
      </c>
      <c r="R43" s="184">
        <v>2.0034988997912557</v>
      </c>
      <c r="S43" s="184">
        <v>10.663226208304753</v>
      </c>
      <c r="T43" s="183">
        <v>0.58510809678996634</v>
      </c>
      <c r="U43" s="183">
        <v>5.1362234787959054E-3</v>
      </c>
      <c r="V43" s="183">
        <v>3.6279568408271621E-3</v>
      </c>
      <c r="W43" s="183">
        <v>-4.9962200704110622E-2</v>
      </c>
      <c r="X43" s="183">
        <v>0.2288315257494398</v>
      </c>
      <c r="Y43" s="183">
        <v>6.4331005164984509E-2</v>
      </c>
      <c r="Z43" s="183">
        <v>6.4331005164984467E-2</v>
      </c>
      <c r="AA43" s="185">
        <v>0.16303748138534604</v>
      </c>
    </row>
    <row r="44" spans="1:27" ht="14">
      <c r="A44" s="181" t="s">
        <v>278</v>
      </c>
      <c r="B44" s="182">
        <v>32</v>
      </c>
      <c r="C44" s="183">
        <v>0.18106894736842105</v>
      </c>
      <c r="D44" s="183">
        <v>0.11569354150132667</v>
      </c>
      <c r="E44" s="183">
        <v>0.20156640226109454</v>
      </c>
      <c r="F44" s="183">
        <v>0.20295530643789431</v>
      </c>
      <c r="G44" s="184">
        <v>0.55999610695192847</v>
      </c>
      <c r="H44" s="184">
        <v>0.87957632490356097</v>
      </c>
      <c r="I44" s="183">
        <v>7.92605109455638E-2</v>
      </c>
      <c r="J44" s="183">
        <v>0.46328064944317854</v>
      </c>
      <c r="K44" s="183">
        <v>5.0854999999999997E-2</v>
      </c>
      <c r="L44" s="183">
        <v>0.44365037194401546</v>
      </c>
      <c r="M44" s="183">
        <v>6.1017935533001388E-2</v>
      </c>
      <c r="N44" s="184">
        <v>1.8739472690562888</v>
      </c>
      <c r="O44" s="184">
        <v>1.5597693131250068</v>
      </c>
      <c r="P44" s="184">
        <v>8.7526157560373488</v>
      </c>
      <c r="Q44" s="184">
        <v>13.412731417361721</v>
      </c>
      <c r="R44" s="184">
        <v>5.1168203803504957</v>
      </c>
      <c r="S44" s="184">
        <v>22.866077429053238</v>
      </c>
      <c r="T44" s="183">
        <v>0.11173413334158254</v>
      </c>
      <c r="U44" s="183">
        <v>6.2482428184781058E-2</v>
      </c>
      <c r="V44" s="183">
        <v>2.2041129079390705E-2</v>
      </c>
      <c r="W44" s="183">
        <v>0.34919798188250589</v>
      </c>
      <c r="X44" s="183">
        <v>0.61965679511239247</v>
      </c>
      <c r="Y44" s="183">
        <v>0.12781126030710444</v>
      </c>
      <c r="Z44" s="183">
        <v>0.12781126030710444</v>
      </c>
      <c r="AA44" s="185">
        <v>0.11548052103864387</v>
      </c>
    </row>
    <row r="45" spans="1:27" ht="14">
      <c r="A45" s="181" t="s">
        <v>280</v>
      </c>
      <c r="B45" s="182">
        <v>68</v>
      </c>
      <c r="C45" s="183">
        <v>0.10244649999999998</v>
      </c>
      <c r="D45" s="183">
        <v>0.17139569325713905</v>
      </c>
      <c r="E45" s="183">
        <v>9.9886217562338883E-2</v>
      </c>
      <c r="F45" s="183">
        <v>0.19265003883365289</v>
      </c>
      <c r="G45" s="184">
        <v>1.0481897733536769</v>
      </c>
      <c r="H45" s="184">
        <v>1.3434280675321946</v>
      </c>
      <c r="I45" s="183">
        <v>0.10059769110648095</v>
      </c>
      <c r="J45" s="183">
        <v>0.40799721064073169</v>
      </c>
      <c r="K45" s="183">
        <v>5.0854999999999997E-2</v>
      </c>
      <c r="L45" s="183">
        <v>0.32736720549245807</v>
      </c>
      <c r="M45" s="183">
        <v>8.0151500516447996E-2</v>
      </c>
      <c r="N45" s="184">
        <v>0.80682265774953521</v>
      </c>
      <c r="O45" s="184">
        <v>4.2252788004104538</v>
      </c>
      <c r="P45" s="184">
        <v>14.975440441167427</v>
      </c>
      <c r="Q45" s="184">
        <v>30.72977186409063</v>
      </c>
      <c r="R45" s="184">
        <v>11.056315096413167</v>
      </c>
      <c r="S45" s="184">
        <v>32.221437920653571</v>
      </c>
      <c r="T45" s="183">
        <v>2.9915132671853681E-2</v>
      </c>
      <c r="U45" s="183">
        <v>6.7121787001380398E-2</v>
      </c>
      <c r="V45" s="183">
        <v>1.1171667233667715E-2</v>
      </c>
      <c r="W45" s="183">
        <v>0.21810072641597461</v>
      </c>
      <c r="X45" s="183">
        <v>0.35869098916068981</v>
      </c>
      <c r="Y45" s="183">
        <v>8.4312715869453519E-2</v>
      </c>
      <c r="Z45" s="183">
        <v>8.4312715869453547E-2</v>
      </c>
      <c r="AA45" s="185">
        <v>0.13535100750457585</v>
      </c>
    </row>
    <row r="46" spans="1:27" ht="14">
      <c r="A46" s="181" t="s">
        <v>282</v>
      </c>
      <c r="B46" s="182">
        <v>19</v>
      </c>
      <c r="C46" s="183">
        <v>1.2966000000000004E-2</v>
      </c>
      <c r="D46" s="183">
        <v>0.18741354888420905</v>
      </c>
      <c r="E46" s="183">
        <v>0.34643044644482202</v>
      </c>
      <c r="F46" s="183">
        <v>0.21275453790671961</v>
      </c>
      <c r="G46" s="184">
        <v>0.72017362703721888</v>
      </c>
      <c r="H46" s="184">
        <v>0.78003056940732951</v>
      </c>
      <c r="I46" s="183">
        <v>7.4681406192737165E-2</v>
      </c>
      <c r="J46" s="183">
        <v>0.30174609465978208</v>
      </c>
      <c r="K46" s="183">
        <v>5.0854999999999997E-2</v>
      </c>
      <c r="L46" s="183">
        <v>0.12885250541972054</v>
      </c>
      <c r="M46" s="183">
        <v>6.9973115518875056E-2</v>
      </c>
      <c r="N46" s="184">
        <v>2.0853364698894605</v>
      </c>
      <c r="O46" s="184">
        <v>3.5947530981601123</v>
      </c>
      <c r="P46" s="184">
        <v>15.882966794732814</v>
      </c>
      <c r="Q46" s="184">
        <v>19.029316891424514</v>
      </c>
      <c r="R46" s="184">
        <v>8.1778697175979076</v>
      </c>
      <c r="S46" s="184">
        <v>42.516743245220731</v>
      </c>
      <c r="T46" s="183">
        <v>5.1144494166001073E-2</v>
      </c>
      <c r="U46" s="183">
        <v>3.5230919372632036E-2</v>
      </c>
      <c r="V46" s="183">
        <v>1.1090429343845635E-2</v>
      </c>
      <c r="W46" s="183">
        <v>2.0432115095575496E-2</v>
      </c>
      <c r="X46" s="183">
        <v>0.3641117785082732</v>
      </c>
      <c r="Y46" s="183">
        <v>0.66555865382705948</v>
      </c>
      <c r="Z46" s="183">
        <v>0.66555865382705948</v>
      </c>
      <c r="AA46" s="185">
        <v>0.18897485799818362</v>
      </c>
    </row>
    <row r="47" spans="1:27" ht="14">
      <c r="A47" s="181" t="s">
        <v>284</v>
      </c>
      <c r="B47" s="182">
        <v>18</v>
      </c>
      <c r="C47" s="183">
        <v>4.7169999999999997E-2</v>
      </c>
      <c r="D47" s="183">
        <v>0.11632760029506121</v>
      </c>
      <c r="E47" s="183">
        <v>0.22740740434639165</v>
      </c>
      <c r="F47" s="183">
        <v>0.25775980471928395</v>
      </c>
      <c r="G47" s="184">
        <v>0.77238249143783833</v>
      </c>
      <c r="H47" s="184">
        <v>0.93074336988492989</v>
      </c>
      <c r="I47" s="183">
        <v>8.1614195014706778E-2</v>
      </c>
      <c r="J47" s="183">
        <v>0.33828737962659511</v>
      </c>
      <c r="K47" s="183">
        <v>5.0854999999999997E-2</v>
      </c>
      <c r="L47" s="183">
        <v>0.26289829475513876</v>
      </c>
      <c r="M47" s="183">
        <v>7.0185231902356454E-2</v>
      </c>
      <c r="N47" s="184">
        <v>2.1851130805639345</v>
      </c>
      <c r="O47" s="184">
        <v>2.3329330913412769</v>
      </c>
      <c r="P47" s="184">
        <v>12.153718575448424</v>
      </c>
      <c r="Q47" s="184">
        <v>19.061250080564882</v>
      </c>
      <c r="R47" s="184">
        <v>4.0576322144266381</v>
      </c>
      <c r="S47" s="184">
        <v>24.757228147387533</v>
      </c>
      <c r="T47" s="183">
        <v>0.15732336315134232</v>
      </c>
      <c r="U47" s="183">
        <v>1.9033801691390826E-2</v>
      </c>
      <c r="V47" s="183">
        <v>-3.6251195768292693E-2</v>
      </c>
      <c r="W47" s="183">
        <v>-0.26314035240567679</v>
      </c>
      <c r="X47" s="183">
        <v>8.4289167807033175E-2</v>
      </c>
      <c r="Y47" s="183">
        <v>0.60703971407145041</v>
      </c>
      <c r="Z47" s="183">
        <v>0.60703971407145041</v>
      </c>
      <c r="AA47" s="185">
        <v>0.1233982054939375</v>
      </c>
    </row>
    <row r="48" spans="1:27" ht="14">
      <c r="A48" s="181" t="s">
        <v>286</v>
      </c>
      <c r="B48" s="182">
        <v>21</v>
      </c>
      <c r="C48" s="183">
        <v>7.7637272727272721E-2</v>
      </c>
      <c r="D48" s="183">
        <v>0.15227330392370475</v>
      </c>
      <c r="E48" s="183">
        <v>0.15653546538570912</v>
      </c>
      <c r="F48" s="183">
        <v>0.20671990280364713</v>
      </c>
      <c r="G48" s="184">
        <v>0.8946178159376359</v>
      </c>
      <c r="H48" s="184">
        <v>1.0331486323510635</v>
      </c>
      <c r="I48" s="183">
        <v>8.632483708814892E-2</v>
      </c>
      <c r="J48" s="183">
        <v>0.40381703602170393</v>
      </c>
      <c r="K48" s="183">
        <v>5.0854999999999997E-2</v>
      </c>
      <c r="L48" s="183">
        <v>0.20592429100406523</v>
      </c>
      <c r="M48" s="183">
        <v>7.6402666078989212E-2</v>
      </c>
      <c r="N48" s="184">
        <v>1.187979918303592</v>
      </c>
      <c r="O48" s="184">
        <v>2.6563933238175803</v>
      </c>
      <c r="P48" s="184">
        <v>11.479314259662191</v>
      </c>
      <c r="Q48" s="184">
        <v>17.340883842855348</v>
      </c>
      <c r="R48" s="184">
        <v>2.855054505130747</v>
      </c>
      <c r="S48" s="184">
        <v>92.17728773965159</v>
      </c>
      <c r="T48" s="183">
        <v>-9.3256253318981707E-5</v>
      </c>
      <c r="U48" s="183">
        <v>9.2788698704108791E-3</v>
      </c>
      <c r="V48" s="183">
        <v>-2.5998498392279908E-2</v>
      </c>
      <c r="W48" s="183">
        <v>0.3789687523388437</v>
      </c>
      <c r="X48" s="183">
        <v>0.13524697097521135</v>
      </c>
      <c r="Y48" s="183">
        <v>0.32753059692538994</v>
      </c>
      <c r="Z48" s="183">
        <v>0.32753059692538988</v>
      </c>
      <c r="AA48" s="185">
        <v>0.15267058429114069</v>
      </c>
    </row>
    <row r="49" spans="1:27" ht="14">
      <c r="A49" s="181" t="s">
        <v>288</v>
      </c>
      <c r="B49" s="182">
        <v>23</v>
      </c>
      <c r="C49" s="183">
        <v>-6.2500000000000121E-4</v>
      </c>
      <c r="D49" s="183">
        <v>6.5616738438321659E-4</v>
      </c>
      <c r="E49" s="183">
        <v>1.0816809572142688E-3</v>
      </c>
      <c r="F49" s="183">
        <v>0.17734932983816021</v>
      </c>
      <c r="G49" s="184">
        <v>0.53983111888386293</v>
      </c>
      <c r="H49" s="184">
        <v>0.76576086532748944</v>
      </c>
      <c r="I49" s="183">
        <v>7.4024999805064523E-2</v>
      </c>
      <c r="J49" s="183">
        <v>0.30849684925039994</v>
      </c>
      <c r="K49" s="183">
        <v>5.0854999999999997E-2</v>
      </c>
      <c r="L49" s="183">
        <v>0.47983380623416055</v>
      </c>
      <c r="M49" s="183">
        <v>5.68067635541461E-2</v>
      </c>
      <c r="N49" s="184">
        <v>0.93697128407023411</v>
      </c>
      <c r="O49" s="184">
        <v>1.5653336469693586</v>
      </c>
      <c r="P49" s="184">
        <v>17.24492070332478</v>
      </c>
      <c r="Q49" s="184" t="s">
        <v>466</v>
      </c>
      <c r="R49" s="184">
        <v>1.6173451473258358</v>
      </c>
      <c r="S49" s="184">
        <v>176.37863200216751</v>
      </c>
      <c r="T49" s="183">
        <v>0.28615881247116098</v>
      </c>
      <c r="U49" s="183">
        <v>1.8122427617276609E-3</v>
      </c>
      <c r="V49" s="183">
        <v>-2.5614435950617652E-2</v>
      </c>
      <c r="W49" s="183" t="s">
        <v>466</v>
      </c>
      <c r="X49" s="183">
        <v>1.3240127450855269E-2</v>
      </c>
      <c r="Y49" s="183">
        <v>3.812072472103254</v>
      </c>
      <c r="Z49" s="183">
        <v>3.812072472103254</v>
      </c>
      <c r="AA49" s="185">
        <v>1.2852923105425914E-3</v>
      </c>
    </row>
    <row r="50" spans="1:27" ht="14">
      <c r="A50" s="181" t="s">
        <v>290</v>
      </c>
      <c r="B50" s="182">
        <v>50</v>
      </c>
      <c r="C50" s="183">
        <v>6.1676590909090896E-2</v>
      </c>
      <c r="D50" s="183">
        <v>7.4121043407829504E-2</v>
      </c>
      <c r="E50" s="183">
        <v>0.11118635097908262</v>
      </c>
      <c r="F50" s="183">
        <v>0.18944213157737264</v>
      </c>
      <c r="G50" s="184">
        <v>0.67520761727476519</v>
      </c>
      <c r="H50" s="184">
        <v>0.73875776033737084</v>
      </c>
      <c r="I50" s="183">
        <v>7.2782856975519061E-2</v>
      </c>
      <c r="J50" s="183">
        <v>0.27404177841998512</v>
      </c>
      <c r="K50" s="183">
        <v>5.0854999999999997E-2</v>
      </c>
      <c r="L50" s="183">
        <v>0.16235416986823059</v>
      </c>
      <c r="M50" s="183">
        <v>6.715864763210716E-2</v>
      </c>
      <c r="N50" s="184">
        <v>1.6945936593477595</v>
      </c>
      <c r="O50" s="184">
        <v>1.3577625752259637</v>
      </c>
      <c r="P50" s="184">
        <v>11.773604889791214</v>
      </c>
      <c r="Q50" s="184">
        <v>15.658885816047809</v>
      </c>
      <c r="R50" s="184">
        <v>2.2989008715036703</v>
      </c>
      <c r="S50" s="184">
        <v>20.722521356503638</v>
      </c>
      <c r="T50" s="183">
        <v>-0.40937489754024503</v>
      </c>
      <c r="U50" s="183">
        <v>7.7982820927461833E-3</v>
      </c>
      <c r="V50" s="183">
        <v>-1.3016926116446899E-3</v>
      </c>
      <c r="W50" s="183">
        <v>0.28662293809310668</v>
      </c>
      <c r="X50" s="183">
        <v>0.10356883343367865</v>
      </c>
      <c r="Y50" s="183">
        <v>0.35133432350759741</v>
      </c>
      <c r="Z50" s="183">
        <v>0.35133432350759741</v>
      </c>
      <c r="AA50" s="185">
        <v>7.4917280524282939E-2</v>
      </c>
    </row>
    <row r="51" spans="1:27" ht="14">
      <c r="A51" s="181" t="s">
        <v>292</v>
      </c>
      <c r="B51" s="182">
        <v>334</v>
      </c>
      <c r="C51" s="183">
        <v>4.6036862745098023E-2</v>
      </c>
      <c r="D51" s="183">
        <v>0.14999164034895529</v>
      </c>
      <c r="E51" s="183">
        <v>6.1639717527291187E-2</v>
      </c>
      <c r="F51" s="183">
        <v>0.18978292304498715</v>
      </c>
      <c r="G51" s="184">
        <v>0.39129392968006665</v>
      </c>
      <c r="H51" s="184">
        <v>0.45700546948270204</v>
      </c>
      <c r="I51" s="183">
        <v>5.9822251596204294E-2</v>
      </c>
      <c r="J51" s="183">
        <v>0.15150889761067693</v>
      </c>
      <c r="K51" s="183">
        <v>4.5043E-2</v>
      </c>
      <c r="L51" s="183">
        <v>0.28742573556682555</v>
      </c>
      <c r="M51" s="183">
        <v>5.2337684983253967E-2</v>
      </c>
      <c r="N51" s="184">
        <v>0.47398717524974837</v>
      </c>
      <c r="O51" s="184">
        <v>5.415454683531844</v>
      </c>
      <c r="P51" s="184">
        <v>34.845251313805413</v>
      </c>
      <c r="Q51" s="184">
        <v>34.896040662166058</v>
      </c>
      <c r="R51" s="184">
        <v>2.0039088032674184</v>
      </c>
      <c r="S51" s="184">
        <v>69.378833078564355</v>
      </c>
      <c r="T51" s="183" t="s">
        <v>466</v>
      </c>
      <c r="U51" s="183">
        <v>2.9725746882996038E-2</v>
      </c>
      <c r="V51" s="183">
        <v>6.1361471889236401E-2</v>
      </c>
      <c r="W51" s="183">
        <v>0.54669683230965871</v>
      </c>
      <c r="X51" s="183">
        <v>0.13783634813168708</v>
      </c>
      <c r="Y51" s="183">
        <v>0.42105650684678592</v>
      </c>
      <c r="Z51" s="183">
        <v>0.42105650684678597</v>
      </c>
      <c r="AA51" s="185">
        <v>0.14670723243602463</v>
      </c>
    </row>
    <row r="52" spans="1:27" ht="14">
      <c r="A52" s="181" t="s">
        <v>294</v>
      </c>
      <c r="B52" s="182">
        <v>103</v>
      </c>
      <c r="C52" s="183">
        <v>4.712599999999998E-2</v>
      </c>
      <c r="D52" s="183">
        <v>0.14779213072591901</v>
      </c>
      <c r="E52" s="183">
        <v>0.24909385325604075</v>
      </c>
      <c r="F52" s="183">
        <v>0.21716795174857764</v>
      </c>
      <c r="G52" s="184">
        <v>0.9376095544061418</v>
      </c>
      <c r="H52" s="184">
        <v>1.0260564286029479</v>
      </c>
      <c r="I52" s="183">
        <v>8.5998595715735593E-2</v>
      </c>
      <c r="J52" s="183">
        <v>0.33444214078623241</v>
      </c>
      <c r="K52" s="183">
        <v>5.0854999999999997E-2</v>
      </c>
      <c r="L52" s="183">
        <v>0.14430985657050793</v>
      </c>
      <c r="M52" s="183">
        <v>7.9092309019652585E-2</v>
      </c>
      <c r="N52" s="184">
        <v>1.8716132403381998</v>
      </c>
      <c r="O52" s="184">
        <v>3.0699195050801884</v>
      </c>
      <c r="P52" s="184">
        <v>15.461408447841649</v>
      </c>
      <c r="Q52" s="184">
        <v>20.31238382156512</v>
      </c>
      <c r="R52" s="184">
        <v>4.3438247500417724</v>
      </c>
      <c r="S52" s="184">
        <v>26.951754964203868</v>
      </c>
      <c r="T52" s="183">
        <v>0.25173396431408457</v>
      </c>
      <c r="U52" s="183">
        <v>2.4425884717957834E-2</v>
      </c>
      <c r="V52" s="183">
        <v>6.4279580722076277E-2</v>
      </c>
      <c r="W52" s="183">
        <v>0.66768064881451694</v>
      </c>
      <c r="X52" s="183">
        <v>0.19022656097823037</v>
      </c>
      <c r="Y52" s="183">
        <v>0.3626998107382271</v>
      </c>
      <c r="Z52" s="183">
        <v>0.3626998107382271</v>
      </c>
      <c r="AA52" s="185">
        <v>0.15061465678939701</v>
      </c>
    </row>
    <row r="53" spans="1:27" ht="14">
      <c r="A53" s="181" t="s">
        <v>296</v>
      </c>
      <c r="B53" s="182">
        <v>68</v>
      </c>
      <c r="C53" s="183">
        <v>-1.3133333333333325E-2</v>
      </c>
      <c r="D53" s="183">
        <v>0.19621084093017843</v>
      </c>
      <c r="E53" s="183">
        <v>0.2402669710602103</v>
      </c>
      <c r="F53" s="183">
        <v>0.35286412829106101</v>
      </c>
      <c r="G53" s="184">
        <v>0.91212435483261867</v>
      </c>
      <c r="H53" s="184">
        <v>0.96247840953991504</v>
      </c>
      <c r="I53" s="183">
        <v>8.307400683883609E-2</v>
      </c>
      <c r="J53" s="183">
        <v>0.605593652790272</v>
      </c>
      <c r="K53" s="183">
        <v>5.3524000000000002E-2</v>
      </c>
      <c r="L53" s="183">
        <v>0.13659352614226641</v>
      </c>
      <c r="M53" s="183">
        <v>7.7209909233881727E-2</v>
      </c>
      <c r="N53" s="184">
        <v>1.2535014116480827</v>
      </c>
      <c r="O53" s="184">
        <v>2.937914549631262</v>
      </c>
      <c r="P53" s="184">
        <v>10.355846578641355</v>
      </c>
      <c r="Q53" s="184">
        <v>14.873774197012049</v>
      </c>
      <c r="R53" s="184">
        <v>3.2224919928098128</v>
      </c>
      <c r="S53" s="184">
        <v>33.132597557421676</v>
      </c>
      <c r="T53" s="183">
        <v>0.1532155838029568</v>
      </c>
      <c r="U53" s="183">
        <v>0.13030144622632117</v>
      </c>
      <c r="V53" s="183">
        <v>5.9114049217197283E-2</v>
      </c>
      <c r="W53" s="183">
        <v>0.63149629307441901</v>
      </c>
      <c r="X53" s="183">
        <v>0.12165895420384185</v>
      </c>
      <c r="Y53" s="183">
        <v>0.95470595148672233</v>
      </c>
      <c r="Z53" s="183">
        <v>0.95470595148672233</v>
      </c>
      <c r="AA53" s="185">
        <v>0.19557867619586258</v>
      </c>
    </row>
    <row r="54" spans="1:27" ht="14">
      <c r="A54" s="181" t="s">
        <v>298</v>
      </c>
      <c r="B54" s="182">
        <v>17</v>
      </c>
      <c r="C54" s="183">
        <v>0.15850384615384616</v>
      </c>
      <c r="D54" s="183">
        <v>7.2923117575051641E-2</v>
      </c>
      <c r="E54" s="183">
        <v>0.12926389341779917</v>
      </c>
      <c r="F54" s="183">
        <v>0.44322557458970102</v>
      </c>
      <c r="G54" s="184">
        <v>0.87643280799530487</v>
      </c>
      <c r="H54" s="184">
        <v>1.1394185236914496</v>
      </c>
      <c r="I54" s="183">
        <v>9.1213252089806685E-2</v>
      </c>
      <c r="J54" s="183">
        <v>0.30280062793938978</v>
      </c>
      <c r="K54" s="183">
        <v>5.0854999999999997E-2</v>
      </c>
      <c r="L54" s="183">
        <v>0.34456840647253745</v>
      </c>
      <c r="M54" s="183">
        <v>7.2926316901414823E-2</v>
      </c>
      <c r="N54" s="184">
        <v>2.0704085648273138</v>
      </c>
      <c r="O54" s="184">
        <v>1.1711022809028628</v>
      </c>
      <c r="P54" s="184">
        <v>9.3426486012209295</v>
      </c>
      <c r="Q54" s="184">
        <v>15.610563143808655</v>
      </c>
      <c r="R54" s="184">
        <v>2.5364199127790323</v>
      </c>
      <c r="S54" s="184">
        <v>249.15655023807091</v>
      </c>
      <c r="T54" s="183">
        <v>9.126079195854167E-2</v>
      </c>
      <c r="U54" s="183">
        <v>2.2936760875543978E-2</v>
      </c>
      <c r="V54" s="183">
        <v>1.9833530163557829E-2</v>
      </c>
      <c r="W54" s="183">
        <v>0.16580160140452149</v>
      </c>
      <c r="X54" s="183">
        <v>2.6638000470444002E-2</v>
      </c>
      <c r="Y54" s="183">
        <v>2.2516908050975011</v>
      </c>
      <c r="Z54" s="183">
        <v>2.2516908050975011</v>
      </c>
      <c r="AA54" s="185">
        <v>7.5269931494080691E-2</v>
      </c>
    </row>
    <row r="55" spans="1:27" ht="14">
      <c r="A55" s="181" t="s">
        <v>300</v>
      </c>
      <c r="B55" s="182">
        <v>4</v>
      </c>
      <c r="C55" s="183">
        <v>1.7600000000000001E-2</v>
      </c>
      <c r="D55" s="183">
        <v>0.15595793751029599</v>
      </c>
      <c r="E55" s="183">
        <v>0.17039770081786265</v>
      </c>
      <c r="F55" s="183">
        <v>0.29512418516063021</v>
      </c>
      <c r="G55" s="184">
        <v>0.64404501383935209</v>
      </c>
      <c r="H55" s="184">
        <v>0.67065158444684592</v>
      </c>
      <c r="I55" s="183">
        <v>6.9649972884554906E-2</v>
      </c>
      <c r="J55" s="183">
        <v>0.26444809223182186</v>
      </c>
      <c r="K55" s="183">
        <v>5.0854999999999997E-2</v>
      </c>
      <c r="L55" s="183">
        <v>0.11113222576377609</v>
      </c>
      <c r="M55" s="183">
        <v>6.6148338379420288E-2</v>
      </c>
      <c r="N55" s="184">
        <v>1.3700896826288935</v>
      </c>
      <c r="O55" s="184">
        <v>1.3474820849008362</v>
      </c>
      <c r="P55" s="184">
        <v>6.2381265148709089</v>
      </c>
      <c r="Q55" s="184">
        <v>8.5388407205521357</v>
      </c>
      <c r="R55" s="184">
        <v>1.816944677335053</v>
      </c>
      <c r="S55" s="184">
        <v>8.0182128970163014</v>
      </c>
      <c r="T55" s="183">
        <v>3.3696495250123547E-2</v>
      </c>
      <c r="U55" s="183">
        <v>7.3867785953544554E-2</v>
      </c>
      <c r="V55" s="183">
        <v>-2.148426775026158E-4</v>
      </c>
      <c r="W55" s="183">
        <v>-1.671215236463339E-2</v>
      </c>
      <c r="X55" s="183">
        <v>0.19851813516763073</v>
      </c>
      <c r="Y55" s="183">
        <v>0.37142296537371583</v>
      </c>
      <c r="Z55" s="183">
        <v>0.37142296537371577</v>
      </c>
      <c r="AA55" s="185">
        <v>0.15779316761156298</v>
      </c>
    </row>
    <row r="56" spans="1:27" ht="14">
      <c r="A56" s="181" t="s">
        <v>302</v>
      </c>
      <c r="B56" s="182">
        <v>166</v>
      </c>
      <c r="C56" s="183">
        <v>0.2328005882352942</v>
      </c>
      <c r="D56" s="183">
        <v>0.37265839691067637</v>
      </c>
      <c r="E56" s="183">
        <v>0.28405709355869363</v>
      </c>
      <c r="F56" s="183">
        <v>0.20342463510697406</v>
      </c>
      <c r="G56" s="184">
        <v>0.82142049675943762</v>
      </c>
      <c r="H56" s="184">
        <v>0.92989873869595874</v>
      </c>
      <c r="I56" s="183">
        <v>8.1575341980014093E-2</v>
      </c>
      <c r="J56" s="183">
        <v>0.46310335310672146</v>
      </c>
      <c r="K56" s="183">
        <v>5.0854999999999997E-2</v>
      </c>
      <c r="L56" s="183">
        <v>0.18884246603997282</v>
      </c>
      <c r="M56" s="183">
        <v>7.3373140940301229E-2</v>
      </c>
      <c r="N56" s="184">
        <v>0.79856329783464552</v>
      </c>
      <c r="O56" s="184">
        <v>2.6500043086455731</v>
      </c>
      <c r="P56" s="184">
        <v>4.6683778175149708</v>
      </c>
      <c r="Q56" s="184">
        <v>6.9825673409011877</v>
      </c>
      <c r="R56" s="184">
        <v>1.9431230096211636</v>
      </c>
      <c r="S56" s="184">
        <v>16.325943214833998</v>
      </c>
      <c r="T56" s="183">
        <v>9.9951288617362785E-3</v>
      </c>
      <c r="U56" s="183">
        <v>0.30047596852821296</v>
      </c>
      <c r="V56" s="183">
        <v>0.16046402665504775</v>
      </c>
      <c r="W56" s="183">
        <v>0.50395048936072928</v>
      </c>
      <c r="X56" s="183">
        <v>0.31094799857184063</v>
      </c>
      <c r="Y56" s="183">
        <v>0.31272316107697362</v>
      </c>
      <c r="Z56" s="183">
        <v>0.31272316107697362</v>
      </c>
      <c r="AA56" s="185">
        <v>0.37686234244190675</v>
      </c>
    </row>
    <row r="57" spans="1:27" ht="14">
      <c r="A57" s="181" t="s">
        <v>304</v>
      </c>
      <c r="B57" s="182">
        <v>24</v>
      </c>
      <c r="C57" s="183">
        <v>0.27451533333333339</v>
      </c>
      <c r="D57" s="183">
        <v>0.37953024273539593</v>
      </c>
      <c r="E57" s="183">
        <v>0.20602082553480802</v>
      </c>
      <c r="F57" s="183">
        <v>0.18244447623517368</v>
      </c>
      <c r="G57" s="184">
        <v>0.52912157126984105</v>
      </c>
      <c r="H57" s="184">
        <v>0.79075215100878704</v>
      </c>
      <c r="I57" s="183">
        <v>7.5174598946404214E-2</v>
      </c>
      <c r="J57" s="183">
        <v>0.32547547332498222</v>
      </c>
      <c r="K57" s="183">
        <v>5.0854999999999997E-2</v>
      </c>
      <c r="L57" s="183">
        <v>0.4125209705549901</v>
      </c>
      <c r="M57" s="183">
        <v>5.9897565896131919E-2</v>
      </c>
      <c r="N57" s="184">
        <v>0.59413677185269997</v>
      </c>
      <c r="O57" s="184">
        <v>3.5771916018946355</v>
      </c>
      <c r="P57" s="184">
        <v>7.3117668440851462</v>
      </c>
      <c r="Q57" s="184">
        <v>9.2923197649384655</v>
      </c>
      <c r="R57" s="184">
        <v>2.3169738478309978</v>
      </c>
      <c r="S57" s="184">
        <v>18.412840120237689</v>
      </c>
      <c r="T57" s="183">
        <v>2.5338522415672818E-2</v>
      </c>
      <c r="U57" s="183">
        <v>0.16531343804567911</v>
      </c>
      <c r="V57" s="183">
        <v>0.13121071073961837</v>
      </c>
      <c r="W57" s="183">
        <v>0.40284567963839019</v>
      </c>
      <c r="X57" s="183">
        <v>0.42406084058617804</v>
      </c>
      <c r="Y57" s="183">
        <v>0.39844096378722926</v>
      </c>
      <c r="Z57" s="183">
        <v>0.39844096378722926</v>
      </c>
      <c r="AA57" s="185">
        <v>0.38210569457340066</v>
      </c>
    </row>
    <row r="58" spans="1:27" ht="14">
      <c r="A58" s="181" t="s">
        <v>306</v>
      </c>
      <c r="B58" s="182">
        <v>100</v>
      </c>
      <c r="C58" s="183">
        <v>7.7372121212121239E-2</v>
      </c>
      <c r="D58" s="183">
        <v>8.7209149027514102E-2</v>
      </c>
      <c r="E58" s="183">
        <v>0.28021406956927292</v>
      </c>
      <c r="F58" s="183">
        <v>0.2183798745548326</v>
      </c>
      <c r="G58" s="184">
        <v>0.85290173814940118</v>
      </c>
      <c r="H58" s="184">
        <v>0.9795500315745983</v>
      </c>
      <c r="I58" s="183">
        <v>8.385930145243152E-2</v>
      </c>
      <c r="J58" s="183">
        <v>0.43728736432048126</v>
      </c>
      <c r="K58" s="183">
        <v>5.0854999999999997E-2</v>
      </c>
      <c r="L58" s="183">
        <v>0.24322695079309051</v>
      </c>
      <c r="M58" s="183">
        <v>7.2739439201454981E-2</v>
      </c>
      <c r="N58" s="184">
        <v>3.553462668606814</v>
      </c>
      <c r="O58" s="184">
        <v>0.62823830145194459</v>
      </c>
      <c r="P58" s="184">
        <v>5.4241303880351577</v>
      </c>
      <c r="Q58" s="184">
        <v>7.0794352962597635</v>
      </c>
      <c r="R58" s="184">
        <v>1.9840962070304522</v>
      </c>
      <c r="S58" s="184">
        <v>70.298228177707173</v>
      </c>
      <c r="T58" s="183">
        <v>6.3418447061245012E-2</v>
      </c>
      <c r="U58" s="183">
        <v>2.3634819010543238E-2</v>
      </c>
      <c r="V58" s="183">
        <v>5.7629495091217316E-3</v>
      </c>
      <c r="W58" s="183">
        <v>0.15485672710250106</v>
      </c>
      <c r="X58" s="183">
        <v>0.29646913716435203</v>
      </c>
      <c r="Y58" s="183">
        <v>0.18808725311152891</v>
      </c>
      <c r="Z58" s="183">
        <v>0.18808725311152896</v>
      </c>
      <c r="AA58" s="185">
        <v>8.846245675775162E-2</v>
      </c>
    </row>
    <row r="59" spans="1:27" ht="14">
      <c r="A59" s="181" t="s">
        <v>308</v>
      </c>
      <c r="B59" s="182">
        <v>11</v>
      </c>
      <c r="C59" s="183">
        <v>4.6280999999999996E-2</v>
      </c>
      <c r="D59" s="183">
        <v>0.10136344113969289</v>
      </c>
      <c r="E59" s="183">
        <v>0.14468950470501363</v>
      </c>
      <c r="F59" s="183">
        <v>0.2143667790493376</v>
      </c>
      <c r="G59" s="184">
        <v>0.59401445549826037</v>
      </c>
      <c r="H59" s="184">
        <v>0.86758967833953515</v>
      </c>
      <c r="I59" s="183">
        <v>7.8709125203618613E-2</v>
      </c>
      <c r="J59" s="183">
        <v>0.22797402634512051</v>
      </c>
      <c r="K59" s="183">
        <v>4.5043E-2</v>
      </c>
      <c r="L59" s="183">
        <v>0.41684587791945077</v>
      </c>
      <c r="M59" s="183">
        <v>5.9981542467188606E-2</v>
      </c>
      <c r="N59" s="184">
        <v>1.8070981130643691</v>
      </c>
      <c r="O59" s="184">
        <v>1.4851151918346988</v>
      </c>
      <c r="P59" s="184">
        <v>9.2815278201038112</v>
      </c>
      <c r="Q59" s="184">
        <v>14.548466635999445</v>
      </c>
      <c r="R59" s="184">
        <v>2.9619162642561543</v>
      </c>
      <c r="S59" s="184">
        <v>17.370818385055024</v>
      </c>
      <c r="T59" s="183">
        <v>7.6715870784513529E-2</v>
      </c>
      <c r="U59" s="183">
        <v>6.7633210085312132E-2</v>
      </c>
      <c r="V59" s="183">
        <v>3.8600392724298972E-2</v>
      </c>
      <c r="W59" s="183">
        <v>0.70321264532913874</v>
      </c>
      <c r="X59" s="183">
        <v>0.19622775667533635</v>
      </c>
      <c r="Y59" s="183">
        <v>0.25848828708559801</v>
      </c>
      <c r="Z59" s="183">
        <v>0.25848828708559801</v>
      </c>
      <c r="AA59" s="185">
        <v>0.10208646007753597</v>
      </c>
    </row>
    <row r="60" spans="1:27" ht="14">
      <c r="A60" s="181" t="s">
        <v>310</v>
      </c>
      <c r="B60" s="182">
        <v>7</v>
      </c>
      <c r="C60" s="183">
        <v>3.8425000000000001E-2</v>
      </c>
      <c r="D60" s="183">
        <v>9.9619899214932001E-2</v>
      </c>
      <c r="E60" s="183">
        <v>0.18901373691463047</v>
      </c>
      <c r="F60" s="183">
        <v>0.30911701363962674</v>
      </c>
      <c r="G60" s="184">
        <v>1.5902925666995296</v>
      </c>
      <c r="H60" s="184">
        <v>1.9382231536190784</v>
      </c>
      <c r="I60" s="183">
        <v>0.12795826506647762</v>
      </c>
      <c r="J60" s="183">
        <v>0.43036486711913036</v>
      </c>
      <c r="K60" s="183">
        <v>5.0854999999999997E-2</v>
      </c>
      <c r="L60" s="183">
        <v>0.27203680189153673</v>
      </c>
      <c r="M60" s="183">
        <v>0.10352473153234908</v>
      </c>
      <c r="N60" s="184">
        <v>2.1382237014668712</v>
      </c>
      <c r="O60" s="184">
        <v>1.039978868393705</v>
      </c>
      <c r="P60" s="184">
        <v>7.0633686570128136</v>
      </c>
      <c r="Q60" s="184">
        <v>10.309929699692999</v>
      </c>
      <c r="R60" s="184">
        <v>2.420835985244048</v>
      </c>
      <c r="S60" s="184">
        <v>19.990268135629133</v>
      </c>
      <c r="T60" s="183">
        <v>0.12896672468828177</v>
      </c>
      <c r="U60" s="183">
        <v>7.5908105941041221E-2</v>
      </c>
      <c r="V60" s="183">
        <v>5.0747159393665635E-2</v>
      </c>
      <c r="W60" s="183">
        <v>0.99702940057992662</v>
      </c>
      <c r="X60" s="183">
        <v>0.15165444471442061</v>
      </c>
      <c r="Y60" s="183">
        <v>0.27578599007170435</v>
      </c>
      <c r="Z60" s="183">
        <v>0.27578599007170435</v>
      </c>
      <c r="AA60" s="185">
        <v>0.10140987860769964</v>
      </c>
    </row>
    <row r="61" spans="1:27" ht="14">
      <c r="A61" s="181" t="s">
        <v>312</v>
      </c>
      <c r="B61" s="182">
        <v>50</v>
      </c>
      <c r="C61" s="183">
        <v>5.3279999999999987E-2</v>
      </c>
      <c r="D61" s="183">
        <v>0.16292988851641926</v>
      </c>
      <c r="E61" s="183">
        <v>5.7838808795451627E-2</v>
      </c>
      <c r="F61" s="183">
        <v>0.16140322753814085</v>
      </c>
      <c r="G61" s="184">
        <v>0.3885061927976376</v>
      </c>
      <c r="H61" s="184">
        <v>0.65062741829817849</v>
      </c>
      <c r="I61" s="183">
        <v>6.8728861241716205E-2</v>
      </c>
      <c r="J61" s="183">
        <v>0.20394370124554315</v>
      </c>
      <c r="K61" s="183">
        <v>4.5043E-2</v>
      </c>
      <c r="L61" s="183">
        <v>0.48166097793207796</v>
      </c>
      <c r="M61" s="183">
        <v>5.189644229561903E-2</v>
      </c>
      <c r="N61" s="184">
        <v>0.4114319764618295</v>
      </c>
      <c r="O61" s="184">
        <v>3.7153854274683433</v>
      </c>
      <c r="P61" s="184">
        <v>11.691846058595218</v>
      </c>
      <c r="Q61" s="184">
        <v>22.339910401761529</v>
      </c>
      <c r="R61" s="184">
        <v>1.7113225687107074</v>
      </c>
      <c r="S61" s="184">
        <v>23.19158205893271</v>
      </c>
      <c r="T61" s="183">
        <v>8.2551593545111768E-2</v>
      </c>
      <c r="U61" s="183">
        <v>0.33954089511344704</v>
      </c>
      <c r="V61" s="183">
        <v>0.22702951827873996</v>
      </c>
      <c r="W61" s="183">
        <v>1.7342755771524554</v>
      </c>
      <c r="X61" s="183">
        <v>8.6033634105900814E-2</v>
      </c>
      <c r="Y61" s="183">
        <v>0.76674406940227546</v>
      </c>
      <c r="Z61" s="183">
        <v>0.76674406940227546</v>
      </c>
      <c r="AA61" s="185">
        <v>0.16287010099737925</v>
      </c>
    </row>
    <row r="62" spans="1:27" ht="14">
      <c r="A62" s="181" t="s">
        <v>314</v>
      </c>
      <c r="B62" s="182">
        <v>61</v>
      </c>
      <c r="C62" s="183">
        <v>0.116358</v>
      </c>
      <c r="D62" s="183">
        <v>9.4815347859160626E-2</v>
      </c>
      <c r="E62" s="183">
        <v>4.6929693296862557E-2</v>
      </c>
      <c r="F62" s="183">
        <v>0.22878493646304626</v>
      </c>
      <c r="G62" s="184">
        <v>0.83008391475465471</v>
      </c>
      <c r="H62" s="184">
        <v>0.86895093981506022</v>
      </c>
      <c r="I62" s="183">
        <v>7.8771743231492775E-2</v>
      </c>
      <c r="J62" s="183">
        <v>0.63609473927989657</v>
      </c>
      <c r="K62" s="183">
        <v>5.3524000000000002E-2</v>
      </c>
      <c r="L62" s="183">
        <v>0.13198988940179562</v>
      </c>
      <c r="M62" s="183">
        <v>7.3673139684637678E-2</v>
      </c>
      <c r="N62" s="184">
        <v>0.50505304327330192</v>
      </c>
      <c r="O62" s="184">
        <v>3.955802095084481</v>
      </c>
      <c r="P62" s="184">
        <v>13.009572620028603</v>
      </c>
      <c r="Q62" s="184">
        <v>40.056477737396648</v>
      </c>
      <c r="R62" s="184">
        <v>2.0363465513114485</v>
      </c>
      <c r="S62" s="184">
        <v>34.232639448888236</v>
      </c>
      <c r="T62" s="183">
        <v>9.8325052009865355E-2</v>
      </c>
      <c r="U62" s="183">
        <v>0.25407970239525501</v>
      </c>
      <c r="V62" s="183">
        <v>9.5405975749894428E-2</v>
      </c>
      <c r="W62" s="183">
        <v>1.4626231735473461</v>
      </c>
      <c r="X62" s="183">
        <v>-2.3341970007055318E-2</v>
      </c>
      <c r="Y62" s="183">
        <v>8.8351216929083726E-3</v>
      </c>
      <c r="Z62" s="183">
        <v>8.8351216929083431E-3</v>
      </c>
      <c r="AA62" s="185">
        <v>9.4817432437201393E-2</v>
      </c>
    </row>
    <row r="63" spans="1:27" ht="14">
      <c r="A63" s="181" t="s">
        <v>316</v>
      </c>
      <c r="B63" s="182">
        <v>13</v>
      </c>
      <c r="C63" s="183">
        <v>1.886888888888889E-2</v>
      </c>
      <c r="D63" s="183">
        <v>7.586053639846746E-2</v>
      </c>
      <c r="E63" s="183">
        <v>0.11743909189085758</v>
      </c>
      <c r="F63" s="183">
        <v>0.33496727251475661</v>
      </c>
      <c r="G63" s="184">
        <v>0.80705437488394349</v>
      </c>
      <c r="H63" s="184">
        <v>0.91822392434292299</v>
      </c>
      <c r="I63" s="183">
        <v>8.1038300519774453E-2</v>
      </c>
      <c r="J63" s="183">
        <v>0.31017152439390305</v>
      </c>
      <c r="K63" s="183">
        <v>5.0854999999999997E-2</v>
      </c>
      <c r="L63" s="183">
        <v>0.22320484003526761</v>
      </c>
      <c r="M63" s="183">
        <v>7.1463471220523392E-2</v>
      </c>
      <c r="N63" s="184">
        <v>1.8067191265961897</v>
      </c>
      <c r="O63" s="184">
        <v>1.6155964877241813</v>
      </c>
      <c r="P63" s="184">
        <v>11.874911514750378</v>
      </c>
      <c r="Q63" s="184">
        <v>22.460692247101811</v>
      </c>
      <c r="R63" s="184">
        <v>2.0327328801923263</v>
      </c>
      <c r="S63" s="184">
        <v>33.966609637973768</v>
      </c>
      <c r="T63" s="183">
        <v>0.11799856960408685</v>
      </c>
      <c r="U63" s="183">
        <v>3.7843627075351223E-2</v>
      </c>
      <c r="V63" s="183">
        <v>-1.4497011494252865E-2</v>
      </c>
      <c r="W63" s="183">
        <v>-0.12400404330731554</v>
      </c>
      <c r="X63" s="183">
        <v>2.5384759683220643E-2</v>
      </c>
      <c r="Y63" s="183">
        <v>0.96086621256907867</v>
      </c>
      <c r="Z63" s="183">
        <v>0.96086621256907867</v>
      </c>
      <c r="AA63" s="185">
        <v>7.2628247793605716E-2</v>
      </c>
    </row>
    <row r="64" spans="1:27" ht="14">
      <c r="A64" s="181" t="s">
        <v>318</v>
      </c>
      <c r="B64" s="182">
        <v>181</v>
      </c>
      <c r="C64" s="183">
        <v>7.9506184210526312E-2</v>
      </c>
      <c r="D64" s="183">
        <v>0.22306419369090053</v>
      </c>
      <c r="E64" s="183">
        <v>2.604602253380742E-2</v>
      </c>
      <c r="F64" s="183">
        <v>3.423555993824276E-2</v>
      </c>
      <c r="G64" s="184">
        <v>0.65364907272884065</v>
      </c>
      <c r="H64" s="184">
        <v>1.0241702628809981</v>
      </c>
      <c r="I64" s="183">
        <v>8.5911832092525911E-2</v>
      </c>
      <c r="J64" s="183">
        <v>0.23590766129106594</v>
      </c>
      <c r="K64" s="183">
        <v>4.5043E-2</v>
      </c>
      <c r="L64" s="183">
        <v>0.4437436539441254</v>
      </c>
      <c r="M64" s="183">
        <v>6.2779660856208216E-2</v>
      </c>
      <c r="N64" s="184">
        <v>0.13519492153145526</v>
      </c>
      <c r="O64" s="184">
        <v>11.736514441111494</v>
      </c>
      <c r="P64" s="184">
        <v>21.912087518157193</v>
      </c>
      <c r="Q64" s="184">
        <v>53.479159627199742</v>
      </c>
      <c r="R64" s="184">
        <v>1.9827496103359104</v>
      </c>
      <c r="S64" s="184">
        <v>123.35864097594961</v>
      </c>
      <c r="T64" s="183">
        <v>1.1777065426859592</v>
      </c>
      <c r="U64" s="183">
        <v>2.0877749230665748E-2</v>
      </c>
      <c r="V64" s="183">
        <v>-0.16888406313044227</v>
      </c>
      <c r="W64" s="183">
        <v>-0.82957560768677063</v>
      </c>
      <c r="X64" s="183">
        <v>4.1547193007393492E-2</v>
      </c>
      <c r="Y64" s="183">
        <v>2.320757535648835</v>
      </c>
      <c r="Z64" s="183">
        <v>2.320757535648835</v>
      </c>
      <c r="AA64" s="185">
        <v>0.19653209531683402</v>
      </c>
    </row>
    <row r="65" spans="1:27" ht="14">
      <c r="A65" s="181" t="s">
        <v>320</v>
      </c>
      <c r="B65" s="182">
        <v>17</v>
      </c>
      <c r="C65" s="183">
        <v>0.55561666666666665</v>
      </c>
      <c r="D65" s="183">
        <v>0.1260895802230371</v>
      </c>
      <c r="E65" s="183">
        <v>2.9287042485061747E-2</v>
      </c>
      <c r="F65" s="183">
        <v>0.24259357814440308</v>
      </c>
      <c r="G65" s="184">
        <v>0.4314363177605709</v>
      </c>
      <c r="H65" s="184">
        <v>0.66859406140799615</v>
      </c>
      <c r="I65" s="183">
        <v>6.9555326824767824E-2</v>
      </c>
      <c r="J65" s="183">
        <v>0.34240037014717128</v>
      </c>
      <c r="K65" s="183">
        <v>5.0854999999999997E-2</v>
      </c>
      <c r="L65" s="183">
        <v>0.48479507760579099</v>
      </c>
      <c r="M65" s="183">
        <v>5.4325937012590225E-2</v>
      </c>
      <c r="N65" s="184">
        <v>0.26632691318970303</v>
      </c>
      <c r="O65" s="184">
        <v>4.3826293726146881</v>
      </c>
      <c r="P65" s="184">
        <v>17.93205737756681</v>
      </c>
      <c r="Q65" s="184">
        <v>36.271131152719285</v>
      </c>
      <c r="R65" s="184">
        <v>1.3514347597641898</v>
      </c>
      <c r="S65" s="184">
        <v>8.0221176983239513</v>
      </c>
      <c r="T65" s="183">
        <v>4.0784818863112492E-2</v>
      </c>
      <c r="U65" s="183">
        <v>2.5419140294122532E-2</v>
      </c>
      <c r="V65" s="183">
        <v>-5.9288075101082707E-2</v>
      </c>
      <c r="W65" s="183">
        <v>-0.97271208117751418</v>
      </c>
      <c r="X65" s="183">
        <v>-8.5380378934187581E-2</v>
      </c>
      <c r="Y65" s="183">
        <v>0</v>
      </c>
      <c r="Z65" s="183">
        <v>0</v>
      </c>
      <c r="AA65" s="185">
        <v>0.11158676233778687</v>
      </c>
    </row>
    <row r="66" spans="1:27" ht="14">
      <c r="A66" s="181" t="s">
        <v>322</v>
      </c>
      <c r="B66" s="182">
        <v>11</v>
      </c>
      <c r="C66" s="183">
        <v>9.080400000000001E-2</v>
      </c>
      <c r="D66" s="183">
        <v>0.16131826431281968</v>
      </c>
      <c r="E66" s="183">
        <v>5.3122203722769448E-2</v>
      </c>
      <c r="F66" s="183">
        <v>0.17400095021907827</v>
      </c>
      <c r="G66" s="184">
        <v>0.51252675181814633</v>
      </c>
      <c r="H66" s="184">
        <v>0.56357223766363951</v>
      </c>
      <c r="I66" s="183">
        <v>6.4724322932527417E-2</v>
      </c>
      <c r="J66" s="183">
        <v>0.35907096541478567</v>
      </c>
      <c r="K66" s="183">
        <v>5.0854999999999997E-2</v>
      </c>
      <c r="L66" s="183">
        <v>0.24171470192446345</v>
      </c>
      <c r="M66" s="183">
        <v>5.8298803382405277E-2</v>
      </c>
      <c r="N66" s="184">
        <v>0.37242041233481304</v>
      </c>
      <c r="O66" s="184">
        <v>4.7788406442155482</v>
      </c>
      <c r="P66" s="184">
        <v>18.009159397595386</v>
      </c>
      <c r="Q66" s="184">
        <v>28.438668024742345</v>
      </c>
      <c r="R66" s="184">
        <v>1.2470691827068427</v>
      </c>
      <c r="S66" s="184">
        <v>33.226230825792904</v>
      </c>
      <c r="T66" s="183">
        <v>2.0129995050321732</v>
      </c>
      <c r="U66" s="183">
        <v>2.8403728757630749E-2</v>
      </c>
      <c r="V66" s="183">
        <v>-5.1359511631743945E-2</v>
      </c>
      <c r="W66" s="183">
        <v>-0.59412378257803355</v>
      </c>
      <c r="X66" s="183">
        <v>9.1092056157810561E-2</v>
      </c>
      <c r="Y66" s="183">
        <v>0.24923181973369751</v>
      </c>
      <c r="Z66" s="183">
        <v>0.24923181973369757</v>
      </c>
      <c r="AA66" s="185">
        <v>0.1643542931994576</v>
      </c>
    </row>
    <row r="67" spans="1:27" ht="14">
      <c r="A67" s="181" t="s">
        <v>324</v>
      </c>
      <c r="B67" s="182">
        <v>60</v>
      </c>
      <c r="C67" s="183">
        <v>5.4392666666666666E-2</v>
      </c>
      <c r="D67" s="183">
        <v>-2.8357035717595817E-3</v>
      </c>
      <c r="E67" s="183">
        <v>6.7119159647465029E-4</v>
      </c>
      <c r="F67" s="183">
        <v>0.18035278243626368</v>
      </c>
      <c r="G67" s="184">
        <v>0.88284638532075765</v>
      </c>
      <c r="H67" s="184">
        <v>1.0801188936162607</v>
      </c>
      <c r="I67" s="183">
        <v>8.8485469106347997E-2</v>
      </c>
      <c r="J67" s="183">
        <v>0.44192228893495522</v>
      </c>
      <c r="K67" s="183">
        <v>5.0854999999999997E-2</v>
      </c>
      <c r="L67" s="183">
        <v>0.30827148132425231</v>
      </c>
      <c r="M67" s="183">
        <v>7.2965782106321375E-2</v>
      </c>
      <c r="N67" s="184">
        <v>1.44524314073108</v>
      </c>
      <c r="O67" s="184">
        <v>1.5074220348746605</v>
      </c>
      <c r="P67" s="184">
        <v>14.981930532197556</v>
      </c>
      <c r="Q67" s="184" t="s">
        <v>466</v>
      </c>
      <c r="R67" s="184">
        <v>2.8721502379113324</v>
      </c>
      <c r="S67" s="184">
        <v>104.23604792269977</v>
      </c>
      <c r="T67" s="183">
        <v>9.6938280068516611E-2</v>
      </c>
      <c r="U67" s="183">
        <v>1.3030956034781528E-2</v>
      </c>
      <c r="V67" s="183">
        <v>-1.1660648443319731E-2</v>
      </c>
      <c r="W67" s="183" t="s">
        <v>466</v>
      </c>
      <c r="X67" s="183">
        <v>-8.2699453594316241E-2</v>
      </c>
      <c r="Y67" s="183">
        <v>7.6188461338059024E-3</v>
      </c>
      <c r="Z67" s="183">
        <v>7.6188461338059232E-3</v>
      </c>
      <c r="AA67" s="185">
        <v>4.8652777182227547E-4</v>
      </c>
    </row>
    <row r="68" spans="1:27" ht="14">
      <c r="A68" s="181" t="s">
        <v>326</v>
      </c>
      <c r="B68" s="182">
        <v>55</v>
      </c>
      <c r="C68" s="183">
        <v>0.10951862068965518</v>
      </c>
      <c r="D68" s="183">
        <v>9.6590436589090084E-2</v>
      </c>
      <c r="E68" s="183">
        <v>9.5367541711306333E-2</v>
      </c>
      <c r="F68" s="183">
        <v>0.27908973850786251</v>
      </c>
      <c r="G68" s="184">
        <v>0.84887800605574826</v>
      </c>
      <c r="H68" s="184">
        <v>1.17128693009822</v>
      </c>
      <c r="I68" s="183">
        <v>9.2679198784518121E-2</v>
      </c>
      <c r="J68" s="183">
        <v>0.44295221149390968</v>
      </c>
      <c r="K68" s="183">
        <v>5.0854999999999997E-2</v>
      </c>
      <c r="L68" s="183">
        <v>0.36938218119030658</v>
      </c>
      <c r="M68" s="183">
        <v>7.2533852304847587E-2</v>
      </c>
      <c r="N68" s="184">
        <v>1.28318501683349</v>
      </c>
      <c r="O68" s="184">
        <v>1.8421118883204324</v>
      </c>
      <c r="P68" s="184">
        <v>9.9873894498440308</v>
      </c>
      <c r="Q68" s="184">
        <v>21.71796210872423</v>
      </c>
      <c r="R68" s="184">
        <v>3.4596231451635577</v>
      </c>
      <c r="S68" s="184">
        <v>27.700115574206265</v>
      </c>
      <c r="T68" s="183">
        <v>0.18037794033907653</v>
      </c>
      <c r="U68" s="183">
        <v>7.1115609943383618E-2</v>
      </c>
      <c r="V68" s="183">
        <v>3.2100923079553575E-2</v>
      </c>
      <c r="W68" s="183">
        <v>0.56158342782299575</v>
      </c>
      <c r="X68" s="183">
        <v>2.5626629604530146E-2</v>
      </c>
      <c r="Y68" s="183">
        <v>1.9958513365724233</v>
      </c>
      <c r="Z68" s="183">
        <v>1.9958513365724233</v>
      </c>
      <c r="AA68" s="185">
        <v>8.10090946051851E-2</v>
      </c>
    </row>
    <row r="69" spans="1:27" ht="14">
      <c r="A69" s="181" t="s">
        <v>328</v>
      </c>
      <c r="B69" s="182">
        <v>1</v>
      </c>
      <c r="C69" s="183">
        <v>6.9500000000000006E-2</v>
      </c>
      <c r="D69" s="183">
        <v>9.6556719411633601E-2</v>
      </c>
      <c r="E69" s="183">
        <v>0.30116910073399067</v>
      </c>
      <c r="F69" s="183">
        <v>0.22953020134228189</v>
      </c>
      <c r="G69" s="184">
        <v>0.60985091839783168</v>
      </c>
      <c r="H69" s="184">
        <v>0.65514402605202471</v>
      </c>
      <c r="I69" s="183">
        <v>6.8936625198393137E-2</v>
      </c>
      <c r="J69" s="183">
        <v>0.17094029032718663</v>
      </c>
      <c r="K69" s="183">
        <v>4.5043E-2</v>
      </c>
      <c r="L69" s="183">
        <v>0.29842458571273739</v>
      </c>
      <c r="M69" s="183">
        <v>5.8445695343822532E-2</v>
      </c>
      <c r="N69" s="184">
        <v>4.0484415459074663</v>
      </c>
      <c r="O69" s="184">
        <v>0.68963176352401712</v>
      </c>
      <c r="P69" s="184">
        <v>7.2830308277311326</v>
      </c>
      <c r="Q69" s="184">
        <v>7.1425014429623443</v>
      </c>
      <c r="R69" s="184">
        <v>1.3077640132466577</v>
      </c>
      <c r="S69" s="184">
        <v>9.3446099912357585</v>
      </c>
      <c r="T69" s="183">
        <v>0.17093826610207266</v>
      </c>
      <c r="U69" s="183">
        <v>1.4486293737463784E-3</v>
      </c>
      <c r="V69" s="183">
        <v>4.3263873412079337E-2</v>
      </c>
      <c r="W69" s="183">
        <v>0.75607995316740739</v>
      </c>
      <c r="X69" s="183">
        <v>0.31234601697235148</v>
      </c>
      <c r="Y69" s="183">
        <v>0.18930762489044697</v>
      </c>
      <c r="Z69" s="183">
        <v>0.18930762489044695</v>
      </c>
      <c r="AA69" s="185">
        <v>9.6553255050935372E-2</v>
      </c>
    </row>
    <row r="70" spans="1:27" ht="14">
      <c r="A70" s="181" t="s">
        <v>330</v>
      </c>
      <c r="B70" s="182">
        <v>64</v>
      </c>
      <c r="C70" s="183">
        <v>6.7960000000000007E-2</v>
      </c>
      <c r="D70" s="183">
        <v>0.15800225916236191</v>
      </c>
      <c r="E70" s="183">
        <v>0.19557552942837814</v>
      </c>
      <c r="F70" s="183">
        <v>0.19967846424718289</v>
      </c>
      <c r="G70" s="184">
        <v>1.0243276951296387</v>
      </c>
      <c r="H70" s="184">
        <v>1.194577320424228</v>
      </c>
      <c r="I70" s="183">
        <v>9.375055673951449E-2</v>
      </c>
      <c r="J70" s="183">
        <v>0.35372310643077254</v>
      </c>
      <c r="K70" s="183">
        <v>5.0854999999999997E-2</v>
      </c>
      <c r="L70" s="183">
        <v>0.20462608516509845</v>
      </c>
      <c r="M70" s="183">
        <v>8.2371442002662512E-2</v>
      </c>
      <c r="N70" s="184">
        <v>1.6196890156518917</v>
      </c>
      <c r="O70" s="184">
        <v>4.1943615958584566</v>
      </c>
      <c r="P70" s="184">
        <v>16.598910443571427</v>
      </c>
      <c r="Q70" s="184">
        <v>29.333020694460565</v>
      </c>
      <c r="R70" s="184" t="s">
        <v>466</v>
      </c>
      <c r="S70" s="184">
        <v>94.189098132402151</v>
      </c>
      <c r="T70" s="183">
        <v>8.6042887900802303E-3</v>
      </c>
      <c r="U70" s="183">
        <v>5.7944026102845256E-2</v>
      </c>
      <c r="V70" s="183">
        <v>3.5722685370995058E-2</v>
      </c>
      <c r="W70" s="183">
        <v>0.34511083241843721</v>
      </c>
      <c r="X70" s="183" t="s">
        <v>466</v>
      </c>
      <c r="Y70" s="183">
        <v>0.53075598955740277</v>
      </c>
      <c r="Z70" s="183">
        <v>0.53075598955740277</v>
      </c>
      <c r="AA70" s="185">
        <v>0.13614064338279905</v>
      </c>
    </row>
    <row r="71" spans="1:27" ht="14">
      <c r="A71" s="181" t="s">
        <v>332</v>
      </c>
      <c r="B71" s="182">
        <v>30</v>
      </c>
      <c r="C71" s="183">
        <v>0.17498636363636366</v>
      </c>
      <c r="D71" s="183">
        <v>6.1756206429810209E-2</v>
      </c>
      <c r="E71" s="183">
        <v>0.13195481158300898</v>
      </c>
      <c r="F71" s="183">
        <v>0.23751485780163534</v>
      </c>
      <c r="G71" s="184">
        <v>1.0587643053346871</v>
      </c>
      <c r="H71" s="184">
        <v>1.4944959500823904</v>
      </c>
      <c r="I71" s="183">
        <v>0.10754681370378996</v>
      </c>
      <c r="J71" s="183">
        <v>0.46787574959813977</v>
      </c>
      <c r="K71" s="183">
        <v>5.0854999999999997E-2</v>
      </c>
      <c r="L71" s="183">
        <v>0.36513247499984208</v>
      </c>
      <c r="M71" s="183">
        <v>8.2204588449865917E-2</v>
      </c>
      <c r="N71" s="184">
        <v>2.6698337874045341</v>
      </c>
      <c r="O71" s="184">
        <v>1.0494760169508079</v>
      </c>
      <c r="P71" s="184">
        <v>11.625721407059311</v>
      </c>
      <c r="Q71" s="184">
        <v>17.424466432833757</v>
      </c>
      <c r="R71" s="184">
        <v>6.9701147308624885</v>
      </c>
      <c r="S71" s="184">
        <v>17.888727923754509</v>
      </c>
      <c r="T71" s="183">
        <v>9.9833697994084286E-2</v>
      </c>
      <c r="U71" s="183">
        <v>1.9066371040589995E-2</v>
      </c>
      <c r="V71" s="183">
        <v>2.1762603098834987E-2</v>
      </c>
      <c r="W71" s="183">
        <v>0.71346116785558666</v>
      </c>
      <c r="X71" s="183">
        <v>0.47328545526154348</v>
      </c>
      <c r="Y71" s="183">
        <v>5.7941597498037609E-2</v>
      </c>
      <c r="Z71" s="183">
        <v>5.7941597498037622E-2</v>
      </c>
      <c r="AA71" s="185">
        <v>5.7130049786012285E-2</v>
      </c>
    </row>
    <row r="72" spans="1:27" ht="14">
      <c r="A72" s="181" t="s">
        <v>334</v>
      </c>
      <c r="B72" s="182">
        <v>16</v>
      </c>
      <c r="C72" s="183">
        <v>8.9053846153846164E-2</v>
      </c>
      <c r="D72" s="183">
        <v>0.12513815577176424</v>
      </c>
      <c r="E72" s="183">
        <v>0.39426101011063314</v>
      </c>
      <c r="F72" s="183">
        <v>0.24040748843756385</v>
      </c>
      <c r="G72" s="184">
        <v>1.704153179546406</v>
      </c>
      <c r="H72" s="184">
        <v>1.9381785697071496</v>
      </c>
      <c r="I72" s="183">
        <v>0.12795621420652886</v>
      </c>
      <c r="J72" s="183">
        <v>0.45210582664645632</v>
      </c>
      <c r="K72" s="183">
        <v>5.0854999999999997E-2</v>
      </c>
      <c r="L72" s="183">
        <v>0.16613035370375878</v>
      </c>
      <c r="M72" s="183">
        <v>0.11303522243500778</v>
      </c>
      <c r="N72" s="184">
        <v>3.6418165867455921</v>
      </c>
      <c r="O72" s="184">
        <v>2.1699324764427979</v>
      </c>
      <c r="P72" s="184">
        <v>13.331901910729169</v>
      </c>
      <c r="Q72" s="184">
        <v>17.190761080323021</v>
      </c>
      <c r="R72" s="184" t="s">
        <v>466</v>
      </c>
      <c r="S72" s="184">
        <v>27.87080707923468</v>
      </c>
      <c r="T72" s="183">
        <v>8.4696827644573189E-2</v>
      </c>
      <c r="U72" s="183">
        <v>2.4278467792407967E-2</v>
      </c>
      <c r="V72" s="183">
        <v>8.4849635897816383E-3</v>
      </c>
      <c r="W72" s="183">
        <v>2.3337337560001278E-2</v>
      </c>
      <c r="X72" s="183" t="s">
        <v>466</v>
      </c>
      <c r="Y72" s="183">
        <v>0.46644741818218693</v>
      </c>
      <c r="Z72" s="183">
        <v>0.46644741818218693</v>
      </c>
      <c r="AA72" s="185">
        <v>0.1238432505090802</v>
      </c>
    </row>
    <row r="73" spans="1:27" ht="14">
      <c r="A73" s="181" t="s">
        <v>336</v>
      </c>
      <c r="B73" s="182">
        <v>62</v>
      </c>
      <c r="C73" s="183">
        <v>5.8054594594594583E-2</v>
      </c>
      <c r="D73" s="183">
        <v>0.11953213688630857</v>
      </c>
      <c r="E73" s="183">
        <v>0.18608587925495401</v>
      </c>
      <c r="F73" s="183">
        <v>0.23449866940082945</v>
      </c>
      <c r="G73" s="184">
        <v>0.90932555384051728</v>
      </c>
      <c r="H73" s="184">
        <v>1.106042693037566</v>
      </c>
      <c r="I73" s="183">
        <v>8.967796387972804E-2</v>
      </c>
      <c r="J73" s="183">
        <v>0.37735750438183585</v>
      </c>
      <c r="K73" s="183">
        <v>5.0854999999999997E-2</v>
      </c>
      <c r="L73" s="183">
        <v>0.24408909195893314</v>
      </c>
      <c r="M73" s="183">
        <v>7.7098414186277886E-2</v>
      </c>
      <c r="N73" s="184">
        <v>1.8156573835628624</v>
      </c>
      <c r="O73" s="184">
        <v>1.8130781123729549</v>
      </c>
      <c r="P73" s="184">
        <v>11.632873296385332</v>
      </c>
      <c r="Q73" s="184">
        <v>13.822749735595126</v>
      </c>
      <c r="R73" s="184">
        <v>4.0303872285760063</v>
      </c>
      <c r="S73" s="184">
        <v>28.908314358128138</v>
      </c>
      <c r="T73" s="183">
        <v>0.17415504658831088</v>
      </c>
      <c r="U73" s="183">
        <v>6.25565357934217E-2</v>
      </c>
      <c r="V73" s="183">
        <v>9.2151064103531105E-2</v>
      </c>
      <c r="W73" s="183">
        <v>1.0375036244575058</v>
      </c>
      <c r="X73" s="183">
        <v>0.25451622985825711</v>
      </c>
      <c r="Y73" s="183">
        <v>0.25220531066727753</v>
      </c>
      <c r="Z73" s="183">
        <v>0.25220531066727747</v>
      </c>
      <c r="AA73" s="185">
        <v>0.121685531334811</v>
      </c>
    </row>
    <row r="74" spans="1:27" ht="14">
      <c r="A74" s="181" t="s">
        <v>338</v>
      </c>
      <c r="B74" s="182">
        <v>26</v>
      </c>
      <c r="C74" s="183">
        <v>0.18063052631578944</v>
      </c>
      <c r="D74" s="183">
        <v>4.4133968058007046E-2</v>
      </c>
      <c r="E74" s="183">
        <v>9.8929938052508604E-2</v>
      </c>
      <c r="F74" s="183">
        <v>0.21721237165566823</v>
      </c>
      <c r="G74" s="184">
        <v>1.1710629087177289</v>
      </c>
      <c r="H74" s="184">
        <v>1.2466770513434235</v>
      </c>
      <c r="I74" s="183">
        <v>9.6147144361797485E-2</v>
      </c>
      <c r="J74" s="183">
        <v>0.38283198873816127</v>
      </c>
      <c r="K74" s="183">
        <v>5.0854999999999997E-2</v>
      </c>
      <c r="L74" s="183">
        <v>0.1183525185747442</v>
      </c>
      <c r="M74" s="183">
        <v>8.9282000671898204E-2</v>
      </c>
      <c r="N74" s="184">
        <v>2.411559428998697</v>
      </c>
      <c r="O74" s="184">
        <v>1.5688483400026725</v>
      </c>
      <c r="P74" s="184">
        <v>16.631295752592539</v>
      </c>
      <c r="Q74" s="184">
        <v>38.46582980994355</v>
      </c>
      <c r="R74" s="184">
        <v>7.2422855039301099</v>
      </c>
      <c r="S74" s="184">
        <v>29.844016342968811</v>
      </c>
      <c r="T74" s="183">
        <v>7.6876136239185482E-3</v>
      </c>
      <c r="U74" s="183">
        <v>5.2009664806773569E-2</v>
      </c>
      <c r="V74" s="183">
        <v>2.2820227937652104E-2</v>
      </c>
      <c r="W74" s="183">
        <v>0.79447833647214905</v>
      </c>
      <c r="X74" s="183">
        <v>0.1955014547502191</v>
      </c>
      <c r="Y74" s="183">
        <v>0.21744723060022958</v>
      </c>
      <c r="Z74" s="183">
        <v>0.21744723060022952</v>
      </c>
      <c r="AA74" s="185">
        <v>4.6967034911053938E-2</v>
      </c>
    </row>
    <row r="75" spans="1:27" ht="14">
      <c r="A75" s="181" t="s">
        <v>340</v>
      </c>
      <c r="B75" s="182">
        <v>14</v>
      </c>
      <c r="C75" s="183">
        <v>6.5912499999999999E-2</v>
      </c>
      <c r="D75" s="183">
        <v>2.4225596853965255E-2</v>
      </c>
      <c r="E75" s="183">
        <v>0.10989245466725754</v>
      </c>
      <c r="F75" s="183">
        <v>0.22911929074099627</v>
      </c>
      <c r="G75" s="184">
        <v>0.36476114906597701</v>
      </c>
      <c r="H75" s="184">
        <v>0.49360805956180459</v>
      </c>
      <c r="I75" s="183">
        <v>6.1505970739843013E-2</v>
      </c>
      <c r="J75" s="183">
        <v>0.25647926947712857</v>
      </c>
      <c r="K75" s="183">
        <v>5.0854999999999997E-2</v>
      </c>
      <c r="L75" s="183">
        <v>0.35831710070912415</v>
      </c>
      <c r="M75" s="183">
        <v>5.3133991745464119E-2</v>
      </c>
      <c r="N75" s="184">
        <v>4.7564463793562597</v>
      </c>
      <c r="O75" s="184">
        <v>0.41252131113329121</v>
      </c>
      <c r="P75" s="184">
        <v>6.3798048221013888</v>
      </c>
      <c r="Q75" s="184">
        <v>19.804920951092498</v>
      </c>
      <c r="R75" s="184">
        <v>2.903171334143174</v>
      </c>
      <c r="S75" s="184">
        <v>16.757683247241964</v>
      </c>
      <c r="T75" s="183">
        <v>-2.4323899281002599E-3</v>
      </c>
      <c r="U75" s="183">
        <v>2.6633515324994268E-2</v>
      </c>
      <c r="V75" s="183">
        <v>1.326060238245387E-2</v>
      </c>
      <c r="W75" s="183">
        <v>1.1428223096616057</v>
      </c>
      <c r="X75" s="183">
        <v>0.14777603490447422</v>
      </c>
      <c r="Y75" s="183">
        <v>0.36924015550657879</v>
      </c>
      <c r="Z75" s="183">
        <v>0.36924015550657874</v>
      </c>
      <c r="AA75" s="185">
        <v>2.6473632076435664E-2</v>
      </c>
    </row>
    <row r="76" spans="1:27" ht="14">
      <c r="A76" s="181" t="s">
        <v>467</v>
      </c>
      <c r="B76" s="182">
        <v>28</v>
      </c>
      <c r="C76" s="183">
        <v>4.1101851851851841E-2</v>
      </c>
      <c r="D76" s="183">
        <v>0.36745097043843167</v>
      </c>
      <c r="E76" s="183">
        <v>4.458562834006221E-2</v>
      </c>
      <c r="F76" s="183">
        <v>4.2019303588884428E-2</v>
      </c>
      <c r="G76" s="184">
        <v>0.78667470190348754</v>
      </c>
      <c r="H76" s="184">
        <v>1.1208677660313939</v>
      </c>
      <c r="I76" s="183">
        <v>9.0359917237444118E-2</v>
      </c>
      <c r="J76" s="183">
        <v>0.20718002005434216</v>
      </c>
      <c r="K76" s="183">
        <v>4.5043E-2</v>
      </c>
      <c r="L76" s="183">
        <v>0.37042376508860575</v>
      </c>
      <c r="M76" s="183">
        <v>6.9402204719419811E-2</v>
      </c>
      <c r="N76" s="184">
        <v>0.13065981426778428</v>
      </c>
      <c r="O76" s="184">
        <v>12.151988991799444</v>
      </c>
      <c r="P76" s="184">
        <v>17.431873861346652</v>
      </c>
      <c r="Q76" s="184">
        <v>34.711010000762485</v>
      </c>
      <c r="R76" s="184">
        <v>1.9356719923817578</v>
      </c>
      <c r="S76" s="184">
        <v>74.090504225084899</v>
      </c>
      <c r="T76" s="183">
        <v>-9.8708986919809769E-2</v>
      </c>
      <c r="U76" s="183">
        <v>5.1678638509569011E-2</v>
      </c>
      <c r="V76" s="183">
        <v>-0.26525961554732042</v>
      </c>
      <c r="W76" s="183">
        <v>-0.81803643279498717</v>
      </c>
      <c r="X76" s="183">
        <v>6.523063162826355E-2</v>
      </c>
      <c r="Y76" s="183">
        <v>1.5557235045106812</v>
      </c>
      <c r="Z76" s="183">
        <v>1.5557235045106812</v>
      </c>
      <c r="AA76" s="185">
        <v>0.35009709985829468</v>
      </c>
    </row>
    <row r="77" spans="1:27" ht="14">
      <c r="A77" s="181" t="s">
        <v>344</v>
      </c>
      <c r="B77" s="182">
        <v>105</v>
      </c>
      <c r="C77" s="183">
        <v>0.12071967741935487</v>
      </c>
      <c r="D77" s="183">
        <v>4.6172630818204483E-2</v>
      </c>
      <c r="E77" s="183">
        <v>0.13499345989584943</v>
      </c>
      <c r="F77" s="183">
        <v>0.24714983147031147</v>
      </c>
      <c r="G77" s="184">
        <v>0.97306921831208426</v>
      </c>
      <c r="H77" s="184">
        <v>1.1814057462278666</v>
      </c>
      <c r="I77" s="183">
        <v>9.3144664326481857E-2</v>
      </c>
      <c r="J77" s="183">
        <v>0.44007853687551313</v>
      </c>
      <c r="K77" s="183">
        <v>5.0854999999999997E-2</v>
      </c>
      <c r="L77" s="183">
        <v>0.26552004840016741</v>
      </c>
      <c r="M77" s="183">
        <v>7.8540155092339942E-2</v>
      </c>
      <c r="N77" s="184">
        <v>3.1090000638677036</v>
      </c>
      <c r="O77" s="184">
        <v>0.98357084492498503</v>
      </c>
      <c r="P77" s="184">
        <v>9.3415485589048952</v>
      </c>
      <c r="Q77" s="184">
        <v>20.317569846397642</v>
      </c>
      <c r="R77" s="184">
        <v>4.7786065628780694</v>
      </c>
      <c r="S77" s="184">
        <v>48.788376528460567</v>
      </c>
      <c r="T77" s="183">
        <v>5.0599261894710514E-2</v>
      </c>
      <c r="U77" s="183">
        <v>2.5889269223510269E-2</v>
      </c>
      <c r="V77" s="183">
        <v>2.6622349307585433E-2</v>
      </c>
      <c r="W77" s="183">
        <v>0.55230156249920015</v>
      </c>
      <c r="X77" s="183">
        <v>9.6438784183108986E-2</v>
      </c>
      <c r="Y77" s="183">
        <v>0.8704265485497078</v>
      </c>
      <c r="Z77" s="183">
        <v>0.8704265485497078</v>
      </c>
      <c r="AA77" s="185">
        <v>4.7981611326379597E-2</v>
      </c>
    </row>
    <row r="78" spans="1:27" ht="14">
      <c r="A78" s="181" t="s">
        <v>346</v>
      </c>
      <c r="B78" s="182">
        <v>3</v>
      </c>
      <c r="C78" s="183">
        <v>9.0200000000000002E-2</v>
      </c>
      <c r="D78" s="183">
        <v>1.8445123448906007E-2</v>
      </c>
      <c r="E78" s="183">
        <v>3.124092719979871E-2</v>
      </c>
      <c r="F78" s="183" t="e">
        <v>#DIV/0!</v>
      </c>
      <c r="G78" s="184">
        <v>0.26316933125019143</v>
      </c>
      <c r="H78" s="184">
        <v>0.67451976956750803</v>
      </c>
      <c r="I78" s="183">
        <v>6.9827909400105373E-2</v>
      </c>
      <c r="J78" s="183">
        <v>0.40772526552560179</v>
      </c>
      <c r="K78" s="183">
        <v>5.0854999999999997E-2</v>
      </c>
      <c r="L78" s="183">
        <v>0.70174055335879415</v>
      </c>
      <c r="M78" s="183">
        <v>4.7592095498583793E-2</v>
      </c>
      <c r="N78" s="184">
        <v>1.4484047693844369</v>
      </c>
      <c r="O78" s="184">
        <v>0.62828691748081245</v>
      </c>
      <c r="P78" s="184">
        <v>7.9475865714228098</v>
      </c>
      <c r="Q78" s="184">
        <v>29.777572649378406</v>
      </c>
      <c r="R78" s="184">
        <v>0.78946449471402003</v>
      </c>
      <c r="S78" s="184" t="e">
        <v>#DIV/0!</v>
      </c>
      <c r="T78" s="183">
        <v>0.10694212196535768</v>
      </c>
      <c r="U78" s="183">
        <v>5.4186799367281373E-2</v>
      </c>
      <c r="V78" s="183">
        <v>7.0628985193991103E-3</v>
      </c>
      <c r="W78" s="183">
        <v>-0.32002680606024081</v>
      </c>
      <c r="X78" s="183">
        <v>-9.9980552314274607E-2</v>
      </c>
      <c r="Y78" s="183" t="e">
        <v>#DIV/0!</v>
      </c>
      <c r="Z78" s="183" t="e">
        <v>#DIV/0!</v>
      </c>
      <c r="AA78" s="185">
        <v>2.1569196581060632E-2</v>
      </c>
    </row>
    <row r="79" spans="1:27" ht="14">
      <c r="A79" s="181" t="s">
        <v>348</v>
      </c>
      <c r="B79" s="182">
        <v>63</v>
      </c>
      <c r="C79" s="183">
        <v>6.4411627906976743E-2</v>
      </c>
      <c r="D79" s="183">
        <v>0.19711975635060902</v>
      </c>
      <c r="E79" s="183">
        <v>0.11368358391768708</v>
      </c>
      <c r="F79" s="183">
        <v>9.3092670508339401E-2</v>
      </c>
      <c r="G79" s="184">
        <v>1.460244593924559</v>
      </c>
      <c r="H79" s="184">
        <v>1.4952411850835359</v>
      </c>
      <c r="I79" s="183">
        <v>0.10758109451384265</v>
      </c>
      <c r="J79" s="183">
        <v>0.4147143445700453</v>
      </c>
      <c r="K79" s="183">
        <v>5.0854999999999997E-2</v>
      </c>
      <c r="L79" s="183">
        <v>5.7008102947212459E-2</v>
      </c>
      <c r="M79" s="183">
        <v>0.10362246070915908</v>
      </c>
      <c r="N79" s="184">
        <v>0.58072920923018134</v>
      </c>
      <c r="O79" s="184">
        <v>10.596722932093094</v>
      </c>
      <c r="P79" s="184">
        <v>31.594447138361602</v>
      </c>
      <c r="Q79" s="184">
        <v>53.315004182229046</v>
      </c>
      <c r="R79" s="184">
        <v>7.38179145503603</v>
      </c>
      <c r="S79" s="184">
        <v>82.75051639049542</v>
      </c>
      <c r="T79" s="183">
        <v>0.22403022878237655</v>
      </c>
      <c r="U79" s="183">
        <v>0.1700086447636025</v>
      </c>
      <c r="V79" s="183">
        <v>6.8986975778472778E-2</v>
      </c>
      <c r="W79" s="183">
        <v>0.49863224477303802</v>
      </c>
      <c r="X79" s="183">
        <v>0.12611876313091647</v>
      </c>
      <c r="Y79" s="183">
        <v>0.48873979408723345</v>
      </c>
      <c r="Z79" s="183">
        <v>0.48873979408723345</v>
      </c>
      <c r="AA79" s="185">
        <v>0.2053985135441381</v>
      </c>
    </row>
    <row r="80" spans="1:27" ht="14">
      <c r="A80" s="181" t="s">
        <v>350</v>
      </c>
      <c r="B80" s="182">
        <v>30</v>
      </c>
      <c r="C80" s="183">
        <v>9.9257499999999985E-2</v>
      </c>
      <c r="D80" s="183">
        <v>0.24186751386172409</v>
      </c>
      <c r="E80" s="183">
        <v>0.25683632466511935</v>
      </c>
      <c r="F80" s="183">
        <v>0.12268560712932465</v>
      </c>
      <c r="G80" s="184">
        <v>1.5077650793777069</v>
      </c>
      <c r="H80" s="184">
        <v>1.5279822074255314</v>
      </c>
      <c r="I80" s="183">
        <v>0.10908718154157444</v>
      </c>
      <c r="J80" s="183">
        <v>0.37040142988651292</v>
      </c>
      <c r="K80" s="183">
        <v>5.0854999999999997E-2</v>
      </c>
      <c r="L80" s="183">
        <v>7.2165763925439705E-2</v>
      </c>
      <c r="M80" s="183">
        <v>0.10396731419447477</v>
      </c>
      <c r="N80" s="184">
        <v>1.1649954029158387</v>
      </c>
      <c r="O80" s="184">
        <v>5.2442581732157283</v>
      </c>
      <c r="P80" s="184">
        <v>18.178195157648474</v>
      </c>
      <c r="Q80" s="184">
        <v>21.529732735448246</v>
      </c>
      <c r="R80" s="184">
        <v>8.1009758909034115</v>
      </c>
      <c r="S80" s="184">
        <v>163.51842013025154</v>
      </c>
      <c r="T80" s="183">
        <v>0.34562808268522127</v>
      </c>
      <c r="U80" s="183">
        <v>5.0796555474868554E-2</v>
      </c>
      <c r="V80" s="183">
        <v>2.6035463292282256E-2</v>
      </c>
      <c r="W80" s="183">
        <v>0.13881169088914808</v>
      </c>
      <c r="X80" s="183">
        <v>0.3289066823779071</v>
      </c>
      <c r="Y80" s="183">
        <v>0.20089988720666727</v>
      </c>
      <c r="Z80" s="183">
        <v>0.20089988720666729</v>
      </c>
      <c r="AA80" s="185">
        <v>0.25001236423819828</v>
      </c>
    </row>
    <row r="81" spans="1:27" ht="14">
      <c r="A81" s="181" t="s">
        <v>352</v>
      </c>
      <c r="B81" s="182">
        <v>8</v>
      </c>
      <c r="C81" s="183">
        <v>-6.8033333333333348E-3</v>
      </c>
      <c r="D81" s="183">
        <v>0.10650740465993001</v>
      </c>
      <c r="E81" s="183">
        <v>9.2351394997663441E-2</v>
      </c>
      <c r="F81" s="183">
        <v>0.18850960892353175</v>
      </c>
      <c r="G81" s="184">
        <v>0.68659497205240805</v>
      </c>
      <c r="H81" s="184">
        <v>0.81083614181090768</v>
      </c>
      <c r="I81" s="183">
        <v>7.6098462523301755E-2</v>
      </c>
      <c r="J81" s="183">
        <v>0.45074724706930092</v>
      </c>
      <c r="K81" s="183">
        <v>5.0854999999999997E-2</v>
      </c>
      <c r="L81" s="183">
        <v>0.22942151889413903</v>
      </c>
      <c r="M81" s="183">
        <v>6.7390261173218224E-2</v>
      </c>
      <c r="N81" s="184">
        <v>0.82933963708877079</v>
      </c>
      <c r="O81" s="184">
        <v>1.7047396816839095</v>
      </c>
      <c r="P81" s="184">
        <v>8.384720595362964</v>
      </c>
      <c r="Q81" s="184">
        <v>14.228088437354392</v>
      </c>
      <c r="R81" s="184">
        <v>1.3642629613319885</v>
      </c>
      <c r="S81" s="184">
        <v>24.757087703228514</v>
      </c>
      <c r="T81" s="183">
        <v>0.11299865486721869</v>
      </c>
      <c r="U81" s="183">
        <v>0.10241614888029281</v>
      </c>
      <c r="V81" s="183">
        <v>4.0299197608605203E-2</v>
      </c>
      <c r="W81" s="183">
        <v>0.50270712026329756</v>
      </c>
      <c r="X81" s="183">
        <v>7.817317702121597E-2</v>
      </c>
      <c r="Y81" s="183">
        <v>0.29337528524998274</v>
      </c>
      <c r="Z81" s="183">
        <v>0.29337528524998269</v>
      </c>
      <c r="AA81" s="185">
        <v>0.11940027650657051</v>
      </c>
    </row>
    <row r="82" spans="1:27" ht="14">
      <c r="A82" s="181" t="s">
        <v>354</v>
      </c>
      <c r="B82" s="182">
        <v>13</v>
      </c>
      <c r="C82" s="183">
        <v>0.11491250000000001</v>
      </c>
      <c r="D82" s="183">
        <v>0.12199139215361694</v>
      </c>
      <c r="E82" s="183">
        <v>0.24043080830071734</v>
      </c>
      <c r="F82" s="183">
        <v>0.1746054567339842</v>
      </c>
      <c r="G82" s="184">
        <v>1.2730955389810585</v>
      </c>
      <c r="H82" s="184">
        <v>1.2915789442240697</v>
      </c>
      <c r="I82" s="183">
        <v>9.821263143430721E-2</v>
      </c>
      <c r="J82" s="183">
        <v>0.36279908890119261</v>
      </c>
      <c r="K82" s="183">
        <v>5.0854999999999997E-2</v>
      </c>
      <c r="L82" s="183">
        <v>8.0114408003915991E-2</v>
      </c>
      <c r="M82" s="183">
        <v>9.3400048272720262E-2</v>
      </c>
      <c r="N82" s="184">
        <v>2.2253944893651223</v>
      </c>
      <c r="O82" s="184">
        <v>2.8863044842694969</v>
      </c>
      <c r="P82" s="184">
        <v>18.953733947779405</v>
      </c>
      <c r="Q82" s="184">
        <v>23.682872304836216</v>
      </c>
      <c r="R82" s="184">
        <v>8.7107690650024558</v>
      </c>
      <c r="S82" s="184">
        <v>19.768872194714948</v>
      </c>
      <c r="T82" s="183">
        <v>0.19614445731942837</v>
      </c>
      <c r="U82" s="183">
        <v>8.5762704850190375E-3</v>
      </c>
      <c r="V82" s="183">
        <v>-5.2012497930805967E-3</v>
      </c>
      <c r="W82" s="183">
        <v>-0.20182594713277416</v>
      </c>
      <c r="X82" s="183">
        <v>0.29903214866474775</v>
      </c>
      <c r="Y82" s="183">
        <v>0.32261310697398488</v>
      </c>
      <c r="Z82" s="183">
        <v>0.32261310697398482</v>
      </c>
      <c r="AA82" s="185">
        <v>0.12180719617705567</v>
      </c>
    </row>
    <row r="83" spans="1:27" ht="14">
      <c r="A83" s="181" t="s">
        <v>356</v>
      </c>
      <c r="B83" s="182">
        <v>84</v>
      </c>
      <c r="C83" s="183">
        <v>0.17412533333333333</v>
      </c>
      <c r="D83" s="183">
        <v>0.2680484859792075</v>
      </c>
      <c r="E83" s="183">
        <v>0.19944873406255512</v>
      </c>
      <c r="F83" s="183">
        <v>0.16568125122952723</v>
      </c>
      <c r="G83" s="184">
        <v>1.1136804709373258</v>
      </c>
      <c r="H83" s="184">
        <v>1.1083305740238332</v>
      </c>
      <c r="I83" s="183">
        <v>8.9783206405096322E-2</v>
      </c>
      <c r="J83" s="183">
        <v>0.52789322078229139</v>
      </c>
      <c r="K83" s="183">
        <v>5.3524000000000002E-2</v>
      </c>
      <c r="L83" s="183">
        <v>3.0561494934367585E-2</v>
      </c>
      <c r="M83" s="183">
        <v>8.8266127488506013E-2</v>
      </c>
      <c r="N83" s="184">
        <v>0.74384849848531331</v>
      </c>
      <c r="O83" s="184">
        <v>6.0250177191083116</v>
      </c>
      <c r="P83" s="184">
        <v>17.157815859353224</v>
      </c>
      <c r="Q83" s="184">
        <v>22.221744412094619</v>
      </c>
      <c r="R83" s="184">
        <v>6.2430547316243272</v>
      </c>
      <c r="S83" s="184">
        <v>30.818070198150206</v>
      </c>
      <c r="T83" s="183">
        <v>4.7763247678820571E-2</v>
      </c>
      <c r="U83" s="183">
        <v>0.12672459193901217</v>
      </c>
      <c r="V83" s="183">
        <v>8.7039144070400018E-2</v>
      </c>
      <c r="W83" s="183">
        <v>0.46794430766934031</v>
      </c>
      <c r="X83" s="183">
        <v>0.2325593855621183</v>
      </c>
      <c r="Y83" s="183">
        <v>2.5063968697220758E-3</v>
      </c>
      <c r="Z83" s="183">
        <v>2.506396869722094E-3</v>
      </c>
      <c r="AA83" s="185">
        <v>0.28167769393149628</v>
      </c>
    </row>
    <row r="84" spans="1:27" ht="14">
      <c r="A84" s="181" t="s">
        <v>358</v>
      </c>
      <c r="B84" s="182">
        <v>35</v>
      </c>
      <c r="C84" s="183">
        <v>0.22244545454545456</v>
      </c>
      <c r="D84" s="183">
        <v>-3.3594816570468533E-2</v>
      </c>
      <c r="E84" s="183">
        <v>-4.8109532624457758E-3</v>
      </c>
      <c r="F84" s="183">
        <v>0.17878408264897386</v>
      </c>
      <c r="G84" s="184">
        <v>1.5117563379021286</v>
      </c>
      <c r="H84" s="184">
        <v>1.6160843271745926</v>
      </c>
      <c r="I84" s="183">
        <v>0.11313987905003126</v>
      </c>
      <c r="J84" s="183">
        <v>0.65221602599035</v>
      </c>
      <c r="K84" s="183">
        <v>6.0879000000000003E-2</v>
      </c>
      <c r="L84" s="183">
        <v>0.10698653549795539</v>
      </c>
      <c r="M84" s="183">
        <v>0.10592036033474572</v>
      </c>
      <c r="N84" s="184">
        <v>0.63612335565638134</v>
      </c>
      <c r="O84" s="184">
        <v>8.3828736851725534</v>
      </c>
      <c r="P84" s="184">
        <v>19.329878727497675</v>
      </c>
      <c r="Q84" s="184" t="s">
        <v>466</v>
      </c>
      <c r="R84" s="184">
        <v>9.0021141302291596</v>
      </c>
      <c r="S84" s="184">
        <v>35.177442964143594</v>
      </c>
      <c r="T84" s="183">
        <v>9.6695754393934422E-2</v>
      </c>
      <c r="U84" s="183">
        <v>5.5778077921357368E-2</v>
      </c>
      <c r="V84" s="183">
        <v>2.8310083379424048E-2</v>
      </c>
      <c r="W84" s="183" t="s">
        <v>466</v>
      </c>
      <c r="X84" s="183">
        <v>-0.14540651129197349</v>
      </c>
      <c r="Y84" s="183">
        <v>0</v>
      </c>
      <c r="Z84" s="183">
        <v>0</v>
      </c>
      <c r="AA84" s="185">
        <v>-8.317507436808912E-3</v>
      </c>
    </row>
    <row r="85" spans="1:27" ht="14">
      <c r="A85" s="181" t="s">
        <v>360</v>
      </c>
      <c r="B85" s="182">
        <v>351</v>
      </c>
      <c r="C85" s="183">
        <v>0.15903337837837828</v>
      </c>
      <c r="D85" s="183">
        <v>0.25298655593299035</v>
      </c>
      <c r="E85" s="183">
        <v>0.23224389866710615</v>
      </c>
      <c r="F85" s="183">
        <v>0.17853261761729111</v>
      </c>
      <c r="G85" s="184">
        <v>1.2724589938133573</v>
      </c>
      <c r="H85" s="184">
        <v>1.2939647291542515</v>
      </c>
      <c r="I85" s="183">
        <v>9.8322377541095574E-2</v>
      </c>
      <c r="J85" s="183">
        <v>0.52086489824807281</v>
      </c>
      <c r="K85" s="183">
        <v>5.3524000000000002E-2</v>
      </c>
      <c r="L85" s="183">
        <v>5.8413380196434328E-2</v>
      </c>
      <c r="M85" s="183">
        <v>9.4923923441195657E-2</v>
      </c>
      <c r="N85" s="184">
        <v>0.920355645703261</v>
      </c>
      <c r="O85" s="184">
        <v>10.72155166283089</v>
      </c>
      <c r="P85" s="184">
        <v>28.433138742544646</v>
      </c>
      <c r="Q85" s="184">
        <v>39.481990904188763</v>
      </c>
      <c r="R85" s="184">
        <v>11.028707841031288</v>
      </c>
      <c r="S85" s="184">
        <v>88.724572948822384</v>
      </c>
      <c r="T85" s="183">
        <v>0.11204452658660199</v>
      </c>
      <c r="U85" s="183">
        <v>8.6746410149798295E-2</v>
      </c>
      <c r="V85" s="183">
        <v>5.9162106791780016E-2</v>
      </c>
      <c r="W85" s="183">
        <v>0.36380231425923271</v>
      </c>
      <c r="X85" s="183">
        <v>0.24441835382299518</v>
      </c>
      <c r="Y85" s="183">
        <v>0.27220590606666156</v>
      </c>
      <c r="Z85" s="183">
        <v>0.27220590606666151</v>
      </c>
      <c r="AA85" s="185">
        <v>0.26295961897308368</v>
      </c>
    </row>
    <row r="86" spans="1:27" ht="14">
      <c r="A86" s="181" t="s">
        <v>362</v>
      </c>
      <c r="B86" s="182">
        <v>29</v>
      </c>
      <c r="C86" s="183">
        <v>7.8733200000000003E-2</v>
      </c>
      <c r="D86" s="183">
        <v>0.12104448776971048</v>
      </c>
      <c r="E86" s="183">
        <v>0.22180836333570431</v>
      </c>
      <c r="F86" s="183">
        <v>0.19962963225553462</v>
      </c>
      <c r="G86" s="184">
        <v>1.0774711199709137</v>
      </c>
      <c r="H86" s="184">
        <v>1.126371725263511</v>
      </c>
      <c r="I86" s="183">
        <v>9.0613099362121502E-2</v>
      </c>
      <c r="J86" s="183">
        <v>0.38102205031992209</v>
      </c>
      <c r="K86" s="183">
        <v>5.0854999999999997E-2</v>
      </c>
      <c r="L86" s="183">
        <v>0.16794349418739729</v>
      </c>
      <c r="M86" s="183">
        <v>8.1800793633772059E-2</v>
      </c>
      <c r="N86" s="184">
        <v>2.1668462373578015</v>
      </c>
      <c r="O86" s="184">
        <v>0.94134699426736168</v>
      </c>
      <c r="P86" s="184">
        <v>5.9315455318515609</v>
      </c>
      <c r="Q86" s="184">
        <v>7.7262015562222341</v>
      </c>
      <c r="R86" s="184">
        <v>1.7639737558457758</v>
      </c>
      <c r="S86" s="184">
        <v>14.541699757518971</v>
      </c>
      <c r="T86" s="183">
        <v>0.19023869959969508</v>
      </c>
      <c r="U86" s="183">
        <v>6.2015491060735908E-2</v>
      </c>
      <c r="V86" s="183">
        <v>4.2105106814159125E-2</v>
      </c>
      <c r="W86" s="183">
        <v>0.15698783414294129</v>
      </c>
      <c r="X86" s="183">
        <v>0.22194709191501236</v>
      </c>
      <c r="Y86" s="183">
        <v>0.12471207785733139</v>
      </c>
      <c r="Z86" s="183">
        <v>0.1247120778573314</v>
      </c>
      <c r="AA86" s="185">
        <v>0.12145781664117886</v>
      </c>
    </row>
    <row r="87" spans="1:27" ht="14">
      <c r="A87" s="181" t="s">
        <v>364</v>
      </c>
      <c r="B87" s="182">
        <v>13</v>
      </c>
      <c r="C87" s="183">
        <v>9.2977142857142869E-2</v>
      </c>
      <c r="D87" s="183">
        <v>0.16792801039724245</v>
      </c>
      <c r="E87" s="183">
        <v>6.5483784250289209E-2</v>
      </c>
      <c r="F87" s="183">
        <v>0.24652434855276151</v>
      </c>
      <c r="G87" s="184">
        <v>0.74731171905548888</v>
      </c>
      <c r="H87" s="184">
        <v>1.087361359035153</v>
      </c>
      <c r="I87" s="183">
        <v>8.8818622515617035E-2</v>
      </c>
      <c r="J87" s="183">
        <v>0.60305869412683921</v>
      </c>
      <c r="K87" s="183">
        <v>5.3524000000000002E-2</v>
      </c>
      <c r="L87" s="183">
        <v>0.39084318118198752</v>
      </c>
      <c r="M87" s="183">
        <v>6.9794087365599694E-2</v>
      </c>
      <c r="N87" s="184">
        <v>0.48441213485617451</v>
      </c>
      <c r="O87" s="184">
        <v>3.5147101609842721</v>
      </c>
      <c r="P87" s="184">
        <v>9.0095138936051899</v>
      </c>
      <c r="Q87" s="184">
        <v>23.512660928635778</v>
      </c>
      <c r="R87" s="184">
        <v>2.5322480033466408</v>
      </c>
      <c r="S87" s="184">
        <v>67.853832930042557</v>
      </c>
      <c r="T87" s="183">
        <v>6.2680578629146194E-2</v>
      </c>
      <c r="U87" s="183">
        <v>0.15310947618240378</v>
      </c>
      <c r="V87" s="183">
        <v>-2.9960671300220164E-3</v>
      </c>
      <c r="W87" s="183">
        <v>0.5510450483030811</v>
      </c>
      <c r="X87" s="183">
        <v>9.7395977513905455E-2</v>
      </c>
      <c r="Y87" s="183">
        <v>0.1104528008925427</v>
      </c>
      <c r="Z87" s="183">
        <v>0.11045280089254272</v>
      </c>
      <c r="AA87" s="185">
        <v>0.14947762311195489</v>
      </c>
    </row>
    <row r="88" spans="1:27" ht="14">
      <c r="A88" s="181" t="s">
        <v>366</v>
      </c>
      <c r="B88" s="182">
        <v>66</v>
      </c>
      <c r="C88" s="183">
        <v>9.6164489795918393E-2</v>
      </c>
      <c r="D88" s="183">
        <v>0.19578373512751376</v>
      </c>
      <c r="E88" s="183">
        <v>0.28182161892742891</v>
      </c>
      <c r="F88" s="183">
        <v>0.16906478200018579</v>
      </c>
      <c r="G88" s="184">
        <v>1.0456479852653771</v>
      </c>
      <c r="H88" s="184">
        <v>1.0805072059156025</v>
      </c>
      <c r="I88" s="183">
        <v>8.8503331472117711E-2</v>
      </c>
      <c r="J88" s="183">
        <v>0.46622145090064521</v>
      </c>
      <c r="K88" s="183">
        <v>5.0854999999999997E-2</v>
      </c>
      <c r="L88" s="183">
        <v>0.10245104955940504</v>
      </c>
      <c r="M88" s="183">
        <v>8.3343683367302981E-2</v>
      </c>
      <c r="N88" s="184">
        <v>1.4464269754607526</v>
      </c>
      <c r="O88" s="184">
        <v>3.6067814997742809</v>
      </c>
      <c r="P88" s="184">
        <v>13.979069158223247</v>
      </c>
      <c r="Q88" s="184">
        <v>17.645248189217565</v>
      </c>
      <c r="R88" s="184">
        <v>5.1449679404665405</v>
      </c>
      <c r="S88" s="184">
        <v>70.491276901112826</v>
      </c>
      <c r="T88" s="183">
        <v>0.23092380701323104</v>
      </c>
      <c r="U88" s="183">
        <v>2.7789568604778662E-2</v>
      </c>
      <c r="V88" s="183">
        <v>3.9799623411255383E-2</v>
      </c>
      <c r="W88" s="183">
        <v>0.36669384113949066</v>
      </c>
      <c r="X88" s="183">
        <v>0.24550541459231559</v>
      </c>
      <c r="Y88" s="183">
        <v>0.46084832909856577</v>
      </c>
      <c r="Z88" s="183">
        <v>0.46084832909856577</v>
      </c>
      <c r="AA88" s="185">
        <v>0.2071352516666671</v>
      </c>
    </row>
    <row r="89" spans="1:27" ht="14">
      <c r="A89" s="181" t="s">
        <v>368</v>
      </c>
      <c r="B89" s="182">
        <v>42</v>
      </c>
      <c r="C89" s="183">
        <v>0.13169956521739129</v>
      </c>
      <c r="D89" s="183">
        <v>0.20861578998360361</v>
      </c>
      <c r="E89" s="183">
        <v>0.11796482606061286</v>
      </c>
      <c r="F89" s="183">
        <v>0.21774220884735582</v>
      </c>
      <c r="G89" s="184">
        <v>0.4141115560097563</v>
      </c>
      <c r="H89" s="184">
        <v>0.78450471128722188</v>
      </c>
      <c r="I89" s="183">
        <v>7.488721671921221E-2</v>
      </c>
      <c r="J89" s="183">
        <v>0.50416714350221437</v>
      </c>
      <c r="K89" s="183">
        <v>5.3524000000000002E-2</v>
      </c>
      <c r="L89" s="183">
        <v>0.55538379015988704</v>
      </c>
      <c r="M89" s="183">
        <v>5.5590841951559611E-2</v>
      </c>
      <c r="N89" s="184">
        <v>0.60200337910623192</v>
      </c>
      <c r="O89" s="184">
        <v>2.3574881101650598</v>
      </c>
      <c r="P89" s="184">
        <v>6.178012041794295</v>
      </c>
      <c r="Q89" s="184">
        <v>11.212869716340027</v>
      </c>
      <c r="R89" s="184">
        <v>1.2986532244972615</v>
      </c>
      <c r="S89" s="184">
        <v>77.102401245701245</v>
      </c>
      <c r="T89" s="183">
        <v>-3.2235361652479422E-2</v>
      </c>
      <c r="U89" s="183">
        <v>0.16715169820304818</v>
      </c>
      <c r="V89" s="183">
        <v>2.4292121675182632E-2</v>
      </c>
      <c r="W89" s="183">
        <v>0.20122305244722491</v>
      </c>
      <c r="X89" s="183">
        <v>-3.4470942023052953E-3</v>
      </c>
      <c r="Y89" s="183">
        <v>1.6337690728598522E-3</v>
      </c>
      <c r="Z89" s="183">
        <v>1.6337690728598364E-3</v>
      </c>
      <c r="AA89" s="185">
        <v>0.20983808679246463</v>
      </c>
    </row>
    <row r="90" spans="1:27" ht="14">
      <c r="A90" s="181" t="s">
        <v>370</v>
      </c>
      <c r="B90" s="182">
        <v>16</v>
      </c>
      <c r="C90" s="183">
        <v>0.34968888888888894</v>
      </c>
      <c r="D90" s="183">
        <v>0.40818350646510609</v>
      </c>
      <c r="E90" s="183">
        <v>0.80360559936791442</v>
      </c>
      <c r="F90" s="183">
        <v>0.21139682210925856</v>
      </c>
      <c r="G90" s="184">
        <v>0.98708022501489956</v>
      </c>
      <c r="H90" s="184">
        <v>1.2232908278447494</v>
      </c>
      <c r="I90" s="183">
        <v>9.5071378080858471E-2</v>
      </c>
      <c r="J90" s="183">
        <v>0.4800026780389306</v>
      </c>
      <c r="K90" s="183">
        <v>5.0854999999999997E-2</v>
      </c>
      <c r="L90" s="183">
        <v>0.25873063108247973</v>
      </c>
      <c r="M90" s="183">
        <v>8.0341810114891568E-2</v>
      </c>
      <c r="N90" s="184">
        <v>2.1763696274457001</v>
      </c>
      <c r="O90" s="184">
        <v>4.7953049451194598</v>
      </c>
      <c r="P90" s="184">
        <v>10.84266449583115</v>
      </c>
      <c r="Q90" s="184">
        <v>11.674129778938338</v>
      </c>
      <c r="R90" s="184" t="s">
        <v>466</v>
      </c>
      <c r="S90" s="184">
        <v>17.746085416091766</v>
      </c>
      <c r="T90" s="183">
        <v>0.15300181101471985</v>
      </c>
      <c r="U90" s="183">
        <v>2.7084958732519204E-2</v>
      </c>
      <c r="V90" s="183">
        <v>0.33428394436606595</v>
      </c>
      <c r="W90" s="183">
        <v>1.17639869037906</v>
      </c>
      <c r="X90" s="183" t="s">
        <v>466</v>
      </c>
      <c r="Y90" s="183">
        <v>0.87984059610405407</v>
      </c>
      <c r="Z90" s="183">
        <v>0.87984059610405407</v>
      </c>
      <c r="AA90" s="185">
        <v>0.41002251990580058</v>
      </c>
    </row>
    <row r="91" spans="1:27" ht="14">
      <c r="A91" s="181" t="s">
        <v>372</v>
      </c>
      <c r="B91" s="182">
        <v>110</v>
      </c>
      <c r="C91" s="183">
        <v>7.3925853658536572E-2</v>
      </c>
      <c r="D91" s="183">
        <v>8.5076188418627172E-2</v>
      </c>
      <c r="E91" s="183">
        <v>0.16088390207704553</v>
      </c>
      <c r="F91" s="183">
        <v>0.22120376468677894</v>
      </c>
      <c r="G91" s="184">
        <v>0.84463870252318918</v>
      </c>
      <c r="H91" s="184">
        <v>0.99780729032089066</v>
      </c>
      <c r="I91" s="183">
        <v>8.4699135354760979E-2</v>
      </c>
      <c r="J91" s="183">
        <v>0.5620392839791557</v>
      </c>
      <c r="K91" s="183">
        <v>5.3524000000000002E-2</v>
      </c>
      <c r="L91" s="183">
        <v>0.2357445340104283</v>
      </c>
      <c r="M91" s="183">
        <v>7.4195269988247284E-2</v>
      </c>
      <c r="N91" s="184">
        <v>2.0142048675663617</v>
      </c>
      <c r="O91" s="184">
        <v>1.8733601251795011</v>
      </c>
      <c r="P91" s="184">
        <v>12.825656312770354</v>
      </c>
      <c r="Q91" s="184">
        <v>21.70709502050369</v>
      </c>
      <c r="R91" s="184">
        <v>5.3511884203819298</v>
      </c>
      <c r="S91" s="184">
        <v>26.994751512111506</v>
      </c>
      <c r="T91" s="183">
        <v>7.7146823442012111E-2</v>
      </c>
      <c r="U91" s="183">
        <v>7.9332477764687812E-2</v>
      </c>
      <c r="V91" s="183">
        <v>4.7919479861607203E-2</v>
      </c>
      <c r="W91" s="183">
        <v>0.72064765595835767</v>
      </c>
      <c r="X91" s="183">
        <v>0.22056294610433705</v>
      </c>
      <c r="Y91" s="183">
        <v>1.0930209138910143</v>
      </c>
      <c r="Z91" s="183">
        <v>1.0930209138910143</v>
      </c>
      <c r="AA91" s="185">
        <v>8.5810766770976807E-2</v>
      </c>
    </row>
    <row r="92" spans="1:27" ht="14">
      <c r="A92" s="181" t="s">
        <v>374</v>
      </c>
      <c r="B92" s="182">
        <v>4</v>
      </c>
      <c r="C92" s="183">
        <v>2.4899999999999999E-2</v>
      </c>
      <c r="D92" s="183">
        <v>0.35113467269131693</v>
      </c>
      <c r="E92" s="183">
        <v>0.14261953361631199</v>
      </c>
      <c r="F92" s="183">
        <v>0.22982533024478807</v>
      </c>
      <c r="G92" s="184">
        <v>0.85599780593154451</v>
      </c>
      <c r="H92" s="184">
        <v>1.0172723923008653</v>
      </c>
      <c r="I92" s="183">
        <v>8.5594530045839806E-2</v>
      </c>
      <c r="J92" s="183">
        <v>0.2227735820416239</v>
      </c>
      <c r="K92" s="183">
        <v>4.5043E-2</v>
      </c>
      <c r="L92" s="183">
        <v>0.21142467310039645</v>
      </c>
      <c r="M92" s="183">
        <v>7.464013567456193E-2</v>
      </c>
      <c r="N92" s="184">
        <v>0.49324628388749064</v>
      </c>
      <c r="O92" s="184">
        <v>6.6295596972904312</v>
      </c>
      <c r="P92" s="184">
        <v>14.3196804838998</v>
      </c>
      <c r="Q92" s="184">
        <v>18.966125677741278</v>
      </c>
      <c r="R92" s="184">
        <v>6.9113810829422233</v>
      </c>
      <c r="S92" s="184">
        <v>22.28825335650561</v>
      </c>
      <c r="T92" s="183">
        <v>2.2557471822586217E-2</v>
      </c>
      <c r="U92" s="183">
        <v>0.1570320179340837</v>
      </c>
      <c r="V92" s="183">
        <v>5.5988647445286678E-2</v>
      </c>
      <c r="W92" s="183">
        <v>0.22178443078565843</v>
      </c>
      <c r="X92" s="183">
        <v>0.31677945078582531</v>
      </c>
      <c r="Y92" s="183">
        <v>0.43519528152260112</v>
      </c>
      <c r="Z92" s="183">
        <v>0.43519528152260112</v>
      </c>
      <c r="AA92" s="185">
        <v>0.34954738832459115</v>
      </c>
    </row>
    <row r="93" spans="1:27" ht="14">
      <c r="A93" s="181" t="s">
        <v>376</v>
      </c>
      <c r="B93" s="182">
        <v>22</v>
      </c>
      <c r="C93" s="183">
        <v>6.1907222222222238E-2</v>
      </c>
      <c r="D93" s="183">
        <v>8.4934052293898013E-2</v>
      </c>
      <c r="E93" s="183">
        <v>0.12748742307030905</v>
      </c>
      <c r="F93" s="183">
        <v>0.25564934061767058</v>
      </c>
      <c r="G93" s="184">
        <v>1.0291549427451241</v>
      </c>
      <c r="H93" s="184">
        <v>1.1484074577647394</v>
      </c>
      <c r="I93" s="183">
        <v>9.1626743057178023E-2</v>
      </c>
      <c r="J93" s="183">
        <v>0.28328548955431604</v>
      </c>
      <c r="K93" s="183">
        <v>5.0854999999999997E-2</v>
      </c>
      <c r="L93" s="183">
        <v>0.16632304812803944</v>
      </c>
      <c r="M93" s="183">
        <v>8.2730872821277085E-2</v>
      </c>
      <c r="N93" s="184">
        <v>1.8424099749470806</v>
      </c>
      <c r="O93" s="184">
        <v>1.8055802361025481</v>
      </c>
      <c r="P93" s="184">
        <v>10.57224029827716</v>
      </c>
      <c r="Q93" s="184">
        <v>20.589002549993637</v>
      </c>
      <c r="R93" s="184">
        <v>3.5846942504030093</v>
      </c>
      <c r="S93" s="184">
        <v>36.07946277619434</v>
      </c>
      <c r="T93" s="183">
        <v>6.7480207496526626E-2</v>
      </c>
      <c r="U93" s="183">
        <v>0.14934250443095923</v>
      </c>
      <c r="V93" s="183">
        <v>9.0980370277753131E-2</v>
      </c>
      <c r="W93" s="183">
        <v>1.2178075170479361</v>
      </c>
      <c r="X93" s="183">
        <v>0.12974692001389668</v>
      </c>
      <c r="Y93" s="183">
        <v>0.17362718846549949</v>
      </c>
      <c r="Z93" s="183">
        <v>0.17362718846549952</v>
      </c>
      <c r="AA93" s="185">
        <v>8.6910837308432798E-2</v>
      </c>
    </row>
    <row r="94" spans="1:27" ht="14">
      <c r="A94" s="181" t="s">
        <v>378</v>
      </c>
      <c r="B94" s="182">
        <v>14</v>
      </c>
      <c r="C94" s="183">
        <v>4.3404999999999999E-2</v>
      </c>
      <c r="D94" s="183">
        <v>0.2180508078273298</v>
      </c>
      <c r="E94" s="183">
        <v>6.4731399544339846E-2</v>
      </c>
      <c r="F94" s="183">
        <v>0.1601620397950673</v>
      </c>
      <c r="G94" s="184">
        <v>0.35679519291097572</v>
      </c>
      <c r="H94" s="184">
        <v>0.58043230816873881</v>
      </c>
      <c r="I94" s="183">
        <v>6.5499886175761982E-2</v>
      </c>
      <c r="J94" s="183">
        <v>0.14927275095736059</v>
      </c>
      <c r="K94" s="183">
        <v>4.5043E-2</v>
      </c>
      <c r="L94" s="183">
        <v>0.45897703320023459</v>
      </c>
      <c r="M94" s="183">
        <v>5.0942219623686315E-2</v>
      </c>
      <c r="N94" s="184">
        <v>0.34799061084345168</v>
      </c>
      <c r="O94" s="184">
        <v>4.128817283340104</v>
      </c>
      <c r="P94" s="184">
        <v>11.69639755876778</v>
      </c>
      <c r="Q94" s="184">
        <v>19.078266611364857</v>
      </c>
      <c r="R94" s="184">
        <v>1.6473566371259394</v>
      </c>
      <c r="S94" s="184">
        <v>17.483750732416834</v>
      </c>
      <c r="T94" s="183">
        <v>0.13370151554071408</v>
      </c>
      <c r="U94" s="183">
        <v>0.38606604885824003</v>
      </c>
      <c r="V94" s="183">
        <v>0.25906870978152774</v>
      </c>
      <c r="W94" s="183">
        <v>1.5052569708950143</v>
      </c>
      <c r="X94" s="183">
        <v>0.11153676746474966</v>
      </c>
      <c r="Y94" s="183">
        <v>0.58882821831655419</v>
      </c>
      <c r="Z94" s="183">
        <v>0.58882821831655419</v>
      </c>
      <c r="AA94" s="185">
        <v>0.21642128320038204</v>
      </c>
    </row>
    <row r="95" spans="1:27" ht="14">
      <c r="A95" s="181" t="s">
        <v>380</v>
      </c>
      <c r="B95" s="182">
        <v>13</v>
      </c>
      <c r="C95" s="183">
        <v>0.1084909090909091</v>
      </c>
      <c r="D95" s="183">
        <v>0.30791615796208249</v>
      </c>
      <c r="E95" s="183">
        <v>6.7989566122651446E-2</v>
      </c>
      <c r="F95" s="183">
        <v>0.1491899144854105</v>
      </c>
      <c r="G95" s="184">
        <v>0.52231147198629224</v>
      </c>
      <c r="H95" s="184">
        <v>0.71396343407949392</v>
      </c>
      <c r="I95" s="183">
        <v>7.1642317967656716E-2</v>
      </c>
      <c r="J95" s="183">
        <v>0.28198719816416001</v>
      </c>
      <c r="K95" s="183">
        <v>5.0854999999999997E-2</v>
      </c>
      <c r="L95" s="183">
        <v>0.33727313092901634</v>
      </c>
      <c r="M95" s="183">
        <v>6.0343307884739357E-2</v>
      </c>
      <c r="N95" s="184">
        <v>0.24924739614341856</v>
      </c>
      <c r="O95" s="184">
        <v>7.895573764246353</v>
      </c>
      <c r="P95" s="184">
        <v>16.861059231983642</v>
      </c>
      <c r="Q95" s="184">
        <v>25.637409477526273</v>
      </c>
      <c r="R95" s="184">
        <v>2.3031518241417506</v>
      </c>
      <c r="S95" s="184">
        <v>34.884505444212166</v>
      </c>
      <c r="T95" s="183">
        <v>0.11350573999309437</v>
      </c>
      <c r="U95" s="183">
        <v>0.53908430918105532</v>
      </c>
      <c r="V95" s="183">
        <v>0.40175099691053662</v>
      </c>
      <c r="W95" s="183">
        <v>1.4950509635847589</v>
      </c>
      <c r="X95" s="183">
        <v>0.15979158800682633</v>
      </c>
      <c r="Y95" s="183">
        <v>0.60585496218840451</v>
      </c>
      <c r="Z95" s="183">
        <v>0.39244972646773968</v>
      </c>
      <c r="AA95" s="185">
        <v>0.30680997617385836</v>
      </c>
    </row>
  </sheetData>
  <pageMargins left="0.75" right="0.75" top="1" bottom="1" header="0.5" footer="0.5"/>
  <pageSetup orientation="portrait"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2686F-F122-234D-BC25-969985DBCAA6}">
  <dimension ref="A1:F210"/>
  <sheetViews>
    <sheetView topLeftCell="A176" workbookViewId="0">
      <selection activeCell="E6" sqref="E6"/>
    </sheetView>
  </sheetViews>
  <sheetFormatPr baseColWidth="10" defaultRowHeight="13"/>
  <cols>
    <col min="1" max="1" width="27.5" style="72" bestFit="1" customWidth="1"/>
    <col min="2" max="2" width="15" style="72" bestFit="1" customWidth="1"/>
    <col min="3" max="3" width="18.5" style="72" bestFit="1" customWidth="1"/>
    <col min="4" max="4" width="21" style="72" bestFit="1" customWidth="1"/>
    <col min="5" max="5" width="20" style="72" bestFit="1" customWidth="1"/>
    <col min="6" max="6" width="17.6640625" style="72" bestFit="1" customWidth="1"/>
    <col min="7" max="16384" width="10.83203125" style="72"/>
  </cols>
  <sheetData>
    <row r="1" spans="1:6">
      <c r="A1" s="72" t="s">
        <v>468</v>
      </c>
      <c r="B1" s="174">
        <v>4.4999999999999998E-2</v>
      </c>
      <c r="C1" s="72" t="s">
        <v>469</v>
      </c>
    </row>
    <row r="2" spans="1:6" s="186" customFormat="1" ht="14">
      <c r="A2" s="186" t="s">
        <v>470</v>
      </c>
    </row>
    <row r="4" spans="1:6" ht="16">
      <c r="A4" s="187" t="s">
        <v>433</v>
      </c>
      <c r="B4" s="188" t="s">
        <v>471</v>
      </c>
      <c r="C4" s="189" t="s">
        <v>472</v>
      </c>
      <c r="D4" s="189" t="s">
        <v>473</v>
      </c>
      <c r="E4" s="189" t="s">
        <v>474</v>
      </c>
      <c r="F4" s="189" t="s">
        <v>475</v>
      </c>
    </row>
    <row r="5" spans="1:6" ht="16">
      <c r="A5" s="190" t="s">
        <v>476</v>
      </c>
      <c r="B5" s="191" t="s">
        <v>477</v>
      </c>
      <c r="C5" s="192">
        <v>5.3778762707661788E-3</v>
      </c>
      <c r="D5" s="192">
        <f>$B$1+E5</f>
        <v>5.2219473999336782E-2</v>
      </c>
      <c r="E5" s="192">
        <v>7.219473999336784E-3</v>
      </c>
      <c r="F5" s="192">
        <v>0.15</v>
      </c>
    </row>
    <row r="6" spans="1:6" ht="16">
      <c r="A6" s="190" t="s">
        <v>172</v>
      </c>
      <c r="B6" s="191" t="s">
        <v>478</v>
      </c>
      <c r="C6" s="192">
        <v>4.9041109802463012E-2</v>
      </c>
      <c r="D6" s="192">
        <f t="shared" ref="D6:D69" si="0">$B$1+E6</f>
        <v>0.11083472718442829</v>
      </c>
      <c r="E6" s="192">
        <v>6.5834727184428288E-2</v>
      </c>
      <c r="F6" s="192">
        <v>0.15</v>
      </c>
    </row>
    <row r="7" spans="1:6" ht="16">
      <c r="A7" s="193" t="s">
        <v>177</v>
      </c>
      <c r="B7" s="191" t="s">
        <v>479</v>
      </c>
      <c r="C7" s="192">
        <v>4.9041109802463012E-2</v>
      </c>
      <c r="D7" s="192">
        <f t="shared" si="0"/>
        <v>0.11083472718442829</v>
      </c>
      <c r="E7" s="192">
        <v>6.5834727184428288E-2</v>
      </c>
      <c r="F7" s="192">
        <v>0.26</v>
      </c>
    </row>
    <row r="8" spans="1:6" ht="16">
      <c r="A8" s="190" t="s">
        <v>480</v>
      </c>
      <c r="B8" s="191" t="s">
        <v>481</v>
      </c>
      <c r="C8" s="192">
        <v>2.0743237044383835E-2</v>
      </c>
      <c r="D8" s="192">
        <f t="shared" si="0"/>
        <v>7.2846542568870451E-2</v>
      </c>
      <c r="E8" s="192">
        <v>2.7846542568870453E-2</v>
      </c>
      <c r="F8" s="192">
        <v>0.1898</v>
      </c>
    </row>
    <row r="9" spans="1:6" ht="16">
      <c r="A9" s="190" t="s">
        <v>180</v>
      </c>
      <c r="B9" s="191" t="s">
        <v>482</v>
      </c>
      <c r="C9" s="192">
        <v>7.0808704231754685E-2</v>
      </c>
      <c r="D9" s="192">
        <f t="shared" si="0"/>
        <v>0.14005640765793431</v>
      </c>
      <c r="E9" s="192">
        <v>9.5056407657934314E-2</v>
      </c>
      <c r="F9" s="192">
        <v>0.25</v>
      </c>
    </row>
    <row r="10" spans="1:6" ht="16">
      <c r="A10" s="190" t="s">
        <v>483</v>
      </c>
      <c r="B10" s="194" t="s">
        <v>479</v>
      </c>
      <c r="C10" s="195">
        <v>0.1054310997313879</v>
      </c>
      <c r="D10" s="192">
        <f t="shared" si="0"/>
        <v>0.23253488197001548</v>
      </c>
      <c r="E10" s="195">
        <v>0.1875348819700155</v>
      </c>
      <c r="F10" s="195">
        <v>0.2724561140242252</v>
      </c>
    </row>
    <row r="11" spans="1:6" ht="16">
      <c r="A11" s="190" t="s">
        <v>484</v>
      </c>
      <c r="B11" s="194" t="s">
        <v>479</v>
      </c>
      <c r="C11" s="195">
        <v>0.1054310997313879</v>
      </c>
      <c r="D11" s="192">
        <f t="shared" si="0"/>
        <v>0.23253488197001548</v>
      </c>
      <c r="E11" s="195">
        <v>0.1875348819700155</v>
      </c>
      <c r="F11" s="195">
        <v>0.2724561140242252</v>
      </c>
    </row>
    <row r="12" spans="1:6" ht="16">
      <c r="A12" s="190" t="s">
        <v>183</v>
      </c>
      <c r="B12" s="191" t="s">
        <v>485</v>
      </c>
      <c r="C12" s="192">
        <v>0.13073361124886354</v>
      </c>
      <c r="D12" s="192">
        <f t="shared" si="0"/>
        <v>0.22050197507911562</v>
      </c>
      <c r="E12" s="192">
        <v>0.17550197507911564</v>
      </c>
      <c r="F12" s="192">
        <v>0.35</v>
      </c>
    </row>
    <row r="13" spans="1:6" ht="16">
      <c r="A13" s="190" t="s">
        <v>185</v>
      </c>
      <c r="B13" s="191" t="s">
        <v>486</v>
      </c>
      <c r="C13" s="192">
        <v>3.9181669972725021E-2</v>
      </c>
      <c r="D13" s="192">
        <f t="shared" si="0"/>
        <v>9.7599024852310853E-2</v>
      </c>
      <c r="E13" s="192">
        <v>5.2599024852310855E-2</v>
      </c>
      <c r="F13" s="192">
        <v>0.18</v>
      </c>
    </row>
    <row r="14" spans="1:6" ht="16">
      <c r="A14" s="190" t="s">
        <v>187</v>
      </c>
      <c r="B14" s="191" t="s">
        <v>481</v>
      </c>
      <c r="C14" s="192">
        <v>2.0743237044383835E-2</v>
      </c>
      <c r="D14" s="192">
        <f t="shared" si="0"/>
        <v>7.2846542568870451E-2</v>
      </c>
      <c r="E14" s="192">
        <v>2.7846542568870453E-2</v>
      </c>
      <c r="F14" s="192">
        <v>0.25</v>
      </c>
    </row>
    <row r="15" spans="1:6" ht="16">
      <c r="A15" s="190" t="s">
        <v>190</v>
      </c>
      <c r="B15" s="191" t="s">
        <v>487</v>
      </c>
      <c r="C15" s="192">
        <v>0</v>
      </c>
      <c r="D15" s="192">
        <f t="shared" si="0"/>
        <v>4.4999999999999998E-2</v>
      </c>
      <c r="E15" s="192">
        <v>0</v>
      </c>
      <c r="F15" s="192">
        <v>0.3</v>
      </c>
    </row>
    <row r="16" spans="1:6" ht="16">
      <c r="A16" s="190" t="s">
        <v>195</v>
      </c>
      <c r="B16" s="191" t="s">
        <v>488</v>
      </c>
      <c r="C16" s="192">
        <v>4.3535188858583353E-3</v>
      </c>
      <c r="D16" s="192">
        <f t="shared" si="0"/>
        <v>5.0844336094701202E-2</v>
      </c>
      <c r="E16" s="192">
        <v>5.8443360947012038E-3</v>
      </c>
      <c r="F16" s="192">
        <v>0.24</v>
      </c>
    </row>
    <row r="17" spans="1:6" ht="16">
      <c r="A17" s="190" t="s">
        <v>198</v>
      </c>
      <c r="B17" s="191" t="s">
        <v>489</v>
      </c>
      <c r="C17" s="192">
        <v>2.7273515373171343E-2</v>
      </c>
      <c r="D17" s="192">
        <f t="shared" si="0"/>
        <v>8.161304671092226E-2</v>
      </c>
      <c r="E17" s="192">
        <v>3.6613046710922262E-2</v>
      </c>
      <c r="F17" s="192">
        <v>0.2</v>
      </c>
    </row>
    <row r="18" spans="1:6" ht="16">
      <c r="A18" s="190" t="s">
        <v>200</v>
      </c>
      <c r="B18" s="191" t="s">
        <v>478</v>
      </c>
      <c r="C18" s="192">
        <v>4.9041109802463012E-2</v>
      </c>
      <c r="D18" s="192">
        <f t="shared" si="0"/>
        <v>0.11083472718442829</v>
      </c>
      <c r="E18" s="192">
        <v>6.5834727184428288E-2</v>
      </c>
      <c r="F18" s="192">
        <v>0</v>
      </c>
    </row>
    <row r="19" spans="1:6" ht="16">
      <c r="A19" s="190" t="s">
        <v>201</v>
      </c>
      <c r="B19" s="191" t="s">
        <v>490</v>
      </c>
      <c r="C19" s="192">
        <v>5.9924907017108855E-2</v>
      </c>
      <c r="D19" s="192">
        <f t="shared" si="0"/>
        <v>0.12544556742118129</v>
      </c>
      <c r="E19" s="192">
        <v>8.0445567421181294E-2</v>
      </c>
      <c r="F19" s="192">
        <v>0</v>
      </c>
    </row>
    <row r="20" spans="1:6" ht="16">
      <c r="A20" s="190" t="s">
        <v>205</v>
      </c>
      <c r="B20" s="191" t="s">
        <v>478</v>
      </c>
      <c r="C20" s="192">
        <v>4.9041109802463012E-2</v>
      </c>
      <c r="D20" s="192">
        <f t="shared" si="0"/>
        <v>0.11083472718442829</v>
      </c>
      <c r="E20" s="192">
        <v>6.5834727184428288E-2</v>
      </c>
      <c r="F20" s="192">
        <v>0.3</v>
      </c>
    </row>
    <row r="21" spans="1:6" ht="16">
      <c r="A21" s="190" t="s">
        <v>208</v>
      </c>
      <c r="B21" s="191" t="s">
        <v>482</v>
      </c>
      <c r="C21" s="192">
        <v>7.0808704231754685E-2</v>
      </c>
      <c r="D21" s="192">
        <f t="shared" si="0"/>
        <v>0.14005640765793431</v>
      </c>
      <c r="E21" s="192">
        <v>9.5056407657934314E-2</v>
      </c>
      <c r="F21" s="192">
        <v>5.5E-2</v>
      </c>
    </row>
    <row r="22" spans="1:6" ht="16">
      <c r="A22" s="190" t="s">
        <v>210</v>
      </c>
      <c r="B22" s="191" t="s">
        <v>491</v>
      </c>
      <c r="C22" s="192">
        <v>0.17499999999999999</v>
      </c>
      <c r="D22" s="192">
        <f t="shared" si="0"/>
        <v>0.27992692770782934</v>
      </c>
      <c r="E22" s="192">
        <v>0.23492692770782936</v>
      </c>
      <c r="F22" s="192">
        <v>0.18</v>
      </c>
    </row>
    <row r="23" spans="1:6" ht="16">
      <c r="A23" s="190" t="s">
        <v>213</v>
      </c>
      <c r="B23" s="191" t="s">
        <v>492</v>
      </c>
      <c r="C23" s="192">
        <v>6.5302783287875029E-3</v>
      </c>
      <c r="D23" s="192">
        <f t="shared" si="0"/>
        <v>5.3766504142051808E-2</v>
      </c>
      <c r="E23" s="192">
        <v>8.7665041420518092E-3</v>
      </c>
      <c r="F23" s="192">
        <v>0.25</v>
      </c>
    </row>
    <row r="24" spans="1:6" ht="16">
      <c r="A24" s="190" t="s">
        <v>493</v>
      </c>
      <c r="B24" s="191" t="s">
        <v>494</v>
      </c>
      <c r="C24" s="192">
        <v>9.8082219604926024E-2</v>
      </c>
      <c r="D24" s="192">
        <f t="shared" si="0"/>
        <v>0.17666945436885656</v>
      </c>
      <c r="E24" s="192">
        <v>0.13166945436885658</v>
      </c>
      <c r="F24" s="192">
        <v>0.2853</v>
      </c>
    </row>
    <row r="25" spans="1:6" ht="16">
      <c r="A25" s="190" t="s">
        <v>495</v>
      </c>
      <c r="B25" s="191" t="s">
        <v>478</v>
      </c>
      <c r="C25" s="192">
        <v>4.9041109802463012E-2</v>
      </c>
      <c r="D25" s="192">
        <f t="shared" si="0"/>
        <v>0.11083472718442829</v>
      </c>
      <c r="E25" s="192">
        <v>6.5834727184428288E-2</v>
      </c>
      <c r="F25" s="192">
        <v>0.3</v>
      </c>
    </row>
    <row r="26" spans="1:6" ht="16">
      <c r="A26" s="190" t="s">
        <v>217</v>
      </c>
      <c r="B26" s="191" t="s">
        <v>496</v>
      </c>
      <c r="C26" s="192">
        <v>9.2192164641705932E-3</v>
      </c>
      <c r="D26" s="192">
        <f t="shared" si="0"/>
        <v>5.73762411417202E-2</v>
      </c>
      <c r="E26" s="192">
        <v>1.2376241141720201E-2</v>
      </c>
      <c r="F26" s="192">
        <v>0</v>
      </c>
    </row>
    <row r="27" spans="1:6" ht="16">
      <c r="A27" s="190" t="s">
        <v>221</v>
      </c>
      <c r="B27" s="191" t="s">
        <v>497</v>
      </c>
      <c r="C27" s="192">
        <v>8.1692501446400528E-2</v>
      </c>
      <c r="D27" s="192">
        <f t="shared" si="0"/>
        <v>0.15466724789468733</v>
      </c>
      <c r="E27" s="192">
        <v>0.10966724789468733</v>
      </c>
      <c r="F27" s="192">
        <v>0.25</v>
      </c>
    </row>
    <row r="28" spans="1:6" ht="16">
      <c r="A28" s="190" t="s">
        <v>223</v>
      </c>
      <c r="B28" s="191" t="s">
        <v>482</v>
      </c>
      <c r="C28" s="192">
        <v>7.0808704231754685E-2</v>
      </c>
      <c r="D28" s="192">
        <f t="shared" si="0"/>
        <v>0.14005640765793431</v>
      </c>
      <c r="E28" s="192">
        <v>9.5056407657934314E-2</v>
      </c>
      <c r="F28" s="192">
        <v>0.1</v>
      </c>
    </row>
    <row r="29" spans="1:6" ht="16">
      <c r="A29" s="190" t="s">
        <v>226</v>
      </c>
      <c r="B29" s="191" t="s">
        <v>498</v>
      </c>
      <c r="C29" s="192">
        <v>1.3060556657575006E-2</v>
      </c>
      <c r="D29" s="192">
        <f t="shared" si="0"/>
        <v>6.2533008284103617E-2</v>
      </c>
      <c r="E29" s="192">
        <v>1.7533008284103618E-2</v>
      </c>
      <c r="F29" s="192">
        <v>0.22</v>
      </c>
    </row>
    <row r="30" spans="1:6" ht="16">
      <c r="A30" s="190" t="s">
        <v>228</v>
      </c>
      <c r="B30" s="191" t="s">
        <v>499</v>
      </c>
      <c r="C30" s="192">
        <v>3.2779436317050999E-2</v>
      </c>
      <c r="D30" s="192">
        <f t="shared" si="0"/>
        <v>8.9004412948338496E-2</v>
      </c>
      <c r="E30" s="192">
        <v>4.4004412948338498E-2</v>
      </c>
      <c r="F30" s="192">
        <v>0.34</v>
      </c>
    </row>
    <row r="31" spans="1:6" ht="16">
      <c r="A31" s="190" t="s">
        <v>500</v>
      </c>
      <c r="B31" s="191" t="s">
        <v>499</v>
      </c>
      <c r="C31" s="192">
        <v>3.2779436317050999E-2</v>
      </c>
      <c r="D31" s="192">
        <f t="shared" si="0"/>
        <v>8.9004412948338496E-2</v>
      </c>
      <c r="E31" s="192">
        <v>4.4004412948338498E-2</v>
      </c>
      <c r="F31" s="192">
        <v>0.34</v>
      </c>
    </row>
    <row r="32" spans="1:6" ht="16">
      <c r="A32" s="196" t="s">
        <v>501</v>
      </c>
      <c r="B32" s="191" t="s">
        <v>479</v>
      </c>
      <c r="C32" s="192">
        <v>6.5302783287875029E-3</v>
      </c>
      <c r="D32" s="192">
        <f t="shared" si="0"/>
        <v>5.3766504142051808E-2</v>
      </c>
      <c r="E32" s="192">
        <v>8.7665041420518092E-3</v>
      </c>
      <c r="F32" s="192">
        <v>0.185</v>
      </c>
    </row>
    <row r="33" spans="1:6" ht="16">
      <c r="A33" s="190" t="s">
        <v>232</v>
      </c>
      <c r="B33" s="191" t="s">
        <v>502</v>
      </c>
      <c r="C33" s="192">
        <v>1.7414075543433341E-2</v>
      </c>
      <c r="D33" s="192">
        <f t="shared" si="0"/>
        <v>6.8377344378804827E-2</v>
      </c>
      <c r="E33" s="192">
        <v>2.3377344378804829E-2</v>
      </c>
      <c r="F33" s="192">
        <v>0.1</v>
      </c>
    </row>
    <row r="34" spans="1:6" ht="16">
      <c r="A34" s="190" t="s">
        <v>503</v>
      </c>
      <c r="B34" s="191" t="s">
        <v>497</v>
      </c>
      <c r="C34" s="192">
        <v>8.1692501446400528E-2</v>
      </c>
      <c r="D34" s="192">
        <f t="shared" si="0"/>
        <v>0.15466724789468733</v>
      </c>
      <c r="E34" s="192">
        <v>0.10966724789468733</v>
      </c>
      <c r="F34" s="192">
        <v>0.28000000000000003</v>
      </c>
    </row>
    <row r="35" spans="1:6" ht="16">
      <c r="A35" s="190" t="s">
        <v>235</v>
      </c>
      <c r="B35" s="191" t="s">
        <v>490</v>
      </c>
      <c r="C35" s="192">
        <v>5.9924907017108855E-2</v>
      </c>
      <c r="D35" s="192">
        <f t="shared" si="0"/>
        <v>0.12544556742118129</v>
      </c>
      <c r="E35" s="192">
        <v>8.0445567421181294E-2</v>
      </c>
      <c r="F35" s="192">
        <v>0.2</v>
      </c>
    </row>
    <row r="36" spans="1:6" ht="16">
      <c r="A36" s="190" t="s">
        <v>237</v>
      </c>
      <c r="B36" s="191" t="s">
        <v>497</v>
      </c>
      <c r="C36" s="192">
        <v>8.1692501446400528E-2</v>
      </c>
      <c r="D36" s="192">
        <f t="shared" si="0"/>
        <v>0.15466724789468733</v>
      </c>
      <c r="E36" s="192">
        <v>0.10966724789468733</v>
      </c>
      <c r="F36" s="192">
        <v>0.33</v>
      </c>
    </row>
    <row r="37" spans="1:6" ht="16">
      <c r="A37" s="190" t="s">
        <v>239</v>
      </c>
      <c r="B37" s="191" t="s">
        <v>487</v>
      </c>
      <c r="C37" s="192">
        <v>0</v>
      </c>
      <c r="D37" s="192">
        <f t="shared" si="0"/>
        <v>4.4999999999999998E-2</v>
      </c>
      <c r="E37" s="192">
        <v>0</v>
      </c>
      <c r="F37" s="192">
        <v>0.26500000000000001</v>
      </c>
    </row>
    <row r="38" spans="1:6" ht="16">
      <c r="A38" s="190" t="s">
        <v>504</v>
      </c>
      <c r="B38" s="191" t="s">
        <v>482</v>
      </c>
      <c r="C38" s="192">
        <v>7.0808704231754685E-2</v>
      </c>
      <c r="D38" s="192">
        <f t="shared" si="0"/>
        <v>0.14005640765793431</v>
      </c>
      <c r="E38" s="192">
        <v>9.5056407657934314E-2</v>
      </c>
      <c r="F38" s="192">
        <v>0</v>
      </c>
    </row>
    <row r="39" spans="1:6" ht="16">
      <c r="A39" s="190" t="s">
        <v>241</v>
      </c>
      <c r="B39" s="191" t="s">
        <v>492</v>
      </c>
      <c r="C39" s="192">
        <v>6.5302783287875029E-3</v>
      </c>
      <c r="D39" s="192">
        <f t="shared" si="0"/>
        <v>5.3766504142051808E-2</v>
      </c>
      <c r="E39" s="192">
        <v>8.7665041420518092E-3</v>
      </c>
      <c r="F39" s="192">
        <v>0</v>
      </c>
    </row>
    <row r="40" spans="1:6" ht="16">
      <c r="A40" s="190" t="s">
        <v>505</v>
      </c>
      <c r="B40" s="194" t="s">
        <v>479</v>
      </c>
      <c r="C40" s="195">
        <v>9.5882201472833571E-3</v>
      </c>
      <c r="D40" s="192">
        <f t="shared" si="0"/>
        <v>0.10387160629364336</v>
      </c>
      <c r="E40" s="195">
        <v>5.8871606293643367E-2</v>
      </c>
      <c r="F40" s="195">
        <v>0.24707349543413576</v>
      </c>
    </row>
    <row r="41" spans="1:6" ht="16">
      <c r="A41" s="190" t="s">
        <v>244</v>
      </c>
      <c r="B41" s="191" t="s">
        <v>496</v>
      </c>
      <c r="C41" s="192">
        <v>9.2192164641705932E-3</v>
      </c>
      <c r="D41" s="192">
        <f t="shared" si="0"/>
        <v>5.73762411417202E-2</v>
      </c>
      <c r="E41" s="192">
        <v>1.2376241141720201E-2</v>
      </c>
      <c r="F41" s="192">
        <v>0.27</v>
      </c>
    </row>
    <row r="42" spans="1:6" ht="16">
      <c r="A42" s="190" t="s">
        <v>246</v>
      </c>
      <c r="B42" s="191" t="s">
        <v>506</v>
      </c>
      <c r="C42" s="192">
        <v>7.6826803868088279E-3</v>
      </c>
      <c r="D42" s="192">
        <f t="shared" si="0"/>
        <v>5.5313534284766833E-2</v>
      </c>
      <c r="E42" s="192">
        <v>1.0313534284766834E-2</v>
      </c>
      <c r="F42" s="192">
        <v>0.25</v>
      </c>
    </row>
    <row r="43" spans="1:6" ht="16">
      <c r="A43" s="190" t="s">
        <v>248</v>
      </c>
      <c r="B43" s="191" t="s">
        <v>481</v>
      </c>
      <c r="C43" s="192">
        <v>2.0743237044383835E-2</v>
      </c>
      <c r="D43" s="192">
        <f t="shared" si="0"/>
        <v>7.2846542568870451E-2</v>
      </c>
      <c r="E43" s="192">
        <v>2.7846542568870453E-2</v>
      </c>
      <c r="F43" s="192">
        <v>0.35</v>
      </c>
    </row>
    <row r="44" spans="1:6" ht="16">
      <c r="A44" s="190" t="s">
        <v>507</v>
      </c>
      <c r="B44" s="191" t="s">
        <v>482</v>
      </c>
      <c r="C44" s="192">
        <v>7.0808704231754685E-2</v>
      </c>
      <c r="D44" s="192">
        <f t="shared" si="0"/>
        <v>0.14005640765793431</v>
      </c>
      <c r="E44" s="192">
        <v>9.5056407657934314E-2</v>
      </c>
      <c r="F44" s="192">
        <v>0.3</v>
      </c>
    </row>
    <row r="45" spans="1:6" ht="16">
      <c r="A45" s="190" t="s">
        <v>508</v>
      </c>
      <c r="B45" s="191" t="s">
        <v>494</v>
      </c>
      <c r="C45" s="192">
        <v>9.8082219604926024E-2</v>
      </c>
      <c r="D45" s="192">
        <f t="shared" si="0"/>
        <v>0.17666945436885656</v>
      </c>
      <c r="E45" s="192">
        <v>0.13166945436885658</v>
      </c>
      <c r="F45" s="192">
        <v>0.28000000000000003</v>
      </c>
    </row>
    <row r="46" spans="1:6" ht="16">
      <c r="A46" s="190" t="s">
        <v>509</v>
      </c>
      <c r="B46" s="191" t="s">
        <v>478</v>
      </c>
      <c r="C46" s="192">
        <v>4.9041109802463012E-2</v>
      </c>
      <c r="D46" s="192">
        <f t="shared" si="0"/>
        <v>0.11083472718442829</v>
      </c>
      <c r="E46" s="192">
        <v>6.5834727184428288E-2</v>
      </c>
      <c r="F46" s="192">
        <v>0.2974</v>
      </c>
    </row>
    <row r="47" spans="1:6" ht="16">
      <c r="A47" s="190" t="s">
        <v>255</v>
      </c>
      <c r="B47" s="191" t="s">
        <v>478</v>
      </c>
      <c r="C47" s="192">
        <v>4.9041109802463012E-2</v>
      </c>
      <c r="D47" s="192">
        <f t="shared" si="0"/>
        <v>0.11083472718442829</v>
      </c>
      <c r="E47" s="192">
        <v>6.5834727184428288E-2</v>
      </c>
      <c r="F47" s="192">
        <v>0.3</v>
      </c>
    </row>
    <row r="48" spans="1:6" ht="16">
      <c r="A48" s="190" t="s">
        <v>257</v>
      </c>
      <c r="B48" s="191" t="s">
        <v>481</v>
      </c>
      <c r="C48" s="192">
        <v>2.0743237044383835E-2</v>
      </c>
      <c r="D48" s="192">
        <f t="shared" si="0"/>
        <v>7.2846542568870451E-2</v>
      </c>
      <c r="E48" s="192">
        <v>2.7846542568870453E-2</v>
      </c>
      <c r="F48" s="192">
        <v>0.18</v>
      </c>
    </row>
    <row r="49" spans="1:6" ht="16">
      <c r="A49" s="190" t="s">
        <v>510</v>
      </c>
      <c r="B49" s="191" t="s">
        <v>485</v>
      </c>
      <c r="C49" s="192">
        <v>0.13073361124886354</v>
      </c>
      <c r="D49" s="192">
        <f t="shared" si="0"/>
        <v>0.22050197507911562</v>
      </c>
      <c r="E49" s="192">
        <v>0.17550197507911564</v>
      </c>
      <c r="F49" s="192">
        <v>0.2853</v>
      </c>
    </row>
    <row r="50" spans="1:6" ht="16">
      <c r="A50" s="197" t="s">
        <v>511</v>
      </c>
      <c r="B50" s="191" t="s">
        <v>481</v>
      </c>
      <c r="C50" s="192">
        <v>2.0743237044383835E-2</v>
      </c>
      <c r="D50" s="192">
        <f t="shared" si="0"/>
        <v>7.2846542568870451E-2</v>
      </c>
      <c r="E50" s="192">
        <v>2.7846542568870453E-2</v>
      </c>
      <c r="F50" s="192">
        <v>0.22</v>
      </c>
    </row>
    <row r="51" spans="1:6" ht="16">
      <c r="A51" s="190" t="s">
        <v>259</v>
      </c>
      <c r="B51" s="191" t="s">
        <v>481</v>
      </c>
      <c r="C51" s="192">
        <v>2.0743237044383835E-2</v>
      </c>
      <c r="D51" s="192">
        <f t="shared" si="0"/>
        <v>7.2846542568870451E-2</v>
      </c>
      <c r="E51" s="192">
        <v>2.7846542568870453E-2</v>
      </c>
      <c r="F51" s="192">
        <v>0.125</v>
      </c>
    </row>
    <row r="52" spans="1:6" ht="16">
      <c r="A52" s="190" t="s">
        <v>512</v>
      </c>
      <c r="B52" s="191" t="s">
        <v>492</v>
      </c>
      <c r="C52" s="192">
        <v>6.5302783287875029E-3</v>
      </c>
      <c r="D52" s="192">
        <f t="shared" si="0"/>
        <v>5.3766504142051808E-2</v>
      </c>
      <c r="E52" s="192">
        <v>8.7665041420518092E-3</v>
      </c>
      <c r="F52" s="192">
        <v>0.19</v>
      </c>
    </row>
    <row r="53" spans="1:6" ht="16">
      <c r="A53" s="190" t="s">
        <v>263</v>
      </c>
      <c r="B53" s="191" t="s">
        <v>487</v>
      </c>
      <c r="C53" s="192">
        <v>0</v>
      </c>
      <c r="D53" s="192">
        <f t="shared" si="0"/>
        <v>4.4999999999999998E-2</v>
      </c>
      <c r="E53" s="192">
        <v>0</v>
      </c>
      <c r="F53" s="192">
        <v>0.22</v>
      </c>
    </row>
    <row r="54" spans="1:6" ht="16">
      <c r="A54" s="190" t="s">
        <v>265</v>
      </c>
      <c r="B54" s="191" t="s">
        <v>486</v>
      </c>
      <c r="C54" s="192">
        <v>3.9181669972725021E-2</v>
      </c>
      <c r="D54" s="192">
        <f t="shared" si="0"/>
        <v>9.7599024852310853E-2</v>
      </c>
      <c r="E54" s="192">
        <v>5.2599024852310855E-2</v>
      </c>
      <c r="F54" s="192">
        <v>0.27</v>
      </c>
    </row>
    <row r="55" spans="1:6" ht="16">
      <c r="A55" s="190" t="s">
        <v>267</v>
      </c>
      <c r="B55" s="191" t="s">
        <v>513</v>
      </c>
      <c r="C55" s="192">
        <v>0.10896601681957188</v>
      </c>
      <c r="D55" s="192">
        <f t="shared" si="0"/>
        <v>0.19128029460560964</v>
      </c>
      <c r="E55" s="192">
        <v>0.14628029460560965</v>
      </c>
      <c r="F55" s="192">
        <v>0.25</v>
      </c>
    </row>
    <row r="56" spans="1:6" ht="16">
      <c r="A56" s="190" t="s">
        <v>269</v>
      </c>
      <c r="B56" s="191" t="s">
        <v>497</v>
      </c>
      <c r="C56" s="192">
        <v>8.1692501446400528E-2</v>
      </c>
      <c r="D56" s="192">
        <f t="shared" si="0"/>
        <v>0.15466724789468733</v>
      </c>
      <c r="E56" s="192">
        <v>0.10966724789468733</v>
      </c>
      <c r="F56" s="192">
        <v>0.22500000000000001</v>
      </c>
    </row>
    <row r="57" spans="1:6" ht="16">
      <c r="A57" s="190" t="s">
        <v>271</v>
      </c>
      <c r="B57" s="191" t="s">
        <v>513</v>
      </c>
      <c r="C57" s="192">
        <v>0.10896601681957188</v>
      </c>
      <c r="D57" s="192">
        <f t="shared" si="0"/>
        <v>0.19128029460560964</v>
      </c>
      <c r="E57" s="192">
        <v>0.14628029460560965</v>
      </c>
      <c r="F57" s="192">
        <v>0.3</v>
      </c>
    </row>
    <row r="58" spans="1:6" ht="16">
      <c r="A58" s="190" t="s">
        <v>273</v>
      </c>
      <c r="B58" s="191" t="s">
        <v>506</v>
      </c>
      <c r="C58" s="192">
        <v>7.6826803868088279E-3</v>
      </c>
      <c r="D58" s="192">
        <f t="shared" si="0"/>
        <v>5.5313534284766833E-2</v>
      </c>
      <c r="E58" s="192">
        <v>1.0313534284766834E-2</v>
      </c>
      <c r="F58" s="192">
        <v>0.2</v>
      </c>
    </row>
    <row r="59" spans="1:6" ht="16">
      <c r="A59" s="190" t="s">
        <v>275</v>
      </c>
      <c r="B59" s="191" t="s">
        <v>494</v>
      </c>
      <c r="C59" s="192">
        <v>9.8082219604926024E-2</v>
      </c>
      <c r="D59" s="192">
        <f t="shared" si="0"/>
        <v>0.17666945436885656</v>
      </c>
      <c r="E59" s="192">
        <v>0.13166945436885658</v>
      </c>
      <c r="F59" s="192">
        <v>0.3</v>
      </c>
    </row>
    <row r="60" spans="1:6" ht="16">
      <c r="A60" s="190" t="s">
        <v>514</v>
      </c>
      <c r="B60" s="194" t="s">
        <v>479</v>
      </c>
      <c r="C60" s="195">
        <v>4.2915086193622262E-2</v>
      </c>
      <c r="D60" s="192">
        <f t="shared" si="0"/>
        <v>0.14861091058162493</v>
      </c>
      <c r="E60" s="195">
        <v>0.10361091058162493</v>
      </c>
      <c r="F60" s="195">
        <v>0.31595749426030023</v>
      </c>
    </row>
    <row r="61" spans="1:6" ht="16">
      <c r="A61" s="190" t="s">
        <v>277</v>
      </c>
      <c r="B61" s="191" t="s">
        <v>478</v>
      </c>
      <c r="C61" s="192">
        <v>4.9041109802463012E-2</v>
      </c>
      <c r="D61" s="192">
        <f t="shared" si="0"/>
        <v>0.11083472718442829</v>
      </c>
      <c r="E61" s="192">
        <v>6.5834727184428288E-2</v>
      </c>
      <c r="F61" s="192">
        <v>0.2</v>
      </c>
    </row>
    <row r="62" spans="1:6" ht="16">
      <c r="A62" s="190" t="s">
        <v>279</v>
      </c>
      <c r="B62" s="191" t="s">
        <v>488</v>
      </c>
      <c r="C62" s="192">
        <v>4.3535188858583353E-3</v>
      </c>
      <c r="D62" s="192">
        <f t="shared" si="0"/>
        <v>5.0844336094701202E-2</v>
      </c>
      <c r="E62" s="192">
        <v>5.8443360947012038E-3</v>
      </c>
      <c r="F62" s="192">
        <v>0.2</v>
      </c>
    </row>
    <row r="63" spans="1:6" ht="16">
      <c r="A63" s="190" t="s">
        <v>281</v>
      </c>
      <c r="B63" s="191" t="s">
        <v>477</v>
      </c>
      <c r="C63" s="192">
        <v>5.3778762707661788E-3</v>
      </c>
      <c r="D63" s="192">
        <f t="shared" si="0"/>
        <v>5.2219473999336782E-2</v>
      </c>
      <c r="E63" s="192">
        <v>7.219473999336784E-3</v>
      </c>
      <c r="F63" s="192">
        <v>0.25</v>
      </c>
    </row>
    <row r="64" spans="1:6" ht="16">
      <c r="A64" s="190" t="s">
        <v>515</v>
      </c>
      <c r="B64" s="194" t="s">
        <v>479</v>
      </c>
      <c r="C64" s="195">
        <v>4.2915086193622262E-2</v>
      </c>
      <c r="D64" s="192">
        <f t="shared" si="0"/>
        <v>0.14861091058162493</v>
      </c>
      <c r="E64" s="195">
        <v>0.10361091058162493</v>
      </c>
      <c r="F64" s="195">
        <v>0.31595749426030023</v>
      </c>
    </row>
    <row r="65" spans="1:6" ht="16">
      <c r="A65" s="190" t="s">
        <v>283</v>
      </c>
      <c r="B65" s="191" t="s">
        <v>497</v>
      </c>
      <c r="C65" s="192">
        <v>8.1692501446400528E-2</v>
      </c>
      <c r="D65" s="192">
        <f t="shared" si="0"/>
        <v>0.15466724789468733</v>
      </c>
      <c r="E65" s="192">
        <v>0.10966724789468733</v>
      </c>
      <c r="F65" s="192">
        <v>0.3</v>
      </c>
    </row>
    <row r="66" spans="1:6" ht="16">
      <c r="A66" s="193" t="s">
        <v>285</v>
      </c>
      <c r="B66" s="191" t="s">
        <v>479</v>
      </c>
      <c r="C66" s="192">
        <v>4.9041109802463012E-2</v>
      </c>
      <c r="D66" s="192">
        <f t="shared" si="0"/>
        <v>0.11083472718442829</v>
      </c>
      <c r="E66" s="192">
        <v>6.5834727184428288E-2</v>
      </c>
      <c r="F66" s="192">
        <v>0.31</v>
      </c>
    </row>
    <row r="67" spans="1:6" ht="16">
      <c r="A67" s="190" t="s">
        <v>287</v>
      </c>
      <c r="B67" s="191" t="s">
        <v>499</v>
      </c>
      <c r="C67" s="192">
        <v>3.2779436317050999E-2</v>
      </c>
      <c r="D67" s="192">
        <f t="shared" si="0"/>
        <v>8.9004412948338496E-2</v>
      </c>
      <c r="E67" s="192">
        <v>4.4004412948338498E-2</v>
      </c>
      <c r="F67" s="192">
        <v>0.15</v>
      </c>
    </row>
    <row r="68" spans="1:6" ht="16">
      <c r="A68" s="190" t="s">
        <v>289</v>
      </c>
      <c r="B68" s="191" t="s">
        <v>487</v>
      </c>
      <c r="C68" s="192">
        <v>0</v>
      </c>
      <c r="D68" s="192">
        <f t="shared" si="0"/>
        <v>4.4999999999999998E-2</v>
      </c>
      <c r="E68" s="192">
        <v>0</v>
      </c>
      <c r="F68" s="192">
        <v>0.3</v>
      </c>
    </row>
    <row r="69" spans="1:6" ht="16">
      <c r="A69" s="190" t="s">
        <v>291</v>
      </c>
      <c r="B69" s="191" t="s">
        <v>513</v>
      </c>
      <c r="C69" s="192">
        <v>0.10896601681957188</v>
      </c>
      <c r="D69" s="192">
        <f t="shared" si="0"/>
        <v>0.19128029460560964</v>
      </c>
      <c r="E69" s="192">
        <v>0.14628029460560965</v>
      </c>
      <c r="F69" s="192">
        <v>0.25</v>
      </c>
    </row>
    <row r="70" spans="1:6" ht="16">
      <c r="A70" s="190" t="s">
        <v>516</v>
      </c>
      <c r="B70" s="194" t="s">
        <v>479</v>
      </c>
      <c r="C70" s="195">
        <v>9.5882201472833571E-3</v>
      </c>
      <c r="D70" s="192">
        <f t="shared" ref="D70:D133" si="1">$B$1+E70</f>
        <v>0.10387160629364336</v>
      </c>
      <c r="E70" s="195">
        <v>5.8871606293643367E-2</v>
      </c>
      <c r="F70" s="195">
        <v>0.24707349543413576</v>
      </c>
    </row>
    <row r="71" spans="1:6" ht="16">
      <c r="A71" s="190" t="s">
        <v>293</v>
      </c>
      <c r="B71" s="191" t="s">
        <v>489</v>
      </c>
      <c r="C71" s="192">
        <v>2.7273515373171343E-2</v>
      </c>
      <c r="D71" s="192">
        <f t="shared" si="1"/>
        <v>8.161304671092226E-2</v>
      </c>
      <c r="E71" s="192">
        <v>3.6613046710922262E-2</v>
      </c>
      <c r="F71" s="192">
        <v>0.22</v>
      </c>
    </row>
    <row r="72" spans="1:6" ht="16">
      <c r="A72" s="190" t="s">
        <v>517</v>
      </c>
      <c r="B72" s="194" t="s">
        <v>479</v>
      </c>
      <c r="C72" s="195">
        <f>J72</f>
        <v>0</v>
      </c>
      <c r="D72" s="192">
        <f t="shared" si="1"/>
        <v>4.4999999999999998E-2</v>
      </c>
      <c r="E72" s="195">
        <f>H72</f>
        <v>0</v>
      </c>
      <c r="F72" s="195">
        <f>K72</f>
        <v>0</v>
      </c>
    </row>
    <row r="73" spans="1:6" ht="16">
      <c r="A73" s="190" t="s">
        <v>295</v>
      </c>
      <c r="B73" s="191" t="s">
        <v>489</v>
      </c>
      <c r="C73" s="192">
        <v>2.7273515373171343E-2</v>
      </c>
      <c r="D73" s="192">
        <f t="shared" si="1"/>
        <v>8.161304671092226E-2</v>
      </c>
      <c r="E73" s="192">
        <v>3.6613046710922262E-2</v>
      </c>
      <c r="F73" s="192">
        <v>0.25</v>
      </c>
    </row>
    <row r="74" spans="1:6" ht="16">
      <c r="A74" s="190" t="s">
        <v>518</v>
      </c>
      <c r="B74" s="191" t="s">
        <v>506</v>
      </c>
      <c r="C74" s="192">
        <v>7.6826803868088279E-3</v>
      </c>
      <c r="D74" s="192">
        <f t="shared" si="1"/>
        <v>5.5313534284766833E-2</v>
      </c>
      <c r="E74" s="192">
        <v>1.0313534284766834E-2</v>
      </c>
      <c r="F74" s="192">
        <v>0</v>
      </c>
    </row>
    <row r="75" spans="1:6" ht="16">
      <c r="A75" s="196" t="s">
        <v>297</v>
      </c>
      <c r="B75" s="191" t="s">
        <v>479</v>
      </c>
      <c r="C75" s="192">
        <v>9.8082219604926024E-2</v>
      </c>
      <c r="D75" s="192">
        <f t="shared" si="1"/>
        <v>0.17666945436885656</v>
      </c>
      <c r="E75" s="192">
        <v>0.13166945436885658</v>
      </c>
      <c r="F75" s="192">
        <v>0.29149999999999998</v>
      </c>
    </row>
    <row r="76" spans="1:6" ht="16">
      <c r="A76" s="193" t="s">
        <v>519</v>
      </c>
      <c r="B76" s="191" t="s">
        <v>479</v>
      </c>
      <c r="C76" s="192">
        <v>5.9924907017108842E-2</v>
      </c>
      <c r="D76" s="192">
        <f t="shared" si="1"/>
        <v>0.12544556742118129</v>
      </c>
      <c r="E76" s="192">
        <v>8.0445567421181294E-2</v>
      </c>
      <c r="F76" s="192">
        <v>0.29149999999999998</v>
      </c>
    </row>
    <row r="77" spans="1:6" ht="16">
      <c r="A77" s="196" t="s">
        <v>520</v>
      </c>
      <c r="B77" s="191" t="s">
        <v>479</v>
      </c>
      <c r="C77" s="192">
        <v>1.7414075543433345E-2</v>
      </c>
      <c r="D77" s="192">
        <f t="shared" si="1"/>
        <v>6.8377344378804827E-2</v>
      </c>
      <c r="E77" s="192">
        <v>2.3377344378804829E-2</v>
      </c>
      <c r="F77" s="192">
        <v>0.18640000000000001</v>
      </c>
    </row>
    <row r="78" spans="1:6" ht="16">
      <c r="A78" s="193" t="s">
        <v>521</v>
      </c>
      <c r="B78" s="191" t="s">
        <v>479</v>
      </c>
      <c r="C78" s="192">
        <v>0.10896601681957191</v>
      </c>
      <c r="D78" s="192">
        <f t="shared" si="1"/>
        <v>0.19128029460560964</v>
      </c>
      <c r="E78" s="192">
        <v>0.14628029460560965</v>
      </c>
      <c r="F78" s="192">
        <v>0.18640000000000001</v>
      </c>
    </row>
    <row r="79" spans="1:6" ht="16">
      <c r="A79" s="190" t="s">
        <v>299</v>
      </c>
      <c r="B79" s="191" t="s">
        <v>478</v>
      </c>
      <c r="C79" s="192">
        <v>4.9041109802463012E-2</v>
      </c>
      <c r="D79" s="192">
        <f t="shared" si="1"/>
        <v>0.11083472718442829</v>
      </c>
      <c r="E79" s="192">
        <v>6.5834727184428288E-2</v>
      </c>
      <c r="F79" s="192">
        <v>0.25</v>
      </c>
    </row>
    <row r="80" spans="1:6" ht="16">
      <c r="A80" s="190" t="s">
        <v>301</v>
      </c>
      <c r="B80" s="191" t="s">
        <v>492</v>
      </c>
      <c r="C80" s="192">
        <v>6.5302783287875029E-3</v>
      </c>
      <c r="D80" s="192">
        <f t="shared" si="1"/>
        <v>5.3766504142051808E-2</v>
      </c>
      <c r="E80" s="192">
        <v>8.7665041420518092E-3</v>
      </c>
      <c r="F80" s="192">
        <v>0.16500000000000001</v>
      </c>
    </row>
    <row r="81" spans="1:6" ht="16">
      <c r="A81" s="190" t="s">
        <v>303</v>
      </c>
      <c r="B81" s="191" t="s">
        <v>481</v>
      </c>
      <c r="C81" s="192">
        <v>2.0743237044383835E-2</v>
      </c>
      <c r="D81" s="192">
        <f t="shared" si="1"/>
        <v>7.2846542568870451E-2</v>
      </c>
      <c r="E81" s="192">
        <v>2.7846542568870453E-2</v>
      </c>
      <c r="F81" s="192">
        <v>0.09</v>
      </c>
    </row>
    <row r="82" spans="1:6" ht="16">
      <c r="A82" s="190" t="s">
        <v>305</v>
      </c>
      <c r="B82" s="191" t="s">
        <v>496</v>
      </c>
      <c r="C82" s="192">
        <v>9.2192164641705932E-3</v>
      </c>
      <c r="D82" s="192">
        <f t="shared" si="1"/>
        <v>5.73762411417202E-2</v>
      </c>
      <c r="E82" s="192">
        <v>1.2376241141720201E-2</v>
      </c>
      <c r="F82" s="192">
        <v>0.2</v>
      </c>
    </row>
    <row r="83" spans="1:6" ht="16">
      <c r="A83" s="190" t="s">
        <v>307</v>
      </c>
      <c r="B83" s="191" t="s">
        <v>522</v>
      </c>
      <c r="C83" s="192">
        <v>2.3944353872220846E-2</v>
      </c>
      <c r="D83" s="192">
        <f t="shared" si="1"/>
        <v>7.7143848520856623E-2</v>
      </c>
      <c r="E83" s="192">
        <v>3.2143848520856624E-2</v>
      </c>
      <c r="F83" s="192">
        <v>0.3</v>
      </c>
    </row>
    <row r="84" spans="1:6" ht="16">
      <c r="A84" s="190" t="s">
        <v>309</v>
      </c>
      <c r="B84" s="191" t="s">
        <v>481</v>
      </c>
      <c r="C84" s="192">
        <v>2.0743237044383835E-2</v>
      </c>
      <c r="D84" s="192">
        <f t="shared" si="1"/>
        <v>7.2846542568870451E-2</v>
      </c>
      <c r="E84" s="192">
        <v>2.7846542568870453E-2</v>
      </c>
      <c r="F84" s="192">
        <v>0.22</v>
      </c>
    </row>
    <row r="85" spans="1:6" ht="16">
      <c r="A85" s="196" t="s">
        <v>523</v>
      </c>
      <c r="B85" s="191" t="s">
        <v>479</v>
      </c>
      <c r="C85" s="192">
        <v>7.0808704231754685E-2</v>
      </c>
      <c r="D85" s="192">
        <f t="shared" si="1"/>
        <v>0.14005640765793431</v>
      </c>
      <c r="E85" s="192">
        <v>9.5056407657934314E-2</v>
      </c>
      <c r="F85" s="192">
        <v>0.20230000000000001</v>
      </c>
    </row>
    <row r="86" spans="1:6" ht="16">
      <c r="A86" s="190" t="s">
        <v>311</v>
      </c>
      <c r="B86" s="191" t="s">
        <v>497</v>
      </c>
      <c r="C86" s="192">
        <v>8.1692501446400528E-2</v>
      </c>
      <c r="D86" s="192">
        <f t="shared" si="1"/>
        <v>0.15466724789468733</v>
      </c>
      <c r="E86" s="192">
        <v>0.10966724789468733</v>
      </c>
      <c r="F86" s="192">
        <v>0.15</v>
      </c>
    </row>
    <row r="87" spans="1:6" ht="16">
      <c r="A87" s="190" t="s">
        <v>313</v>
      </c>
      <c r="B87" s="191" t="s">
        <v>492</v>
      </c>
      <c r="C87" s="192">
        <v>6.5302783287875029E-3</v>
      </c>
      <c r="D87" s="192">
        <f t="shared" si="1"/>
        <v>5.3766504142051808E-2</v>
      </c>
      <c r="E87" s="192">
        <v>8.7665041420518092E-3</v>
      </c>
      <c r="F87" s="192">
        <v>0.125</v>
      </c>
    </row>
    <row r="88" spans="1:6" ht="16">
      <c r="A88" s="190" t="s">
        <v>315</v>
      </c>
      <c r="B88" s="191" t="s">
        <v>492</v>
      </c>
      <c r="C88" s="192">
        <v>6.5302783287875029E-3</v>
      </c>
      <c r="D88" s="192">
        <f t="shared" si="1"/>
        <v>5.3766504142051808E-2</v>
      </c>
      <c r="E88" s="192">
        <v>8.7665041420518092E-3</v>
      </c>
      <c r="F88" s="192">
        <v>0</v>
      </c>
    </row>
    <row r="89" spans="1:6" ht="16">
      <c r="A89" s="190" t="s">
        <v>317</v>
      </c>
      <c r="B89" s="191" t="s">
        <v>506</v>
      </c>
      <c r="C89" s="192">
        <v>7.6826803868088279E-3</v>
      </c>
      <c r="D89" s="192">
        <f t="shared" si="1"/>
        <v>5.5313534284766833E-2</v>
      </c>
      <c r="E89" s="192">
        <v>1.0313534284766834E-2</v>
      </c>
      <c r="F89" s="192">
        <v>0.23</v>
      </c>
    </row>
    <row r="90" spans="1:6" ht="16">
      <c r="A90" s="190" t="s">
        <v>319</v>
      </c>
      <c r="B90" s="191" t="s">
        <v>522</v>
      </c>
      <c r="C90" s="192">
        <v>2.3944353872220846E-2</v>
      </c>
      <c r="D90" s="192">
        <f t="shared" si="1"/>
        <v>7.7143848520856623E-2</v>
      </c>
      <c r="E90" s="192">
        <v>3.2143848520856624E-2</v>
      </c>
      <c r="F90" s="192">
        <v>0.24</v>
      </c>
    </row>
    <row r="91" spans="1:6" ht="16">
      <c r="A91" s="190" t="s">
        <v>524</v>
      </c>
      <c r="B91" s="191" t="s">
        <v>486</v>
      </c>
      <c r="C91" s="192">
        <v>3.9181669972725021E-2</v>
      </c>
      <c r="D91" s="192">
        <f t="shared" si="1"/>
        <v>9.7599024852310853E-2</v>
      </c>
      <c r="E91" s="192">
        <v>5.2599024852310855E-2</v>
      </c>
      <c r="F91" s="192">
        <v>0.25</v>
      </c>
    </row>
    <row r="92" spans="1:6" ht="16">
      <c r="A92" s="190" t="s">
        <v>321</v>
      </c>
      <c r="B92" s="191" t="s">
        <v>478</v>
      </c>
      <c r="C92" s="192">
        <v>4.9041109802463012E-2</v>
      </c>
      <c r="D92" s="192">
        <f t="shared" si="1"/>
        <v>0.11083472718442829</v>
      </c>
      <c r="E92" s="192">
        <v>6.5834727184428288E-2</v>
      </c>
      <c r="F92" s="192">
        <v>0.25</v>
      </c>
    </row>
    <row r="93" spans="1:6" ht="16">
      <c r="A93" s="190" t="s">
        <v>323</v>
      </c>
      <c r="B93" s="191" t="s">
        <v>506</v>
      </c>
      <c r="C93" s="192">
        <v>7.6826803868088279E-3</v>
      </c>
      <c r="D93" s="192">
        <f t="shared" si="1"/>
        <v>5.5313534284766833E-2</v>
      </c>
      <c r="E93" s="192">
        <v>1.0313534284766834E-2</v>
      </c>
      <c r="F93" s="192">
        <v>0.30620000000000003</v>
      </c>
    </row>
    <row r="94" spans="1:6" ht="16">
      <c r="A94" s="190" t="s">
        <v>525</v>
      </c>
      <c r="B94" s="191" t="s">
        <v>492</v>
      </c>
      <c r="C94" s="192">
        <v>6.5302783287875029E-3</v>
      </c>
      <c r="D94" s="192">
        <f t="shared" si="1"/>
        <v>5.3766504142051808E-2</v>
      </c>
      <c r="E94" s="192">
        <v>8.7665041420518092E-3</v>
      </c>
      <c r="F94" s="192">
        <v>0</v>
      </c>
    </row>
    <row r="95" spans="1:6" ht="16">
      <c r="A95" s="190" t="s">
        <v>325</v>
      </c>
      <c r="B95" s="191" t="s">
        <v>478</v>
      </c>
      <c r="C95" s="192">
        <v>4.9041109802463012E-2</v>
      </c>
      <c r="D95" s="192">
        <f t="shared" si="1"/>
        <v>0.11083472718442829</v>
      </c>
      <c r="E95" s="192">
        <v>6.5834727184428288E-2</v>
      </c>
      <c r="F95" s="192">
        <v>0.2</v>
      </c>
    </row>
    <row r="96" spans="1:6" ht="16">
      <c r="A96" s="190" t="s">
        <v>327</v>
      </c>
      <c r="B96" s="191" t="s">
        <v>481</v>
      </c>
      <c r="C96" s="192">
        <v>2.0743237044383835E-2</v>
      </c>
      <c r="D96" s="192">
        <f t="shared" si="1"/>
        <v>7.2846542568870451E-2</v>
      </c>
      <c r="E96" s="192">
        <v>2.7846542568870453E-2</v>
      </c>
      <c r="F96" s="192">
        <v>0.2</v>
      </c>
    </row>
    <row r="97" spans="1:6" ht="16">
      <c r="A97" s="190" t="s">
        <v>329</v>
      </c>
      <c r="B97" s="191" t="s">
        <v>482</v>
      </c>
      <c r="C97" s="192">
        <v>7.0808704231754685E-2</v>
      </c>
      <c r="D97" s="192">
        <f t="shared" si="1"/>
        <v>0.14005640765793431</v>
      </c>
      <c r="E97" s="192">
        <v>9.5056407657934314E-2</v>
      </c>
      <c r="F97" s="192">
        <v>0.3</v>
      </c>
    </row>
    <row r="98" spans="1:6" ht="16">
      <c r="A98" s="193" t="s">
        <v>526</v>
      </c>
      <c r="B98" s="191" t="s">
        <v>479</v>
      </c>
      <c r="C98" s="192">
        <v>0.17499999999999999</v>
      </c>
      <c r="D98" s="192">
        <f t="shared" si="1"/>
        <v>0.27992692770782934</v>
      </c>
      <c r="E98" s="192">
        <v>0.23492692770782936</v>
      </c>
      <c r="F98" s="192">
        <v>0.23100000000000001</v>
      </c>
    </row>
    <row r="99" spans="1:6" ht="16">
      <c r="A99" s="190" t="s">
        <v>331</v>
      </c>
      <c r="B99" s="191" t="s">
        <v>506</v>
      </c>
      <c r="C99" s="192">
        <v>7.6826803868088279E-3</v>
      </c>
      <c r="D99" s="192">
        <f t="shared" si="1"/>
        <v>5.5313534284766833E-2</v>
      </c>
      <c r="E99" s="192">
        <v>1.0313534284766834E-2</v>
      </c>
      <c r="F99" s="192">
        <v>0.15</v>
      </c>
    </row>
    <row r="100" spans="1:6" ht="16">
      <c r="A100" s="190" t="s">
        <v>527</v>
      </c>
      <c r="B100" s="191" t="s">
        <v>482</v>
      </c>
      <c r="C100" s="192">
        <v>7.0808704231754685E-2</v>
      </c>
      <c r="D100" s="192">
        <f t="shared" si="1"/>
        <v>0.14005640765793431</v>
      </c>
      <c r="E100" s="192">
        <v>9.5056407657934314E-2</v>
      </c>
      <c r="F100" s="192">
        <v>0.1</v>
      </c>
    </row>
    <row r="101" spans="1:6" ht="16">
      <c r="A101" s="190" t="s">
        <v>333</v>
      </c>
      <c r="B101" s="191" t="s">
        <v>513</v>
      </c>
      <c r="C101" s="192">
        <v>0.10896601681957188</v>
      </c>
      <c r="D101" s="192">
        <f t="shared" si="1"/>
        <v>0.19128029460560964</v>
      </c>
      <c r="E101" s="192">
        <v>0.14628029460560965</v>
      </c>
      <c r="F101" s="192">
        <v>0.26860000000000001</v>
      </c>
    </row>
    <row r="102" spans="1:6" ht="16">
      <c r="A102" s="190" t="s">
        <v>335</v>
      </c>
      <c r="B102" s="191" t="s">
        <v>498</v>
      </c>
      <c r="C102" s="192">
        <v>1.3060556657575006E-2</v>
      </c>
      <c r="D102" s="192">
        <f t="shared" si="1"/>
        <v>6.2533008284103617E-2</v>
      </c>
      <c r="E102" s="192">
        <v>1.7533008284103618E-2</v>
      </c>
      <c r="F102" s="192">
        <v>0.2</v>
      </c>
    </row>
    <row r="103" spans="1:6" ht="16">
      <c r="A103" s="190" t="s">
        <v>337</v>
      </c>
      <c r="B103" s="191" t="s">
        <v>491</v>
      </c>
      <c r="C103" s="192">
        <v>0.17499999999999999</v>
      </c>
      <c r="D103" s="192">
        <f t="shared" si="1"/>
        <v>0.27992692770782934</v>
      </c>
      <c r="E103" s="192">
        <v>0.23492692770782936</v>
      </c>
      <c r="F103" s="192">
        <v>0.17</v>
      </c>
    </row>
    <row r="104" spans="1:6" ht="16">
      <c r="A104" s="196" t="s">
        <v>528</v>
      </c>
      <c r="B104" s="191" t="s">
        <v>479</v>
      </c>
      <c r="C104" s="192">
        <v>0.13073361124886354</v>
      </c>
      <c r="D104" s="192">
        <f t="shared" si="1"/>
        <v>0.22050197507911562</v>
      </c>
      <c r="E104" s="192">
        <v>0.17550197507911564</v>
      </c>
      <c r="F104" s="192">
        <v>0.29149999999999998</v>
      </c>
    </row>
    <row r="105" spans="1:6" ht="16">
      <c r="A105" s="193" t="s">
        <v>339</v>
      </c>
      <c r="B105" s="191" t="s">
        <v>479</v>
      </c>
      <c r="C105" s="192">
        <v>2.0743237044383835E-2</v>
      </c>
      <c r="D105" s="192">
        <f t="shared" si="1"/>
        <v>7.2846542568870451E-2</v>
      </c>
      <c r="E105" s="192">
        <v>2.7846542568870453E-2</v>
      </c>
      <c r="F105" s="192">
        <v>0.2</v>
      </c>
    </row>
    <row r="106" spans="1:6" ht="16">
      <c r="A106" s="190" t="s">
        <v>341</v>
      </c>
      <c r="B106" s="191" t="s">
        <v>487</v>
      </c>
      <c r="C106" s="192">
        <v>0</v>
      </c>
      <c r="D106" s="192">
        <f t="shared" si="1"/>
        <v>4.4999999999999998E-2</v>
      </c>
      <c r="E106" s="192">
        <v>0</v>
      </c>
      <c r="F106" s="192">
        <v>0.125</v>
      </c>
    </row>
    <row r="107" spans="1:6" ht="16">
      <c r="A107" s="190" t="s">
        <v>343</v>
      </c>
      <c r="B107" s="191" t="s">
        <v>496</v>
      </c>
      <c r="C107" s="192">
        <v>9.2192164641705932E-3</v>
      </c>
      <c r="D107" s="192">
        <f t="shared" si="1"/>
        <v>5.73762411417202E-2</v>
      </c>
      <c r="E107" s="192">
        <v>1.2376241141720201E-2</v>
      </c>
      <c r="F107" s="192">
        <v>0.15</v>
      </c>
    </row>
    <row r="108" spans="1:6" ht="16">
      <c r="A108" s="190" t="s">
        <v>345</v>
      </c>
      <c r="B108" s="191" t="s">
        <v>487</v>
      </c>
      <c r="C108" s="192">
        <v>0</v>
      </c>
      <c r="D108" s="192">
        <f t="shared" si="1"/>
        <v>4.4999999999999998E-2</v>
      </c>
      <c r="E108" s="192">
        <v>0</v>
      </c>
      <c r="F108" s="192">
        <v>0.24940000000000001</v>
      </c>
    </row>
    <row r="109" spans="1:6" ht="16">
      <c r="A109" s="190" t="s">
        <v>529</v>
      </c>
      <c r="B109" s="191" t="s">
        <v>492</v>
      </c>
      <c r="C109" s="192">
        <v>6.5302783287875029E-3</v>
      </c>
      <c r="D109" s="192">
        <f t="shared" si="1"/>
        <v>5.3766504142051808E-2</v>
      </c>
      <c r="E109" s="192">
        <v>8.7665041420518092E-3</v>
      </c>
      <c r="F109" s="192">
        <v>0.26860000000000001</v>
      </c>
    </row>
    <row r="110" spans="1:6" ht="16">
      <c r="A110" s="190" t="s">
        <v>530</v>
      </c>
      <c r="B110" s="191" t="s">
        <v>486</v>
      </c>
      <c r="C110" s="192">
        <v>3.9181669972725021E-2</v>
      </c>
      <c r="D110" s="192">
        <f t="shared" si="1"/>
        <v>9.7599024852310853E-2</v>
      </c>
      <c r="E110" s="192">
        <v>5.2599024852310855E-2</v>
      </c>
      <c r="F110" s="192">
        <v>0.1</v>
      </c>
    </row>
    <row r="111" spans="1:6" ht="16">
      <c r="A111" s="196" t="s">
        <v>351</v>
      </c>
      <c r="B111" s="191" t="s">
        <v>479</v>
      </c>
      <c r="C111" s="192">
        <v>7.0808704231754685E-2</v>
      </c>
      <c r="D111" s="192">
        <f t="shared" si="1"/>
        <v>0.14005640765793431</v>
      </c>
      <c r="E111" s="192">
        <v>9.5056407657934314E-2</v>
      </c>
      <c r="F111" s="192">
        <v>0.2</v>
      </c>
    </row>
    <row r="112" spans="1:6" ht="16">
      <c r="A112" s="193" t="s">
        <v>353</v>
      </c>
      <c r="B112" s="191" t="s">
        <v>479</v>
      </c>
      <c r="C112" s="192">
        <v>0.13073361124886354</v>
      </c>
      <c r="D112" s="192">
        <f t="shared" si="1"/>
        <v>0.22050197507911562</v>
      </c>
      <c r="E112" s="192">
        <v>0.17550197507911564</v>
      </c>
      <c r="F112" s="192">
        <v>0.3</v>
      </c>
    </row>
    <row r="113" spans="1:6" ht="16">
      <c r="A113" s="190" t="s">
        <v>355</v>
      </c>
      <c r="B113" s="191" t="s">
        <v>498</v>
      </c>
      <c r="C113" s="192">
        <v>1.3060556657575006E-2</v>
      </c>
      <c r="D113" s="192">
        <f t="shared" si="1"/>
        <v>6.2533008284103617E-2</v>
      </c>
      <c r="E113" s="192">
        <v>1.7533008284103618E-2</v>
      </c>
      <c r="F113" s="192">
        <v>0.24</v>
      </c>
    </row>
    <row r="114" spans="1:6" ht="16">
      <c r="A114" s="190" t="s">
        <v>357</v>
      </c>
      <c r="B114" s="191" t="s">
        <v>497</v>
      </c>
      <c r="C114" s="192">
        <v>8.1692501446400528E-2</v>
      </c>
      <c r="D114" s="192">
        <f t="shared" si="1"/>
        <v>0.15466724789468733</v>
      </c>
      <c r="E114" s="192">
        <v>0.10966724789468733</v>
      </c>
      <c r="F114" s="192">
        <v>0.26860000000000001</v>
      </c>
    </row>
    <row r="115" spans="1:6" ht="16">
      <c r="A115" s="190" t="s">
        <v>531</v>
      </c>
      <c r="B115" s="191" t="s">
        <v>494</v>
      </c>
      <c r="C115" s="192">
        <v>9.8082219604926024E-2</v>
      </c>
      <c r="D115" s="192">
        <f t="shared" si="1"/>
        <v>0.17666945436885656</v>
      </c>
      <c r="E115" s="192">
        <v>0.13166945436885658</v>
      </c>
      <c r="F115" s="192">
        <v>0.26860000000000001</v>
      </c>
    </row>
    <row r="116" spans="1:6" ht="16">
      <c r="A116" s="190" t="s">
        <v>359</v>
      </c>
      <c r="B116" s="191" t="s">
        <v>496</v>
      </c>
      <c r="C116" s="192">
        <v>9.2192164641705932E-3</v>
      </c>
      <c r="D116" s="192">
        <f t="shared" si="1"/>
        <v>5.73762411417202E-2</v>
      </c>
      <c r="E116" s="192">
        <v>1.2376241141720201E-2</v>
      </c>
      <c r="F116" s="192">
        <v>0.35</v>
      </c>
    </row>
    <row r="117" spans="1:6" ht="16">
      <c r="A117" s="190" t="s">
        <v>532</v>
      </c>
      <c r="B117" s="194" t="s">
        <v>479</v>
      </c>
      <c r="C117" s="195">
        <f>J117</f>
        <v>0</v>
      </c>
      <c r="D117" s="192">
        <f t="shared" si="1"/>
        <v>4.4999999999999998E-2</v>
      </c>
      <c r="E117" s="195">
        <f>H117</f>
        <v>0</v>
      </c>
      <c r="F117" s="195">
        <f>K117</f>
        <v>0</v>
      </c>
    </row>
    <row r="118" spans="1:6" ht="16">
      <c r="A118" s="190" t="s">
        <v>361</v>
      </c>
      <c r="B118" s="191" t="s">
        <v>522</v>
      </c>
      <c r="C118" s="192">
        <v>2.3944353872220846E-2</v>
      </c>
      <c r="D118" s="192">
        <f t="shared" si="1"/>
        <v>7.7143848520856623E-2</v>
      </c>
      <c r="E118" s="192">
        <v>3.2143848520856624E-2</v>
      </c>
      <c r="F118" s="192">
        <v>0.15</v>
      </c>
    </row>
    <row r="119" spans="1:6" ht="16">
      <c r="A119" s="190" t="s">
        <v>363</v>
      </c>
      <c r="B119" s="191" t="s">
        <v>481</v>
      </c>
      <c r="C119" s="192">
        <v>2.0743237044383835E-2</v>
      </c>
      <c r="D119" s="192">
        <f t="shared" si="1"/>
        <v>7.2846542568870451E-2</v>
      </c>
      <c r="E119" s="192">
        <v>2.7846542568870453E-2</v>
      </c>
      <c r="F119" s="192">
        <v>0.3</v>
      </c>
    </row>
    <row r="120" spans="1:6" ht="16">
      <c r="A120" s="190" t="s">
        <v>533</v>
      </c>
      <c r="B120" s="194" t="s">
        <v>479</v>
      </c>
      <c r="C120" s="195">
        <v>9.5882201472833571E-3</v>
      </c>
      <c r="D120" s="192">
        <f t="shared" si="1"/>
        <v>0.10387160629364336</v>
      </c>
      <c r="E120" s="195">
        <v>5.8871606293643367E-2</v>
      </c>
      <c r="F120" s="195">
        <v>0.24707349543413576</v>
      </c>
    </row>
    <row r="121" spans="1:6" ht="16">
      <c r="A121" s="190" t="s">
        <v>365</v>
      </c>
      <c r="B121" s="191" t="s">
        <v>482</v>
      </c>
      <c r="C121" s="192">
        <v>7.0808704231754685E-2</v>
      </c>
      <c r="D121" s="192">
        <f t="shared" si="1"/>
        <v>0.14005640765793431</v>
      </c>
      <c r="E121" s="192">
        <v>9.5056407657934314E-2</v>
      </c>
      <c r="F121" s="192">
        <v>0.12</v>
      </c>
    </row>
    <row r="122" spans="1:6" ht="16">
      <c r="A122" s="190" t="s">
        <v>367</v>
      </c>
      <c r="B122" s="191" t="s">
        <v>482</v>
      </c>
      <c r="C122" s="192">
        <v>7.0808704231754685E-2</v>
      </c>
      <c r="D122" s="192">
        <f t="shared" si="1"/>
        <v>0.14005640765793431</v>
      </c>
      <c r="E122" s="192">
        <v>9.5056407657934314E-2</v>
      </c>
      <c r="F122" s="192">
        <v>0.25</v>
      </c>
    </row>
    <row r="123" spans="1:6" ht="16">
      <c r="A123" s="190" t="s">
        <v>369</v>
      </c>
      <c r="B123" s="191" t="s">
        <v>478</v>
      </c>
      <c r="C123" s="192">
        <v>4.9041109802463012E-2</v>
      </c>
      <c r="D123" s="192">
        <f t="shared" si="1"/>
        <v>0.11083472718442829</v>
      </c>
      <c r="E123" s="192">
        <v>6.5834727184428288E-2</v>
      </c>
      <c r="F123" s="192">
        <v>0.15</v>
      </c>
    </row>
    <row r="124" spans="1:6" ht="16">
      <c r="A124" s="190" t="s">
        <v>534</v>
      </c>
      <c r="B124" s="191" t="s">
        <v>522</v>
      </c>
      <c r="C124" s="192">
        <v>2.3944353872220846E-2</v>
      </c>
      <c r="D124" s="192">
        <f t="shared" si="1"/>
        <v>7.7143848520856623E-2</v>
      </c>
      <c r="E124" s="192">
        <v>3.2143848520856624E-2</v>
      </c>
      <c r="F124" s="192">
        <v>0.2853</v>
      </c>
    </row>
    <row r="125" spans="1:6" ht="16">
      <c r="A125" s="190" t="s">
        <v>371</v>
      </c>
      <c r="B125" s="191" t="s">
        <v>489</v>
      </c>
      <c r="C125" s="192">
        <v>2.7273515373171343E-2</v>
      </c>
      <c r="D125" s="192">
        <f t="shared" si="1"/>
        <v>8.161304671092226E-2</v>
      </c>
      <c r="E125" s="192">
        <v>3.6613046710922262E-2</v>
      </c>
      <c r="F125" s="192">
        <v>0.32</v>
      </c>
    </row>
    <row r="126" spans="1:6" ht="16">
      <c r="A126" s="190" t="s">
        <v>373</v>
      </c>
      <c r="B126" s="191" t="s">
        <v>494</v>
      </c>
      <c r="C126" s="192">
        <v>9.8082219604926024E-2</v>
      </c>
      <c r="D126" s="192">
        <f t="shared" si="1"/>
        <v>0.17666945436885656</v>
      </c>
      <c r="E126" s="192">
        <v>0.13166945436885658</v>
      </c>
      <c r="F126" s="192">
        <v>0.32</v>
      </c>
    </row>
    <row r="127" spans="1:6" ht="16">
      <c r="A127" s="196" t="s">
        <v>375</v>
      </c>
      <c r="B127" s="191" t="s">
        <v>479</v>
      </c>
      <c r="C127" s="192">
        <v>0.10896601681957191</v>
      </c>
      <c r="D127" s="192">
        <f t="shared" si="1"/>
        <v>0.19128029460560964</v>
      </c>
      <c r="E127" s="192">
        <v>0.14628029460560965</v>
      </c>
      <c r="F127" s="192">
        <v>0.25</v>
      </c>
    </row>
    <row r="128" spans="1:6" ht="16">
      <c r="A128" s="190" t="s">
        <v>377</v>
      </c>
      <c r="B128" s="191" t="s">
        <v>478</v>
      </c>
      <c r="C128" s="192">
        <v>4.9041109802463012E-2</v>
      </c>
      <c r="D128" s="192">
        <f t="shared" si="1"/>
        <v>0.11083472718442829</v>
      </c>
      <c r="E128" s="192">
        <v>6.5834727184428288E-2</v>
      </c>
      <c r="F128" s="192">
        <v>0.32</v>
      </c>
    </row>
    <row r="129" spans="1:6" ht="16">
      <c r="A129" s="190" t="s">
        <v>379</v>
      </c>
      <c r="B129" s="191" t="s">
        <v>487</v>
      </c>
      <c r="C129" s="192">
        <v>0</v>
      </c>
      <c r="D129" s="192">
        <f t="shared" si="1"/>
        <v>4.4999999999999998E-2</v>
      </c>
      <c r="E129" s="192">
        <v>0</v>
      </c>
      <c r="F129" s="192">
        <v>0.25800000000000001</v>
      </c>
    </row>
    <row r="130" spans="1:6" ht="16">
      <c r="A130" s="190" t="s">
        <v>535</v>
      </c>
      <c r="B130" s="194" t="s">
        <v>479</v>
      </c>
      <c r="C130" s="195">
        <v>0.1054310997313879</v>
      </c>
      <c r="D130" s="192">
        <f t="shared" si="1"/>
        <v>0.23253488197001548</v>
      </c>
      <c r="E130" s="195">
        <v>0.1875348819700155</v>
      </c>
      <c r="F130" s="195">
        <v>0.2724561140242252</v>
      </c>
    </row>
    <row r="131" spans="1:6" ht="16">
      <c r="A131" s="190" t="s">
        <v>381</v>
      </c>
      <c r="B131" s="191" t="s">
        <v>487</v>
      </c>
      <c r="C131" s="192">
        <v>0</v>
      </c>
      <c r="D131" s="192">
        <f t="shared" si="1"/>
        <v>4.4999999999999998E-2</v>
      </c>
      <c r="E131" s="192">
        <v>0</v>
      </c>
      <c r="F131" s="192">
        <v>0.28000000000000003</v>
      </c>
    </row>
    <row r="132" spans="1:6" ht="16">
      <c r="A132" s="190" t="s">
        <v>383</v>
      </c>
      <c r="B132" s="191" t="s">
        <v>482</v>
      </c>
      <c r="C132" s="192">
        <v>7.0808704231754685E-2</v>
      </c>
      <c r="D132" s="192">
        <f t="shared" si="1"/>
        <v>0.14005640765793431</v>
      </c>
      <c r="E132" s="192">
        <v>9.5056407657934314E-2</v>
      </c>
      <c r="F132" s="192">
        <v>0.3</v>
      </c>
    </row>
    <row r="133" spans="1:6" ht="16">
      <c r="A133" s="190" t="s">
        <v>536</v>
      </c>
      <c r="B133" s="191" t="s">
        <v>494</v>
      </c>
      <c r="C133" s="192">
        <v>9.8082219604926024E-2</v>
      </c>
      <c r="D133" s="192">
        <f t="shared" si="1"/>
        <v>0.17666945436885656</v>
      </c>
      <c r="E133" s="192">
        <v>0.13166945436885658</v>
      </c>
      <c r="F133" s="192">
        <v>0.26860000000000001</v>
      </c>
    </row>
    <row r="134" spans="1:6" ht="16">
      <c r="A134" s="190" t="s">
        <v>385</v>
      </c>
      <c r="B134" s="191" t="s">
        <v>497</v>
      </c>
      <c r="C134" s="192">
        <v>8.1692501446400528E-2</v>
      </c>
      <c r="D134" s="192">
        <f t="shared" ref="D134:D195" si="2">$B$1+E134</f>
        <v>0.15466724789468733</v>
      </c>
      <c r="E134" s="192">
        <v>0.10966724789468733</v>
      </c>
      <c r="F134" s="192">
        <v>0.3</v>
      </c>
    </row>
    <row r="135" spans="1:6" ht="16">
      <c r="A135" s="190" t="s">
        <v>386</v>
      </c>
      <c r="B135" s="191" t="s">
        <v>487</v>
      </c>
      <c r="C135" s="192">
        <v>0</v>
      </c>
      <c r="D135" s="192">
        <f t="shared" si="2"/>
        <v>4.4999999999999998E-2</v>
      </c>
      <c r="E135" s="192">
        <v>0</v>
      </c>
      <c r="F135" s="192">
        <v>0.22</v>
      </c>
    </row>
    <row r="136" spans="1:6" ht="16">
      <c r="A136" s="190" t="s">
        <v>387</v>
      </c>
      <c r="B136" s="191" t="s">
        <v>489</v>
      </c>
      <c r="C136" s="192">
        <v>2.7273515373171343E-2</v>
      </c>
      <c r="D136" s="192">
        <f t="shared" si="2"/>
        <v>8.161304671092226E-2</v>
      </c>
      <c r="E136" s="192">
        <v>3.6613046710922262E-2</v>
      </c>
      <c r="F136" s="192">
        <v>0.15</v>
      </c>
    </row>
    <row r="137" spans="1:6" ht="16">
      <c r="A137" s="190" t="s">
        <v>388</v>
      </c>
      <c r="B137" s="191" t="s">
        <v>513</v>
      </c>
      <c r="C137" s="192">
        <v>0.10896601681957188</v>
      </c>
      <c r="D137" s="192">
        <f t="shared" si="2"/>
        <v>0.19128029460560964</v>
      </c>
      <c r="E137" s="192">
        <v>0.14628029460560965</v>
      </c>
      <c r="F137" s="192">
        <v>0.28999999999999998</v>
      </c>
    </row>
    <row r="138" spans="1:6" ht="16">
      <c r="A138" s="190" t="s">
        <v>537</v>
      </c>
      <c r="B138" s="194" t="s">
        <v>479</v>
      </c>
      <c r="C138" s="195">
        <v>1.6082653627874467E-2</v>
      </c>
      <c r="D138" s="192">
        <f t="shared" si="2"/>
        <v>0.11258999089248985</v>
      </c>
      <c r="E138" s="195">
        <v>6.7589990892489848E-2</v>
      </c>
      <c r="F138" s="195">
        <v>0.18760152153615242</v>
      </c>
    </row>
    <row r="139" spans="1:6" ht="16">
      <c r="A139" s="190" t="s">
        <v>389</v>
      </c>
      <c r="B139" s="191" t="s">
        <v>481</v>
      </c>
      <c r="C139" s="192">
        <v>2.0743237044383835E-2</v>
      </c>
      <c r="D139" s="192">
        <f t="shared" si="2"/>
        <v>7.2846542568870451E-2</v>
      </c>
      <c r="E139" s="192">
        <v>2.7846542568870453E-2</v>
      </c>
      <c r="F139" s="192">
        <v>0.25</v>
      </c>
    </row>
    <row r="140" spans="1:6" ht="16">
      <c r="A140" s="190" t="s">
        <v>390</v>
      </c>
      <c r="B140" s="191" t="s">
        <v>490</v>
      </c>
      <c r="C140" s="192">
        <v>5.9924907017108855E-2</v>
      </c>
      <c r="D140" s="192">
        <f t="shared" si="2"/>
        <v>0.12544556742118129</v>
      </c>
      <c r="E140" s="192">
        <v>8.0445567421181294E-2</v>
      </c>
      <c r="F140" s="192">
        <v>0.3</v>
      </c>
    </row>
    <row r="141" spans="1:6" ht="16">
      <c r="A141" s="190" t="s">
        <v>391</v>
      </c>
      <c r="B141" s="191" t="s">
        <v>489</v>
      </c>
      <c r="C141" s="192">
        <v>2.7273515373171343E-2</v>
      </c>
      <c r="D141" s="192">
        <f t="shared" si="2"/>
        <v>8.161304671092226E-2</v>
      </c>
      <c r="E141" s="192">
        <v>3.6613046710922262E-2</v>
      </c>
      <c r="F141" s="192">
        <v>0.1</v>
      </c>
    </row>
    <row r="142" spans="1:6" ht="16">
      <c r="A142" s="190" t="s">
        <v>392</v>
      </c>
      <c r="B142" s="191" t="s">
        <v>502</v>
      </c>
      <c r="C142" s="192">
        <v>1.7414075543433341E-2</v>
      </c>
      <c r="D142" s="192">
        <f t="shared" si="2"/>
        <v>6.8377344378804827E-2</v>
      </c>
      <c r="E142" s="192">
        <v>2.3377344378804829E-2</v>
      </c>
      <c r="F142" s="192">
        <v>0.29499999999999998</v>
      </c>
    </row>
    <row r="143" spans="1:6" ht="16">
      <c r="A143" s="190" t="s">
        <v>393</v>
      </c>
      <c r="B143" s="191" t="s">
        <v>481</v>
      </c>
      <c r="C143" s="192">
        <v>2.0743237044383835E-2</v>
      </c>
      <c r="D143" s="192">
        <f t="shared" si="2"/>
        <v>7.2846542568870451E-2</v>
      </c>
      <c r="E143" s="192">
        <v>2.7846542568870453E-2</v>
      </c>
      <c r="F143" s="192">
        <v>0.25</v>
      </c>
    </row>
    <row r="144" spans="1:6" ht="16">
      <c r="A144" s="190" t="s">
        <v>394</v>
      </c>
      <c r="B144" s="191" t="s">
        <v>496</v>
      </c>
      <c r="C144" s="192">
        <v>9.2192164641705932E-3</v>
      </c>
      <c r="D144" s="192">
        <f t="shared" si="2"/>
        <v>5.73762411417202E-2</v>
      </c>
      <c r="E144" s="192">
        <v>1.2376241141720201E-2</v>
      </c>
      <c r="F144" s="192">
        <v>0.19</v>
      </c>
    </row>
    <row r="145" spans="1:6" ht="16">
      <c r="A145" s="190" t="s">
        <v>395</v>
      </c>
      <c r="B145" s="191" t="s">
        <v>498</v>
      </c>
      <c r="C145" s="192">
        <v>1.3060556657575006E-2</v>
      </c>
      <c r="D145" s="192">
        <f t="shared" si="2"/>
        <v>6.2533008284103617E-2</v>
      </c>
      <c r="E145" s="192">
        <v>1.7533008284103618E-2</v>
      </c>
      <c r="F145" s="192">
        <v>0.21</v>
      </c>
    </row>
    <row r="146" spans="1:6" ht="16">
      <c r="A146" s="190" t="s">
        <v>396</v>
      </c>
      <c r="B146" s="191" t="s">
        <v>492</v>
      </c>
      <c r="C146" s="192">
        <v>6.5302783287875029E-3</v>
      </c>
      <c r="D146" s="192">
        <f t="shared" si="2"/>
        <v>5.3766504142051808E-2</v>
      </c>
      <c r="E146" s="192">
        <v>8.7665041420518092E-3</v>
      </c>
      <c r="F146" s="192">
        <v>0.1</v>
      </c>
    </row>
    <row r="147" spans="1:6" ht="16">
      <c r="A147" s="190" t="s">
        <v>538</v>
      </c>
      <c r="B147" s="191" t="s">
        <v>498</v>
      </c>
      <c r="C147" s="192">
        <v>1.3060556657575006E-2</v>
      </c>
      <c r="D147" s="192">
        <f t="shared" si="2"/>
        <v>6.2533008284103617E-2</v>
      </c>
      <c r="E147" s="192">
        <v>1.7533008284103618E-2</v>
      </c>
      <c r="F147" s="192">
        <v>0</v>
      </c>
    </row>
    <row r="148" spans="1:6" ht="16">
      <c r="A148" s="190" t="s">
        <v>539</v>
      </c>
      <c r="B148" s="194" t="s">
        <v>479</v>
      </c>
      <c r="C148" s="195">
        <v>1.2518555898193178E-2</v>
      </c>
      <c r="D148" s="192">
        <f t="shared" si="2"/>
        <v>0.10780540500857855</v>
      </c>
      <c r="E148" s="195">
        <v>6.2805405008578549E-2</v>
      </c>
      <c r="F148" s="195">
        <v>0.2576437502455447</v>
      </c>
    </row>
    <row r="149" spans="1:6" ht="16">
      <c r="A149" s="190" t="s">
        <v>397</v>
      </c>
      <c r="B149" s="191" t="s">
        <v>522</v>
      </c>
      <c r="C149" s="192">
        <v>2.3944353872220846E-2</v>
      </c>
      <c r="D149" s="192">
        <f t="shared" si="2"/>
        <v>7.7143848520856623E-2</v>
      </c>
      <c r="E149" s="192">
        <v>3.2143848520856624E-2</v>
      </c>
      <c r="F149" s="192">
        <v>0.16</v>
      </c>
    </row>
    <row r="150" spans="1:6" ht="16">
      <c r="A150" s="190" t="s">
        <v>540</v>
      </c>
      <c r="B150" s="191" t="s">
        <v>479</v>
      </c>
      <c r="C150" s="192">
        <v>4.9041109802463012E-2</v>
      </c>
      <c r="D150" s="192">
        <f t="shared" si="2"/>
        <v>0.11083472718442829</v>
      </c>
      <c r="E150" s="192">
        <v>6.5834727184428288E-2</v>
      </c>
      <c r="F150" s="192">
        <v>0.25</v>
      </c>
    </row>
    <row r="151" spans="1:6" ht="16">
      <c r="A151" s="190" t="s">
        <v>399</v>
      </c>
      <c r="B151" s="191" t="s">
        <v>490</v>
      </c>
      <c r="C151" s="192">
        <v>5.9924907017108855E-2</v>
      </c>
      <c r="D151" s="192">
        <f t="shared" si="2"/>
        <v>0.12544556742118129</v>
      </c>
      <c r="E151" s="192">
        <v>8.0445567421181294E-2</v>
      </c>
      <c r="F151" s="192">
        <v>0.3</v>
      </c>
    </row>
    <row r="152" spans="1:6" ht="16">
      <c r="A152" s="190" t="s">
        <v>541</v>
      </c>
      <c r="B152" s="194" t="s">
        <v>479</v>
      </c>
      <c r="C152" s="195">
        <v>0.1054310997313879</v>
      </c>
      <c r="D152" s="192">
        <f t="shared" si="2"/>
        <v>0.23253488197001548</v>
      </c>
      <c r="E152" s="195">
        <v>0.1875348819700155</v>
      </c>
      <c r="F152" s="195">
        <v>0.2724561140242252</v>
      </c>
    </row>
    <row r="153" spans="1:6" ht="16">
      <c r="A153" s="190" t="s">
        <v>400</v>
      </c>
      <c r="B153" s="191" t="s">
        <v>506</v>
      </c>
      <c r="C153" s="192">
        <v>7.6826803868088279E-3</v>
      </c>
      <c r="D153" s="192">
        <f t="shared" si="2"/>
        <v>5.5313534284766833E-2</v>
      </c>
      <c r="E153" s="192">
        <v>1.0313534284766834E-2</v>
      </c>
      <c r="F153" s="192">
        <v>0.2</v>
      </c>
    </row>
    <row r="154" spans="1:6" ht="16">
      <c r="A154" s="190" t="s">
        <v>401</v>
      </c>
      <c r="B154" s="191" t="s">
        <v>486</v>
      </c>
      <c r="C154" s="192">
        <v>3.9181669972725021E-2</v>
      </c>
      <c r="D154" s="192">
        <f t="shared" si="2"/>
        <v>9.7599024852310853E-2</v>
      </c>
      <c r="E154" s="192">
        <v>5.2599024852310855E-2</v>
      </c>
      <c r="F154" s="192">
        <v>0.3</v>
      </c>
    </row>
    <row r="155" spans="1:6" ht="16">
      <c r="A155" s="190" t="s">
        <v>402</v>
      </c>
      <c r="B155" s="191" t="s">
        <v>499</v>
      </c>
      <c r="C155" s="192">
        <v>3.2779436317050999E-2</v>
      </c>
      <c r="D155" s="192">
        <f t="shared" si="2"/>
        <v>8.9004412948338496E-2</v>
      </c>
      <c r="E155" s="192">
        <v>4.4004412948338498E-2</v>
      </c>
      <c r="F155" s="192">
        <v>0.15</v>
      </c>
    </row>
    <row r="156" spans="1:6" ht="16">
      <c r="A156" s="190" t="s">
        <v>542</v>
      </c>
      <c r="B156" s="191" t="s">
        <v>489</v>
      </c>
      <c r="C156" s="192">
        <v>2.7273515373171343E-2</v>
      </c>
      <c r="D156" s="192">
        <f t="shared" si="2"/>
        <v>8.161304671092226E-2</v>
      </c>
      <c r="E156" s="192">
        <v>3.6613046710922262E-2</v>
      </c>
      <c r="F156" s="192">
        <v>0</v>
      </c>
    </row>
    <row r="157" spans="1:6" ht="16">
      <c r="A157" s="193" t="s">
        <v>403</v>
      </c>
      <c r="B157" s="191" t="s">
        <v>479</v>
      </c>
      <c r="C157" s="192">
        <v>0.10896601681957191</v>
      </c>
      <c r="D157" s="192">
        <f t="shared" si="2"/>
        <v>0.19128029460560964</v>
      </c>
      <c r="E157" s="192">
        <v>0.14628029460560965</v>
      </c>
      <c r="F157" s="192">
        <v>0.3</v>
      </c>
    </row>
    <row r="158" spans="1:6" ht="16">
      <c r="A158" s="190" t="s">
        <v>404</v>
      </c>
      <c r="B158" s="191" t="s">
        <v>487</v>
      </c>
      <c r="C158" s="192">
        <v>0</v>
      </c>
      <c r="D158" s="192">
        <f t="shared" si="2"/>
        <v>4.4999999999999998E-2</v>
      </c>
      <c r="E158" s="192">
        <v>0</v>
      </c>
      <c r="F158" s="192">
        <v>0.17</v>
      </c>
    </row>
    <row r="159" spans="1:6" ht="16">
      <c r="A159" s="190" t="s">
        <v>405</v>
      </c>
      <c r="B159" s="191" t="s">
        <v>496</v>
      </c>
      <c r="C159" s="192">
        <v>9.2192164641705932E-3</v>
      </c>
      <c r="D159" s="192">
        <f t="shared" si="2"/>
        <v>5.73762411417202E-2</v>
      </c>
      <c r="E159" s="192">
        <v>1.2376241141720201E-2</v>
      </c>
      <c r="F159" s="192">
        <v>0.21</v>
      </c>
    </row>
    <row r="160" spans="1:6" ht="16">
      <c r="A160" s="190" t="s">
        <v>406</v>
      </c>
      <c r="B160" s="191" t="s">
        <v>498</v>
      </c>
      <c r="C160" s="192">
        <v>1.3060556657575006E-2</v>
      </c>
      <c r="D160" s="192">
        <f t="shared" si="2"/>
        <v>6.2533008284103617E-2</v>
      </c>
      <c r="E160" s="192">
        <v>1.7533008284103618E-2</v>
      </c>
      <c r="F160" s="192">
        <v>0.19</v>
      </c>
    </row>
    <row r="161" spans="1:6" ht="16">
      <c r="A161" s="190" t="s">
        <v>407</v>
      </c>
      <c r="B161" s="191" t="s">
        <v>497</v>
      </c>
      <c r="C161" s="192">
        <v>8.1692501446400528E-2</v>
      </c>
      <c r="D161" s="192">
        <f t="shared" si="2"/>
        <v>0.15466724789468733</v>
      </c>
      <c r="E161" s="192">
        <v>0.10966724789468733</v>
      </c>
      <c r="F161" s="192">
        <v>0.3</v>
      </c>
    </row>
    <row r="162" spans="1:6" ht="16">
      <c r="A162" s="196" t="s">
        <v>543</v>
      </c>
      <c r="B162" s="191" t="s">
        <v>479</v>
      </c>
      <c r="C162" s="192">
        <v>0.13073361124886354</v>
      </c>
      <c r="D162" s="192">
        <f t="shared" si="2"/>
        <v>0.22050197507911562</v>
      </c>
      <c r="E162" s="192">
        <v>0.17550197507911564</v>
      </c>
      <c r="F162" s="192">
        <v>0.29149999999999998</v>
      </c>
    </row>
    <row r="163" spans="1:6" ht="16">
      <c r="A163" s="190" t="s">
        <v>408</v>
      </c>
      <c r="B163" s="191" t="s">
        <v>499</v>
      </c>
      <c r="C163" s="192">
        <v>3.2779436317050999E-2</v>
      </c>
      <c r="D163" s="192">
        <f t="shared" si="2"/>
        <v>8.9004412948338496E-2</v>
      </c>
      <c r="E163" s="192">
        <v>4.4004412948338498E-2</v>
      </c>
      <c r="F163" s="192">
        <v>0.27</v>
      </c>
    </row>
    <row r="164" spans="1:6" ht="16">
      <c r="A164" s="190" t="s">
        <v>409</v>
      </c>
      <c r="B164" s="191" t="s">
        <v>477</v>
      </c>
      <c r="C164" s="192">
        <v>5.3778762707661788E-3</v>
      </c>
      <c r="D164" s="192">
        <f t="shared" si="2"/>
        <v>5.2219473999336782E-2</v>
      </c>
      <c r="E164" s="192">
        <v>7.219473999336784E-3</v>
      </c>
      <c r="F164" s="192">
        <v>0.25</v>
      </c>
    </row>
    <row r="165" spans="1:6" ht="16">
      <c r="A165" s="190" t="s">
        <v>410</v>
      </c>
      <c r="B165" s="191" t="s">
        <v>502</v>
      </c>
      <c r="C165" s="192">
        <v>1.7414075543433341E-2</v>
      </c>
      <c r="D165" s="192">
        <f t="shared" si="2"/>
        <v>6.8377344378804827E-2</v>
      </c>
      <c r="E165" s="192">
        <v>2.3377344378804829E-2</v>
      </c>
      <c r="F165" s="192">
        <v>0.25</v>
      </c>
    </row>
    <row r="166" spans="1:6" ht="16">
      <c r="A166" s="190" t="s">
        <v>411</v>
      </c>
      <c r="B166" s="191" t="s">
        <v>485</v>
      </c>
      <c r="C166" s="192">
        <v>0.13073361124886354</v>
      </c>
      <c r="D166" s="192">
        <f t="shared" si="2"/>
        <v>0.22050197507911562</v>
      </c>
      <c r="E166" s="192">
        <v>0.17550197507911564</v>
      </c>
      <c r="F166" s="192">
        <v>0.24</v>
      </c>
    </row>
    <row r="167" spans="1:6" ht="16">
      <c r="A167" s="190" t="s">
        <v>544</v>
      </c>
      <c r="B167" s="191" t="s">
        <v>499</v>
      </c>
      <c r="C167" s="192">
        <v>3.2779436317050999E-2</v>
      </c>
      <c r="D167" s="192">
        <f t="shared" si="2"/>
        <v>8.9004412948338496E-2</v>
      </c>
      <c r="E167" s="192">
        <v>4.4004412948338498E-2</v>
      </c>
      <c r="F167" s="192">
        <v>0.2853</v>
      </c>
    </row>
    <row r="168" spans="1:6" ht="16">
      <c r="A168" s="190" t="s">
        <v>545</v>
      </c>
      <c r="B168" s="191" t="s">
        <v>482</v>
      </c>
      <c r="C168" s="192">
        <v>7.0808704231754685E-2</v>
      </c>
      <c r="D168" s="192">
        <f t="shared" si="2"/>
        <v>0.14005640765793431</v>
      </c>
      <c r="E168" s="192">
        <v>9.5056407657934314E-2</v>
      </c>
      <c r="F168" s="192">
        <v>0.2853</v>
      </c>
    </row>
    <row r="169" spans="1:6" ht="16">
      <c r="A169" s="193" t="s">
        <v>412</v>
      </c>
      <c r="B169" s="191" t="s">
        <v>479</v>
      </c>
      <c r="C169" s="192">
        <v>0.17499999999999999</v>
      </c>
      <c r="D169" s="192">
        <f t="shared" si="2"/>
        <v>0.27992692770782934</v>
      </c>
      <c r="E169" s="192">
        <v>0.23492692770782936</v>
      </c>
      <c r="F169" s="192">
        <v>0.35</v>
      </c>
    </row>
    <row r="170" spans="1:6" ht="16">
      <c r="A170" s="190" t="s">
        <v>413</v>
      </c>
      <c r="B170" s="191" t="s">
        <v>513</v>
      </c>
      <c r="C170" s="192">
        <v>0.10896601681957188</v>
      </c>
      <c r="D170" s="192">
        <f t="shared" si="2"/>
        <v>0.19128029460560964</v>
      </c>
      <c r="E170" s="192">
        <v>0.14628029460560965</v>
      </c>
      <c r="F170" s="192">
        <v>0.36</v>
      </c>
    </row>
    <row r="171" spans="1:6" ht="16">
      <c r="A171" s="190" t="s">
        <v>546</v>
      </c>
      <c r="B171" s="191" t="s">
        <v>482</v>
      </c>
      <c r="C171" s="192">
        <v>7.0808704231754685E-2</v>
      </c>
      <c r="D171" s="192">
        <f t="shared" si="2"/>
        <v>0.14005640765793431</v>
      </c>
      <c r="E171" s="192">
        <v>9.5056407657934314E-2</v>
      </c>
      <c r="F171" s="192">
        <v>0.27500000000000002</v>
      </c>
    </row>
    <row r="172" spans="1:6" ht="16">
      <c r="A172" s="190" t="s">
        <v>414</v>
      </c>
      <c r="B172" s="191" t="s">
        <v>487</v>
      </c>
      <c r="C172" s="192">
        <v>0</v>
      </c>
      <c r="D172" s="192">
        <f t="shared" si="2"/>
        <v>4.4999999999999998E-2</v>
      </c>
      <c r="E172" s="192">
        <v>0</v>
      </c>
      <c r="F172" s="192">
        <v>0.20600000000000002</v>
      </c>
    </row>
    <row r="173" spans="1:6" ht="16">
      <c r="A173" s="190" t="s">
        <v>415</v>
      </c>
      <c r="B173" s="191" t="s">
        <v>487</v>
      </c>
      <c r="C173" s="192">
        <v>0</v>
      </c>
      <c r="D173" s="192">
        <f t="shared" si="2"/>
        <v>4.4999999999999998E-2</v>
      </c>
      <c r="E173" s="192">
        <v>0</v>
      </c>
      <c r="F173" s="192">
        <v>0.14599999999999999</v>
      </c>
    </row>
    <row r="174" spans="1:6" ht="16">
      <c r="A174" s="196" t="s">
        <v>547</v>
      </c>
      <c r="B174" s="191" t="s">
        <v>479</v>
      </c>
      <c r="C174" s="192">
        <v>0.17499999999999999</v>
      </c>
      <c r="D174" s="192">
        <f t="shared" si="2"/>
        <v>0.27992692770782934</v>
      </c>
      <c r="E174" s="192">
        <v>0.23492692770782936</v>
      </c>
      <c r="F174" s="192">
        <v>0.28000000000000003</v>
      </c>
    </row>
    <row r="175" spans="1:6" ht="16">
      <c r="A175" s="190" t="s">
        <v>417</v>
      </c>
      <c r="B175" s="191" t="s">
        <v>492</v>
      </c>
      <c r="C175" s="192">
        <v>6.5302783287875029E-3</v>
      </c>
      <c r="D175" s="192">
        <f t="shared" si="2"/>
        <v>5.3766504142051808E-2</v>
      </c>
      <c r="E175" s="192">
        <v>8.7665041420518092E-3</v>
      </c>
      <c r="F175" s="192">
        <v>0.2</v>
      </c>
    </row>
    <row r="176" spans="1:6" ht="16">
      <c r="A176" s="190" t="s">
        <v>548</v>
      </c>
      <c r="B176" s="191" t="s">
        <v>482</v>
      </c>
      <c r="C176" s="192">
        <v>7.0808704231754685E-2</v>
      </c>
      <c r="D176" s="192">
        <f t="shared" si="2"/>
        <v>0.14005640765793431</v>
      </c>
      <c r="E176" s="192">
        <v>9.5056407657934314E-2</v>
      </c>
      <c r="F176" s="192">
        <v>0.18</v>
      </c>
    </row>
    <row r="177" spans="1:6" ht="16">
      <c r="A177" s="190" t="s">
        <v>549</v>
      </c>
      <c r="B177" s="191" t="s">
        <v>490</v>
      </c>
      <c r="C177" s="192">
        <v>5.9924907017108855E-2</v>
      </c>
      <c r="D177" s="192">
        <f t="shared" si="2"/>
        <v>0.12544556742118129</v>
      </c>
      <c r="E177" s="192">
        <v>8.0445567421181294E-2</v>
      </c>
      <c r="F177" s="192">
        <v>0.3</v>
      </c>
    </row>
    <row r="178" spans="1:6" ht="16">
      <c r="A178" s="190" t="s">
        <v>419</v>
      </c>
      <c r="B178" s="191" t="s">
        <v>502</v>
      </c>
      <c r="C178" s="192">
        <v>1.7414075543433341E-2</v>
      </c>
      <c r="D178" s="192">
        <f t="shared" si="2"/>
        <v>6.8377344378804827E-2</v>
      </c>
      <c r="E178" s="192">
        <v>2.3377344378804829E-2</v>
      </c>
      <c r="F178" s="192">
        <v>0.2</v>
      </c>
    </row>
    <row r="179" spans="1:6" ht="16">
      <c r="A179" s="190" t="s">
        <v>550</v>
      </c>
      <c r="B179" s="191" t="s">
        <v>482</v>
      </c>
      <c r="C179" s="192">
        <v>7.0808704231754685E-2</v>
      </c>
      <c r="D179" s="192">
        <f t="shared" si="2"/>
        <v>0.14005640765793431</v>
      </c>
      <c r="E179" s="192">
        <v>9.5056407657934314E-2</v>
      </c>
      <c r="F179" s="192">
        <v>0.26860000000000001</v>
      </c>
    </row>
    <row r="180" spans="1:6" ht="16">
      <c r="A180" s="190" t="s">
        <v>551</v>
      </c>
      <c r="B180" s="191" t="s">
        <v>499</v>
      </c>
      <c r="C180" s="192">
        <v>3.2779436317050999E-2</v>
      </c>
      <c r="D180" s="192">
        <f t="shared" si="2"/>
        <v>8.9004412948338496E-2</v>
      </c>
      <c r="E180" s="192">
        <v>4.4004412948338498E-2</v>
      </c>
      <c r="F180" s="192">
        <v>0.3</v>
      </c>
    </row>
    <row r="181" spans="1:6" ht="16">
      <c r="A181" s="190" t="s">
        <v>421</v>
      </c>
      <c r="B181" s="191" t="s">
        <v>494</v>
      </c>
      <c r="C181" s="192">
        <v>9.8082219604926024E-2</v>
      </c>
      <c r="D181" s="192">
        <f t="shared" si="2"/>
        <v>0.17666945436885656</v>
      </c>
      <c r="E181" s="192">
        <v>0.13166945436885658</v>
      </c>
      <c r="F181" s="192">
        <v>0.15</v>
      </c>
    </row>
    <row r="182" spans="1:6" ht="16">
      <c r="A182" s="190" t="s">
        <v>422</v>
      </c>
      <c r="B182" s="191" t="s">
        <v>482</v>
      </c>
      <c r="C182" s="192">
        <v>7.0808704231754685E-2</v>
      </c>
      <c r="D182" s="192">
        <f t="shared" si="2"/>
        <v>0.14005640765793431</v>
      </c>
      <c r="E182" s="192">
        <v>9.5056407657934314E-2</v>
      </c>
      <c r="F182" s="192">
        <v>0.25</v>
      </c>
    </row>
    <row r="183" spans="1:6" ht="16">
      <c r="A183" s="198" t="s">
        <v>552</v>
      </c>
      <c r="B183" s="191" t="s">
        <v>502</v>
      </c>
      <c r="C183" s="192">
        <v>1.7414075543433341E-2</v>
      </c>
      <c r="D183" s="192">
        <f t="shared" si="2"/>
        <v>6.8377344378804827E-2</v>
      </c>
      <c r="E183" s="192">
        <v>2.3377344378804829E-2</v>
      </c>
      <c r="F183" s="192">
        <v>0</v>
      </c>
    </row>
    <row r="184" spans="1:6" ht="16">
      <c r="A184" s="190" t="s">
        <v>423</v>
      </c>
      <c r="B184" s="191" t="s">
        <v>490</v>
      </c>
      <c r="C184" s="192">
        <v>5.9924907017108855E-2</v>
      </c>
      <c r="D184" s="192">
        <f t="shared" si="2"/>
        <v>0.12544556742118129</v>
      </c>
      <c r="E184" s="192">
        <v>8.0445567421181294E-2</v>
      </c>
      <c r="F184" s="192">
        <v>0.3</v>
      </c>
    </row>
    <row r="185" spans="1:6" ht="16">
      <c r="A185" s="190" t="s">
        <v>424</v>
      </c>
      <c r="B185" s="191" t="s">
        <v>485</v>
      </c>
      <c r="C185" s="192">
        <v>0.13073361124886354</v>
      </c>
      <c r="D185" s="192">
        <f t="shared" si="2"/>
        <v>0.22050197507911562</v>
      </c>
      <c r="E185" s="192">
        <v>0.17550197507911564</v>
      </c>
      <c r="F185" s="192">
        <v>0.18</v>
      </c>
    </row>
    <row r="186" spans="1:6" ht="16">
      <c r="A186" s="190" t="s">
        <v>425</v>
      </c>
      <c r="B186" s="191" t="s">
        <v>477</v>
      </c>
      <c r="C186" s="192">
        <v>5.3778762707661788E-3</v>
      </c>
      <c r="D186" s="192">
        <f t="shared" si="2"/>
        <v>5.2219473999336782E-2</v>
      </c>
      <c r="E186" s="192">
        <v>7.219473999336784E-3</v>
      </c>
      <c r="F186" s="192">
        <v>0.25</v>
      </c>
    </row>
    <row r="187" spans="1:6" ht="16">
      <c r="A187" s="190" t="s">
        <v>426</v>
      </c>
      <c r="B187" s="191" t="s">
        <v>492</v>
      </c>
      <c r="C187" s="192">
        <v>6.5302783287875029E-3</v>
      </c>
      <c r="D187" s="192">
        <f t="shared" si="2"/>
        <v>5.3766504142051808E-2</v>
      </c>
      <c r="E187" s="192">
        <v>8.7665041420518092E-3</v>
      </c>
      <c r="F187" s="192">
        <v>0.25</v>
      </c>
    </row>
    <row r="188" spans="1:6" ht="16">
      <c r="A188" s="190" t="s">
        <v>436</v>
      </c>
      <c r="B188" s="191" t="s">
        <v>487</v>
      </c>
      <c r="C188" s="192">
        <v>0</v>
      </c>
      <c r="D188" s="192">
        <f t="shared" si="2"/>
        <v>4.4999999999999998E-2</v>
      </c>
      <c r="E188" s="192">
        <v>0</v>
      </c>
      <c r="F188" s="192">
        <v>0.25</v>
      </c>
    </row>
    <row r="189" spans="1:6" ht="16">
      <c r="A189" s="190" t="s">
        <v>427</v>
      </c>
      <c r="B189" s="191" t="s">
        <v>481</v>
      </c>
      <c r="C189" s="192">
        <v>2.0743237044383835E-2</v>
      </c>
      <c r="D189" s="192">
        <f t="shared" si="2"/>
        <v>7.2846542568870451E-2</v>
      </c>
      <c r="E189" s="192">
        <v>2.7846542568870453E-2</v>
      </c>
      <c r="F189" s="192">
        <v>0.25</v>
      </c>
    </row>
    <row r="190" spans="1:6" ht="16">
      <c r="A190" s="190" t="s">
        <v>428</v>
      </c>
      <c r="B190" s="191" t="s">
        <v>486</v>
      </c>
      <c r="C190" s="192">
        <v>3.9181669972725021E-2</v>
      </c>
      <c r="D190" s="192">
        <f t="shared" si="2"/>
        <v>9.7599024852310853E-2</v>
      </c>
      <c r="E190" s="192">
        <v>5.2599024852310855E-2</v>
      </c>
      <c r="F190" s="192">
        <v>0.15</v>
      </c>
    </row>
    <row r="191" spans="1:6" ht="16">
      <c r="A191" s="190" t="s">
        <v>429</v>
      </c>
      <c r="B191" s="191" t="s">
        <v>491</v>
      </c>
      <c r="C191" s="192">
        <v>0.17499999999999999</v>
      </c>
      <c r="D191" s="192">
        <f t="shared" si="2"/>
        <v>0.27992692770782934</v>
      </c>
      <c r="E191" s="192">
        <v>0.23492692770782936</v>
      </c>
      <c r="F191" s="192">
        <v>0.34</v>
      </c>
    </row>
    <row r="192" spans="1:6" ht="16">
      <c r="A192" s="190" t="s">
        <v>430</v>
      </c>
      <c r="B192" s="191" t="s">
        <v>499</v>
      </c>
      <c r="C192" s="192">
        <v>3.2779436317050999E-2</v>
      </c>
      <c r="D192" s="192">
        <f t="shared" si="2"/>
        <v>8.9004412948338496E-2</v>
      </c>
      <c r="E192" s="192">
        <v>4.4004412948338498E-2</v>
      </c>
      <c r="F192" s="192">
        <v>0.2</v>
      </c>
    </row>
    <row r="193" spans="1:6" ht="16">
      <c r="A193" s="193" t="s">
        <v>553</v>
      </c>
      <c r="B193" s="191" t="s">
        <v>479</v>
      </c>
      <c r="C193" s="192">
        <v>0.10896601681957191</v>
      </c>
      <c r="D193" s="192">
        <f t="shared" si="2"/>
        <v>0.19128029460560964</v>
      </c>
      <c r="E193" s="192">
        <v>0.14628029460560965</v>
      </c>
      <c r="F193" s="192">
        <v>0.2</v>
      </c>
    </row>
    <row r="194" spans="1:6" ht="16">
      <c r="A194" s="190" t="s">
        <v>431</v>
      </c>
      <c r="B194" s="191" t="s">
        <v>513</v>
      </c>
      <c r="C194" s="192">
        <v>0.10896601681957188</v>
      </c>
      <c r="D194" s="192">
        <f t="shared" si="2"/>
        <v>0.19128029460560964</v>
      </c>
      <c r="E194" s="192">
        <v>0.14628029460560965</v>
      </c>
      <c r="F194" s="192">
        <v>0.35</v>
      </c>
    </row>
    <row r="195" spans="1:6" ht="16">
      <c r="A195" s="196" t="s">
        <v>432</v>
      </c>
      <c r="B195" s="191" t="s">
        <v>479</v>
      </c>
      <c r="C195" s="192">
        <v>9.8082219604926024E-2</v>
      </c>
      <c r="D195" s="192">
        <f t="shared" si="2"/>
        <v>0.17666945436885656</v>
      </c>
      <c r="E195" s="192">
        <v>0.13166945436885658</v>
      </c>
      <c r="F195" s="192">
        <v>0.25</v>
      </c>
    </row>
    <row r="200" spans="1:6">
      <c r="A200" s="199" t="s">
        <v>437</v>
      </c>
      <c r="B200" s="200" t="s">
        <v>435</v>
      </c>
      <c r="C200" s="200" t="s">
        <v>554</v>
      </c>
      <c r="D200" s="200" t="s">
        <v>555</v>
      </c>
      <c r="E200" s="200" t="s">
        <v>556</v>
      </c>
    </row>
    <row r="201" spans="1:6">
      <c r="A201" s="175" t="s">
        <v>557</v>
      </c>
      <c r="B201" s="201">
        <f>$B$1+E201</f>
        <v>0.13663852306889546</v>
      </c>
      <c r="C201" s="201">
        <v>6.8262679351091926E-2</v>
      </c>
      <c r="D201" s="201">
        <v>0.27302836489005694</v>
      </c>
      <c r="E201" s="201">
        <v>9.1638523068895444E-2</v>
      </c>
    </row>
    <row r="202" spans="1:6">
      <c r="A202" s="175" t="s">
        <v>558</v>
      </c>
      <c r="B202" s="201">
        <f t="shared" ref="B202:B210" si="3">$B$1+E202</f>
        <v>6.1805405008578562E-2</v>
      </c>
      <c r="C202" s="201">
        <v>1.2518555898193178E-2</v>
      </c>
      <c r="D202" s="201">
        <v>0.2576437502455447</v>
      </c>
      <c r="E202" s="201">
        <v>1.6805405008578567E-2</v>
      </c>
    </row>
    <row r="203" spans="1:6">
      <c r="A203" s="175" t="s">
        <v>559</v>
      </c>
      <c r="B203" s="201">
        <f t="shared" si="3"/>
        <v>4.5047923618641933E-2</v>
      </c>
      <c r="C203" s="201">
        <v>3.5698901544265913E-5</v>
      </c>
      <c r="D203" s="201">
        <v>0.29744361328762281</v>
      </c>
      <c r="E203" s="201">
        <v>4.7923618641935289E-5</v>
      </c>
    </row>
    <row r="204" spans="1:6">
      <c r="A204" s="175" t="s">
        <v>560</v>
      </c>
      <c r="B204" s="201">
        <f t="shared" si="3"/>
        <v>0.1865348819700155</v>
      </c>
      <c r="C204" s="201">
        <v>0.1054310997313879</v>
      </c>
      <c r="D204" s="201">
        <v>0.2724561140242252</v>
      </c>
      <c r="E204" s="201">
        <v>0.14153488197001549</v>
      </c>
    </row>
    <row r="205" spans="1:6">
      <c r="A205" s="175" t="s">
        <v>561</v>
      </c>
      <c r="B205" s="201">
        <f t="shared" si="3"/>
        <v>0.10261091058162494</v>
      </c>
      <c r="C205" s="201">
        <v>4.2915086193622262E-2</v>
      </c>
      <c r="D205" s="201">
        <v>0.31595749426030023</v>
      </c>
      <c r="E205" s="201">
        <v>5.7610910581624951E-2</v>
      </c>
    </row>
    <row r="206" spans="1:6">
      <c r="A206" s="175" t="s">
        <v>562</v>
      </c>
      <c r="B206" s="201">
        <f t="shared" si="3"/>
        <v>9.5579383477192262E-2</v>
      </c>
      <c r="C206" s="201">
        <v>3.7670398345457844E-2</v>
      </c>
      <c r="D206" s="201">
        <v>0.18485819102180306</v>
      </c>
      <c r="E206" s="201">
        <v>5.0579383477192263E-2</v>
      </c>
    </row>
    <row r="207" spans="1:6">
      <c r="A207" s="175" t="s">
        <v>563</v>
      </c>
      <c r="B207" s="201">
        <f t="shared" si="3"/>
        <v>6.6589990892489848E-2</v>
      </c>
      <c r="C207" s="201">
        <v>1.6082653627874467E-2</v>
      </c>
      <c r="D207" s="201">
        <v>0.18760152153615242</v>
      </c>
      <c r="E207" s="201">
        <v>2.1589990892489853E-2</v>
      </c>
    </row>
    <row r="208" spans="1:6">
      <c r="A208" s="175" t="s">
        <v>564</v>
      </c>
      <c r="B208" s="201">
        <f t="shared" si="3"/>
        <v>4.4999999999999998E-2</v>
      </c>
      <c r="C208" s="201">
        <v>0</v>
      </c>
      <c r="D208" s="201">
        <v>0.25116286561170831</v>
      </c>
      <c r="E208" s="201">
        <v>0</v>
      </c>
    </row>
    <row r="209" spans="1:5">
      <c r="A209" s="175" t="s">
        <v>565</v>
      </c>
      <c r="B209" s="201">
        <f t="shared" si="3"/>
        <v>5.7871606293643366E-2</v>
      </c>
      <c r="C209" s="201">
        <v>9.5882201472833571E-3</v>
      </c>
      <c r="D209" s="201">
        <v>0.24707349543413576</v>
      </c>
      <c r="E209" s="201">
        <v>1.2871606293643371E-2</v>
      </c>
    </row>
    <row r="210" spans="1:5">
      <c r="A210" s="175" t="s">
        <v>442</v>
      </c>
      <c r="B210" s="201">
        <f t="shared" si="3"/>
        <v>6.3100000000000003E-2</v>
      </c>
      <c r="C210" s="201">
        <v>1.35E-2</v>
      </c>
      <c r="D210" s="201">
        <v>0.25225942509764748</v>
      </c>
      <c r="E210" s="201">
        <v>1.8100000000000002E-2</v>
      </c>
    </row>
  </sheetData>
  <pageMargins left="0.75" right="0.75" top="1" bottom="1" header="0.5" footer="0.5"/>
  <pageSetup orientation="portrait"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626A9-B957-8E45-8C26-F2E8F4D03EB4}">
  <dimension ref="A1:X37"/>
  <sheetViews>
    <sheetView workbookViewId="0">
      <selection activeCell="M12" sqref="M12"/>
    </sheetView>
  </sheetViews>
  <sheetFormatPr baseColWidth="10" defaultRowHeight="13"/>
  <cols>
    <col min="1" max="16384" width="10.83203125" style="72"/>
  </cols>
  <sheetData>
    <row r="1" spans="1:11" s="379" customFormat="1" ht="23">
      <c r="A1" s="379" t="s">
        <v>692</v>
      </c>
    </row>
    <row r="2" spans="1:11" s="380" customFormat="1" ht="18">
      <c r="A2" s="380" t="s">
        <v>693</v>
      </c>
    </row>
    <row r="3" spans="1:11" ht="14" thickBot="1"/>
    <row r="4" spans="1:11" ht="15" thickBot="1">
      <c r="A4" s="381" t="s">
        <v>587</v>
      </c>
      <c r="B4" s="382"/>
      <c r="C4" s="382"/>
      <c r="D4" s="382"/>
      <c r="E4" s="382"/>
      <c r="F4" s="382"/>
      <c r="G4" s="382"/>
      <c r="H4" s="382"/>
      <c r="I4" s="382"/>
      <c r="J4" s="382"/>
      <c r="K4" s="383"/>
    </row>
    <row r="5" spans="1:11" ht="16">
      <c r="A5" s="384" t="s">
        <v>589</v>
      </c>
      <c r="B5" s="385">
        <v>1</v>
      </c>
      <c r="C5" s="385">
        <v>2</v>
      </c>
      <c r="D5" s="385">
        <v>3</v>
      </c>
      <c r="E5" s="385">
        <v>4</v>
      </c>
      <c r="F5" s="385">
        <v>5</v>
      </c>
      <c r="G5" s="385">
        <v>6</v>
      </c>
      <c r="H5" s="385">
        <v>7</v>
      </c>
      <c r="I5" s="385">
        <v>8</v>
      </c>
      <c r="J5" s="385">
        <v>9</v>
      </c>
      <c r="K5" s="385">
        <v>10</v>
      </c>
    </row>
    <row r="6" spans="1:11" ht="16">
      <c r="A6" s="386" t="s">
        <v>594</v>
      </c>
      <c r="B6" s="387">
        <v>0</v>
      </c>
      <c r="C6" s="387">
        <v>2.9999999999999997E-4</v>
      </c>
      <c r="D6" s="387">
        <v>1.2999999999999999E-3</v>
      </c>
      <c r="E6" s="387">
        <v>2.3999999999999998E-3</v>
      </c>
      <c r="F6" s="387">
        <v>3.4999999999999996E-3</v>
      </c>
      <c r="G6" s="387">
        <v>4.5000000000000005E-3</v>
      </c>
      <c r="H6" s="387">
        <v>5.1000000000000004E-3</v>
      </c>
      <c r="I6" s="387">
        <v>5.8999999999999999E-3</v>
      </c>
      <c r="J6" s="387">
        <v>6.4000000000000003E-3</v>
      </c>
      <c r="K6" s="387">
        <v>6.9999999999999993E-3</v>
      </c>
    </row>
    <row r="7" spans="1:11" ht="16">
      <c r="A7" s="386" t="s">
        <v>596</v>
      </c>
      <c r="B7" s="387">
        <v>2.0000000000000001E-4</v>
      </c>
      <c r="C7" s="387">
        <v>5.9999999999999995E-4</v>
      </c>
      <c r="D7" s="387">
        <v>1.1999999999999999E-3</v>
      </c>
      <c r="E7" s="387">
        <v>2.0999999999999999E-3</v>
      </c>
      <c r="F7" s="387">
        <v>3.0999999999999999E-3</v>
      </c>
      <c r="G7" s="387">
        <v>4.1999999999999997E-3</v>
      </c>
      <c r="H7" s="387">
        <v>5.0000000000000001E-3</v>
      </c>
      <c r="I7" s="387">
        <v>5.7999999999999996E-3</v>
      </c>
      <c r="J7" s="387">
        <v>6.5000000000000006E-3</v>
      </c>
      <c r="K7" s="387">
        <v>7.1999999999999998E-3</v>
      </c>
    </row>
    <row r="8" spans="1:11" ht="16">
      <c r="A8" s="386" t="s">
        <v>598</v>
      </c>
      <c r="B8" s="387">
        <v>5.0000000000000001E-4</v>
      </c>
      <c r="C8" s="387">
        <v>1.4000000000000002E-3</v>
      </c>
      <c r="D8" s="387">
        <v>2.3E-3</v>
      </c>
      <c r="E8" s="387">
        <v>3.4999999999999996E-3</v>
      </c>
      <c r="F8" s="387">
        <v>4.6999999999999993E-3</v>
      </c>
      <c r="G8" s="387">
        <v>6.1999999999999998E-3</v>
      </c>
      <c r="H8" s="387">
        <v>7.9000000000000008E-3</v>
      </c>
      <c r="I8" s="387">
        <v>9.300000000000001E-3</v>
      </c>
      <c r="J8" s="387">
        <v>1.0800000000000001E-2</v>
      </c>
      <c r="K8" s="387">
        <v>1.24E-2</v>
      </c>
    </row>
    <row r="9" spans="1:11" ht="16">
      <c r="A9" s="386" t="s">
        <v>600</v>
      </c>
      <c r="B9" s="387">
        <v>1.6000000000000001E-3</v>
      </c>
      <c r="C9" s="387">
        <v>4.5000000000000005E-3</v>
      </c>
      <c r="D9" s="387">
        <v>7.8000000000000005E-3</v>
      </c>
      <c r="E9" s="387">
        <v>1.1699999999999999E-2</v>
      </c>
      <c r="F9" s="387">
        <v>1.5800000000000002E-2</v>
      </c>
      <c r="G9" s="387">
        <v>1.9799999999999998E-2</v>
      </c>
      <c r="H9" s="387">
        <v>2.3300000000000001E-2</v>
      </c>
      <c r="I9" s="387">
        <v>2.6699999999999998E-2</v>
      </c>
      <c r="J9" s="387">
        <v>0.03</v>
      </c>
      <c r="K9" s="387">
        <v>3.32E-2</v>
      </c>
    </row>
    <row r="10" spans="1:11" ht="16">
      <c r="A10" s="386" t="s">
        <v>602</v>
      </c>
      <c r="B10" s="387">
        <v>6.0999999999999995E-3</v>
      </c>
      <c r="C10" s="387">
        <v>1.9199999999999998E-2</v>
      </c>
      <c r="D10" s="387">
        <v>3.4799999999999998E-2</v>
      </c>
      <c r="E10" s="387">
        <v>5.0499999999999996E-2</v>
      </c>
      <c r="F10" s="387">
        <v>6.5199999999999994E-2</v>
      </c>
      <c r="G10" s="387">
        <v>7.85E-2</v>
      </c>
      <c r="H10" s="387">
        <v>9.01E-2</v>
      </c>
      <c r="I10" s="387">
        <v>0.10039999999999999</v>
      </c>
      <c r="J10" s="387">
        <v>0.10970000000000001</v>
      </c>
      <c r="K10" s="387">
        <v>0.11779999999999999</v>
      </c>
    </row>
    <row r="11" spans="1:11" ht="16">
      <c r="A11" s="386" t="s">
        <v>604</v>
      </c>
      <c r="B11" s="387">
        <v>3.3300000000000003E-2</v>
      </c>
      <c r="C11" s="387">
        <v>7.7100000000000002E-2</v>
      </c>
      <c r="D11" s="387">
        <v>0.11550000000000001</v>
      </c>
      <c r="E11" s="387">
        <v>0.14580000000000001</v>
      </c>
      <c r="F11" s="387">
        <v>0.16930000000000001</v>
      </c>
      <c r="G11" s="387">
        <v>0.1883</v>
      </c>
      <c r="H11" s="387">
        <v>0.2036</v>
      </c>
      <c r="I11" s="387">
        <v>0.21600000000000003</v>
      </c>
      <c r="J11" s="387">
        <v>0.22699999999999998</v>
      </c>
      <c r="K11" s="387">
        <v>0.23739999999999997</v>
      </c>
    </row>
    <row r="12" spans="1:11" ht="16">
      <c r="A12" s="386" t="s">
        <v>606</v>
      </c>
      <c r="B12" s="387">
        <v>0.27079999999999999</v>
      </c>
      <c r="C12" s="387">
        <v>0.3664</v>
      </c>
      <c r="D12" s="387">
        <v>0.41409999999999997</v>
      </c>
      <c r="E12" s="387">
        <v>0.441</v>
      </c>
      <c r="F12" s="387">
        <v>0.46189999999999998</v>
      </c>
      <c r="G12" s="387">
        <v>0.47090000000000004</v>
      </c>
      <c r="H12" s="387">
        <v>0.48259999999999997</v>
      </c>
      <c r="I12" s="387">
        <v>0.49049999999999999</v>
      </c>
      <c r="J12" s="387">
        <v>0.49759999999999999</v>
      </c>
      <c r="K12" s="387">
        <v>0.50380000000000003</v>
      </c>
    </row>
    <row r="14" spans="1:11" ht="16">
      <c r="A14" s="388" t="s">
        <v>694</v>
      </c>
    </row>
    <row r="16" spans="1:11" s="380" customFormat="1" ht="18">
      <c r="A16" s="380" t="s">
        <v>695</v>
      </c>
    </row>
    <row r="17" spans="1:24">
      <c r="O17" s="389" t="s">
        <v>696</v>
      </c>
      <c r="P17" s="389"/>
      <c r="Q17" s="389"/>
      <c r="R17" s="389"/>
      <c r="S17" s="389"/>
      <c r="T17" s="389"/>
      <c r="U17" s="389"/>
      <c r="V17" s="389"/>
      <c r="W17" s="389"/>
      <c r="X17" s="389"/>
    </row>
    <row r="18" spans="1:24" ht="16">
      <c r="A18" s="390"/>
      <c r="B18" s="391"/>
      <c r="C18" s="392" t="s">
        <v>697</v>
      </c>
      <c r="D18" s="392" t="s">
        <v>698</v>
      </c>
      <c r="E18" s="392" t="s">
        <v>699</v>
      </c>
      <c r="F18" s="392" t="s">
        <v>700</v>
      </c>
      <c r="G18" s="392" t="s">
        <v>701</v>
      </c>
      <c r="H18" s="392" t="s">
        <v>702</v>
      </c>
      <c r="I18" s="392" t="s">
        <v>372</v>
      </c>
      <c r="J18" s="392" t="s">
        <v>703</v>
      </c>
      <c r="K18" s="392" t="s">
        <v>704</v>
      </c>
      <c r="L18" s="392" t="s">
        <v>705</v>
      </c>
      <c r="O18" s="392" t="s">
        <v>697</v>
      </c>
      <c r="P18" s="392" t="s">
        <v>698</v>
      </c>
      <c r="Q18" s="392" t="s">
        <v>699</v>
      </c>
      <c r="R18" s="392" t="s">
        <v>700</v>
      </c>
      <c r="S18" s="392" t="s">
        <v>701</v>
      </c>
      <c r="T18" s="392" t="s">
        <v>702</v>
      </c>
      <c r="U18" s="392" t="s">
        <v>372</v>
      </c>
      <c r="V18" s="392" t="s">
        <v>703</v>
      </c>
      <c r="W18" s="392" t="s">
        <v>704</v>
      </c>
      <c r="X18" s="392" t="s">
        <v>705</v>
      </c>
    </row>
    <row r="19" spans="1:24" ht="16" customHeight="1">
      <c r="A19" s="393" t="s">
        <v>706</v>
      </c>
      <c r="B19" s="394">
        <v>0</v>
      </c>
      <c r="C19" s="395">
        <f>1-O28</f>
        <v>0.55099999999999993</v>
      </c>
      <c r="D19" s="395">
        <f t="shared" ref="D19:L19" si="0">1-P28</f>
        <v>0.67700000000000005</v>
      </c>
      <c r="E19" s="395">
        <f t="shared" si="0"/>
        <v>0.55099999999999993</v>
      </c>
      <c r="F19" s="395">
        <f t="shared" si="0"/>
        <v>0.753</v>
      </c>
      <c r="G19" s="395">
        <f t="shared" si="0"/>
        <v>0.61899999999999999</v>
      </c>
      <c r="H19" s="395">
        <f t="shared" si="0"/>
        <v>0.61</v>
      </c>
      <c r="I19" s="395">
        <f t="shared" si="0"/>
        <v>0.71599999999999997</v>
      </c>
      <c r="J19" s="395">
        <f t="shared" si="0"/>
        <v>0.745</v>
      </c>
      <c r="K19" s="395">
        <f t="shared" si="0"/>
        <v>0.57499999999999996</v>
      </c>
      <c r="L19" s="395">
        <f t="shared" si="0"/>
        <v>0.67200000000000004</v>
      </c>
      <c r="N19" s="72">
        <v>1</v>
      </c>
      <c r="O19" s="396">
        <v>0.82299999999999995</v>
      </c>
      <c r="P19" s="396">
        <v>0.81799999999999995</v>
      </c>
      <c r="Q19" s="396">
        <v>0.84</v>
      </c>
      <c r="R19" s="396">
        <v>0.74299999999999999</v>
      </c>
      <c r="S19" s="396">
        <v>0.82799999999999996</v>
      </c>
      <c r="T19" s="396">
        <v>0.83099999999999996</v>
      </c>
      <c r="U19" s="396">
        <v>0.76900000000000002</v>
      </c>
      <c r="V19" s="396">
        <v>0.752</v>
      </c>
      <c r="W19" s="396">
        <v>0.81400000000000006</v>
      </c>
      <c r="X19" s="396">
        <v>0.78299999999999992</v>
      </c>
    </row>
    <row r="20" spans="1:24" ht="16">
      <c r="A20" s="397"/>
      <c r="B20" s="394">
        <v>1</v>
      </c>
      <c r="C20" s="395">
        <f>O19-O$28</f>
        <v>0.37399999999999994</v>
      </c>
      <c r="D20" s="395">
        <f t="shared" ref="D20:L29" si="1">P19-P$28</f>
        <v>0.495</v>
      </c>
      <c r="E20" s="395">
        <f t="shared" si="1"/>
        <v>0.39099999999999996</v>
      </c>
      <c r="F20" s="395">
        <f t="shared" si="1"/>
        <v>0.496</v>
      </c>
      <c r="G20" s="395">
        <f t="shared" si="1"/>
        <v>0.44699999999999995</v>
      </c>
      <c r="H20" s="395">
        <f t="shared" si="1"/>
        <v>0.44099999999999995</v>
      </c>
      <c r="I20" s="395">
        <f t="shared" si="1"/>
        <v>0.48500000000000004</v>
      </c>
      <c r="J20" s="395">
        <f t="shared" si="1"/>
        <v>0.497</v>
      </c>
      <c r="K20" s="395">
        <f t="shared" si="1"/>
        <v>0.38900000000000007</v>
      </c>
      <c r="L20" s="395">
        <f t="shared" si="1"/>
        <v>0.45499999999999996</v>
      </c>
      <c r="N20" s="72">
        <v>2</v>
      </c>
      <c r="O20" s="396">
        <v>0.748</v>
      </c>
      <c r="P20" s="396">
        <v>0.71200000000000008</v>
      </c>
      <c r="Q20" s="396">
        <v>0.73499999999999999</v>
      </c>
      <c r="R20" s="396">
        <v>0.59799999999999998</v>
      </c>
      <c r="S20" s="396">
        <v>0.72400000000000009</v>
      </c>
      <c r="T20" s="396">
        <v>0.72400000000000009</v>
      </c>
      <c r="U20" s="396">
        <v>0.63600000000000001</v>
      </c>
      <c r="V20" s="396">
        <v>0.627</v>
      </c>
      <c r="W20" s="396">
        <v>0.72199999999999998</v>
      </c>
      <c r="X20" s="396">
        <v>0.66200000000000003</v>
      </c>
    </row>
    <row r="21" spans="1:24" ht="16">
      <c r="A21" s="397"/>
      <c r="B21" s="394">
        <v>2</v>
      </c>
      <c r="C21" s="395">
        <f t="shared" ref="C21:C29" si="2">O20-O$28</f>
        <v>0.29899999999999999</v>
      </c>
      <c r="D21" s="395">
        <f t="shared" si="1"/>
        <v>0.38900000000000012</v>
      </c>
      <c r="E21" s="395">
        <f t="shared" si="1"/>
        <v>0.28599999999999998</v>
      </c>
      <c r="F21" s="395">
        <f t="shared" si="1"/>
        <v>0.35099999999999998</v>
      </c>
      <c r="G21" s="395">
        <f t="shared" si="1"/>
        <v>0.34300000000000008</v>
      </c>
      <c r="H21" s="395">
        <f t="shared" si="1"/>
        <v>0.33400000000000007</v>
      </c>
      <c r="I21" s="395">
        <f t="shared" si="1"/>
        <v>0.35200000000000004</v>
      </c>
      <c r="J21" s="395">
        <f t="shared" si="1"/>
        <v>0.372</v>
      </c>
      <c r="K21" s="395">
        <f t="shared" si="1"/>
        <v>0.29699999999999999</v>
      </c>
      <c r="L21" s="395">
        <f t="shared" si="1"/>
        <v>0.33400000000000007</v>
      </c>
      <c r="N21" s="72">
        <v>3</v>
      </c>
      <c r="O21" s="396">
        <v>0.66099999999999992</v>
      </c>
      <c r="P21" s="396">
        <v>0.629</v>
      </c>
      <c r="Q21" s="396">
        <v>0.67</v>
      </c>
      <c r="R21" s="396">
        <v>0.45600000000000002</v>
      </c>
      <c r="S21" s="396">
        <v>0.622</v>
      </c>
      <c r="T21" s="396">
        <v>0.63100000000000001</v>
      </c>
      <c r="U21" s="396">
        <v>0.52300000000000002</v>
      </c>
      <c r="V21" s="396">
        <v>0.53299999999999992</v>
      </c>
      <c r="W21" s="396">
        <v>0.67400000000000004</v>
      </c>
      <c r="X21" s="396">
        <v>0.56600000000000006</v>
      </c>
    </row>
    <row r="22" spans="1:24" ht="16">
      <c r="A22" s="397"/>
      <c r="B22" s="394">
        <v>3</v>
      </c>
      <c r="C22" s="395">
        <f t="shared" si="2"/>
        <v>0.21199999999999991</v>
      </c>
      <c r="D22" s="395">
        <f t="shared" si="1"/>
        <v>0.30600000000000005</v>
      </c>
      <c r="E22" s="395">
        <f t="shared" si="1"/>
        <v>0.22100000000000003</v>
      </c>
      <c r="F22" s="395">
        <f t="shared" si="1"/>
        <v>0.20900000000000002</v>
      </c>
      <c r="G22" s="395">
        <f t="shared" si="1"/>
        <v>0.24099999999999999</v>
      </c>
      <c r="H22" s="395">
        <f t="shared" si="1"/>
        <v>0.24099999999999999</v>
      </c>
      <c r="I22" s="395">
        <f t="shared" si="1"/>
        <v>0.23900000000000005</v>
      </c>
      <c r="J22" s="395">
        <f t="shared" si="1"/>
        <v>0.27799999999999991</v>
      </c>
      <c r="K22" s="395">
        <f t="shared" si="1"/>
        <v>0.24900000000000005</v>
      </c>
      <c r="L22" s="395">
        <f t="shared" si="1"/>
        <v>0.2380000000000001</v>
      </c>
      <c r="N22" s="72">
        <v>4</v>
      </c>
      <c r="O22" s="396">
        <v>0.61199999999999999</v>
      </c>
      <c r="P22" s="396">
        <v>0.53799999999999992</v>
      </c>
      <c r="Q22" s="396">
        <v>0.629</v>
      </c>
      <c r="R22" s="396">
        <v>0.371</v>
      </c>
      <c r="S22" s="396">
        <v>0.54100000000000004</v>
      </c>
      <c r="T22" s="396">
        <v>0.56499999999999995</v>
      </c>
      <c r="U22" s="396">
        <v>0.45</v>
      </c>
      <c r="V22" s="396">
        <v>0.46399999999999997</v>
      </c>
      <c r="W22" s="396">
        <v>0.61299999999999999</v>
      </c>
      <c r="X22" s="396">
        <v>0.498</v>
      </c>
    </row>
    <row r="23" spans="1:24" ht="16">
      <c r="A23" s="397"/>
      <c r="B23" s="394">
        <v>4</v>
      </c>
      <c r="C23" s="395">
        <f t="shared" si="2"/>
        <v>0.16299999999999998</v>
      </c>
      <c r="D23" s="395">
        <f t="shared" si="1"/>
        <v>0.21499999999999997</v>
      </c>
      <c r="E23" s="395">
        <f t="shared" si="1"/>
        <v>0.18</v>
      </c>
      <c r="F23" s="395">
        <f t="shared" si="1"/>
        <v>0.124</v>
      </c>
      <c r="G23" s="395">
        <f t="shared" si="1"/>
        <v>0.16000000000000003</v>
      </c>
      <c r="H23" s="395">
        <f t="shared" si="1"/>
        <v>0.17499999999999993</v>
      </c>
      <c r="I23" s="395">
        <f t="shared" si="1"/>
        <v>0.16600000000000004</v>
      </c>
      <c r="J23" s="395">
        <f t="shared" si="1"/>
        <v>0.20899999999999996</v>
      </c>
      <c r="K23" s="395">
        <f t="shared" si="1"/>
        <v>0.188</v>
      </c>
      <c r="L23" s="395">
        <f t="shared" si="1"/>
        <v>0.17000000000000004</v>
      </c>
      <c r="N23" s="72">
        <v>5</v>
      </c>
      <c r="O23" s="396">
        <v>0.57399999999999995</v>
      </c>
      <c r="P23" s="396">
        <v>0.51200000000000001</v>
      </c>
      <c r="Q23" s="396">
        <v>0.56499999999999995</v>
      </c>
      <c r="R23" s="396">
        <v>0.33200000000000002</v>
      </c>
      <c r="S23" s="396">
        <v>0.49399999999999999</v>
      </c>
      <c r="T23" s="396">
        <v>0.52100000000000002</v>
      </c>
      <c r="U23" s="396">
        <v>0.41100000000000003</v>
      </c>
      <c r="V23" s="396">
        <v>0.41899999999999998</v>
      </c>
      <c r="W23" s="396">
        <v>0.55899999999999994</v>
      </c>
      <c r="X23" s="396">
        <v>0.45399999999999996</v>
      </c>
    </row>
    <row r="24" spans="1:24" ht="16">
      <c r="A24" s="397"/>
      <c r="B24" s="394">
        <v>5</v>
      </c>
      <c r="C24" s="395">
        <f t="shared" si="2"/>
        <v>0.12499999999999994</v>
      </c>
      <c r="D24" s="395">
        <f t="shared" si="1"/>
        <v>0.18900000000000006</v>
      </c>
      <c r="E24" s="395">
        <f t="shared" si="1"/>
        <v>0.11599999999999994</v>
      </c>
      <c r="F24" s="395">
        <f t="shared" si="1"/>
        <v>8.500000000000002E-2</v>
      </c>
      <c r="G24" s="395">
        <f t="shared" si="1"/>
        <v>0.11299999999999999</v>
      </c>
      <c r="H24" s="395">
        <f t="shared" si="1"/>
        <v>0.13100000000000001</v>
      </c>
      <c r="I24" s="395">
        <f t="shared" si="1"/>
        <v>0.12700000000000006</v>
      </c>
      <c r="J24" s="395">
        <f t="shared" si="1"/>
        <v>0.16399999999999998</v>
      </c>
      <c r="K24" s="395">
        <f t="shared" si="1"/>
        <v>0.13399999999999995</v>
      </c>
      <c r="L24" s="395">
        <f t="shared" si="1"/>
        <v>0.126</v>
      </c>
      <c r="N24" s="72">
        <v>6</v>
      </c>
      <c r="O24" s="396">
        <v>0.54100000000000004</v>
      </c>
      <c r="P24" s="396">
        <v>0.47200000000000003</v>
      </c>
      <c r="Q24" s="396">
        <v>0.55600000000000005</v>
      </c>
      <c r="R24" s="396">
        <v>0.30599999999999999</v>
      </c>
      <c r="S24" s="396">
        <v>0.46299999999999997</v>
      </c>
      <c r="T24" s="396">
        <v>0.48499999999999999</v>
      </c>
      <c r="U24" s="396">
        <v>0.377</v>
      </c>
      <c r="V24" s="396">
        <v>0.37200000000000005</v>
      </c>
      <c r="W24" s="396">
        <v>0.54799999999999993</v>
      </c>
      <c r="X24" s="396">
        <v>0.42299999999999999</v>
      </c>
    </row>
    <row r="25" spans="1:24" ht="16">
      <c r="A25" s="397"/>
      <c r="B25" s="394">
        <v>6</v>
      </c>
      <c r="C25" s="395">
        <f t="shared" si="2"/>
        <v>9.2000000000000026E-2</v>
      </c>
      <c r="D25" s="395">
        <f t="shared" si="1"/>
        <v>0.14900000000000008</v>
      </c>
      <c r="E25" s="395">
        <f t="shared" si="1"/>
        <v>0.10700000000000004</v>
      </c>
      <c r="F25" s="395">
        <f t="shared" si="1"/>
        <v>5.8999999999999997E-2</v>
      </c>
      <c r="G25" s="395">
        <f t="shared" si="1"/>
        <v>8.1999999999999962E-2</v>
      </c>
      <c r="H25" s="395">
        <f t="shared" si="1"/>
        <v>9.4999999999999973E-2</v>
      </c>
      <c r="I25" s="395">
        <f t="shared" si="1"/>
        <v>9.3000000000000027E-2</v>
      </c>
      <c r="J25" s="395">
        <f t="shared" si="1"/>
        <v>0.11700000000000005</v>
      </c>
      <c r="K25" s="395">
        <f t="shared" si="1"/>
        <v>0.12299999999999994</v>
      </c>
      <c r="L25" s="395">
        <f t="shared" si="1"/>
        <v>9.5000000000000029E-2</v>
      </c>
      <c r="N25" s="72">
        <v>7</v>
      </c>
      <c r="O25" s="396">
        <v>0.51600000000000001</v>
      </c>
      <c r="P25" s="396">
        <v>0.42899999999999999</v>
      </c>
      <c r="Q25" s="396">
        <v>0.51600000000000001</v>
      </c>
      <c r="R25" s="396">
        <v>0.28399999999999997</v>
      </c>
      <c r="S25" s="396">
        <v>0.43799999999999994</v>
      </c>
      <c r="T25" s="396">
        <v>0.45700000000000002</v>
      </c>
      <c r="U25" s="396">
        <v>0.34899999999999998</v>
      </c>
      <c r="V25" s="396">
        <v>0.34</v>
      </c>
      <c r="W25" s="396">
        <v>0.52900000000000003</v>
      </c>
      <c r="X25" s="396">
        <v>0.39600000000000002</v>
      </c>
    </row>
    <row r="26" spans="1:24" ht="16">
      <c r="A26" s="397"/>
      <c r="B26" s="394">
        <v>7</v>
      </c>
      <c r="C26" s="395">
        <f t="shared" si="2"/>
        <v>6.7000000000000004E-2</v>
      </c>
      <c r="D26" s="395">
        <f t="shared" si="1"/>
        <v>0.10600000000000004</v>
      </c>
      <c r="E26" s="395">
        <f t="shared" si="1"/>
        <v>6.7000000000000004E-2</v>
      </c>
      <c r="F26" s="395">
        <f t="shared" si="1"/>
        <v>3.6999999999999977E-2</v>
      </c>
      <c r="G26" s="395">
        <f t="shared" si="1"/>
        <v>5.699999999999994E-2</v>
      </c>
      <c r="H26" s="395">
        <f t="shared" si="1"/>
        <v>6.7000000000000004E-2</v>
      </c>
      <c r="I26" s="395">
        <f t="shared" si="1"/>
        <v>6.5000000000000002E-2</v>
      </c>
      <c r="J26" s="395">
        <f t="shared" si="1"/>
        <v>8.500000000000002E-2</v>
      </c>
      <c r="K26" s="395">
        <f t="shared" si="1"/>
        <v>0.10400000000000004</v>
      </c>
      <c r="L26" s="395">
        <f t="shared" si="1"/>
        <v>6.800000000000006E-2</v>
      </c>
      <c r="N26" s="72">
        <v>8</v>
      </c>
      <c r="O26" s="396">
        <v>0.495</v>
      </c>
      <c r="P26" s="396">
        <v>0.40500000000000003</v>
      </c>
      <c r="Q26" s="396">
        <v>0.503</v>
      </c>
      <c r="R26" s="396">
        <v>0.27100000000000002</v>
      </c>
      <c r="S26" s="396">
        <v>0.41499999999999998</v>
      </c>
      <c r="T26" s="396">
        <v>0.433</v>
      </c>
      <c r="U26" s="396">
        <v>0.32400000000000001</v>
      </c>
      <c r="V26" s="396">
        <v>0.314</v>
      </c>
      <c r="W26" s="396">
        <v>0.48399999999999999</v>
      </c>
      <c r="X26" s="396">
        <v>0.371</v>
      </c>
    </row>
    <row r="27" spans="1:24" ht="16">
      <c r="A27" s="397"/>
      <c r="B27" s="394">
        <v>8</v>
      </c>
      <c r="C27" s="395">
        <f t="shared" si="2"/>
        <v>4.5999999999999985E-2</v>
      </c>
      <c r="D27" s="395">
        <f t="shared" si="1"/>
        <v>8.2000000000000073E-2</v>
      </c>
      <c r="E27" s="395">
        <f t="shared" si="1"/>
        <v>5.3999999999999992E-2</v>
      </c>
      <c r="F27" s="395">
        <f t="shared" si="1"/>
        <v>2.4000000000000021E-2</v>
      </c>
      <c r="G27" s="395">
        <f t="shared" si="1"/>
        <v>3.3999999999999975E-2</v>
      </c>
      <c r="H27" s="395">
        <f t="shared" si="1"/>
        <v>4.2999999999999983E-2</v>
      </c>
      <c r="I27" s="395">
        <f t="shared" si="1"/>
        <v>4.0000000000000036E-2</v>
      </c>
      <c r="J27" s="395">
        <f t="shared" si="1"/>
        <v>5.8999999999999997E-2</v>
      </c>
      <c r="K27" s="395">
        <f t="shared" si="1"/>
        <v>5.8999999999999997E-2</v>
      </c>
      <c r="L27" s="395">
        <f t="shared" si="1"/>
        <v>4.3000000000000038E-2</v>
      </c>
      <c r="N27" s="72">
        <v>9</v>
      </c>
      <c r="O27" s="396">
        <v>0.46500000000000002</v>
      </c>
      <c r="P27" s="396">
        <v>0.371</v>
      </c>
      <c r="Q27" s="396">
        <v>0.47600000000000003</v>
      </c>
      <c r="R27" s="396">
        <v>0.25800000000000001</v>
      </c>
      <c r="S27" s="396">
        <v>0.4</v>
      </c>
      <c r="T27" s="396">
        <v>0.41</v>
      </c>
      <c r="U27" s="396">
        <v>0.30499999999999999</v>
      </c>
      <c r="V27" s="396">
        <v>0.27399999999999997</v>
      </c>
      <c r="W27" s="396">
        <v>0.45500000000000002</v>
      </c>
      <c r="X27" s="396">
        <v>0.34799999999999998</v>
      </c>
    </row>
    <row r="28" spans="1:24" ht="16">
      <c r="A28" s="398"/>
      <c r="B28" s="394">
        <v>9</v>
      </c>
      <c r="C28" s="395">
        <f t="shared" si="2"/>
        <v>1.6000000000000014E-2</v>
      </c>
      <c r="D28" s="395">
        <f t="shared" si="1"/>
        <v>4.8000000000000043E-2</v>
      </c>
      <c r="E28" s="395">
        <f t="shared" si="1"/>
        <v>2.7000000000000024E-2</v>
      </c>
      <c r="F28" s="395">
        <f t="shared" si="1"/>
        <v>1.100000000000001E-2</v>
      </c>
      <c r="G28" s="395">
        <f t="shared" si="1"/>
        <v>1.9000000000000017E-2</v>
      </c>
      <c r="H28" s="395">
        <f t="shared" si="1"/>
        <v>1.9999999999999962E-2</v>
      </c>
      <c r="I28" s="395">
        <f t="shared" si="1"/>
        <v>2.1000000000000019E-2</v>
      </c>
      <c r="J28" s="395">
        <f t="shared" si="1"/>
        <v>1.8999999999999961E-2</v>
      </c>
      <c r="K28" s="395">
        <f t="shared" si="1"/>
        <v>3.0000000000000027E-2</v>
      </c>
      <c r="L28" s="395">
        <f t="shared" si="1"/>
        <v>2.0000000000000018E-2</v>
      </c>
      <c r="N28" s="72">
        <v>10</v>
      </c>
      <c r="O28" s="396">
        <v>0.44900000000000001</v>
      </c>
      <c r="P28" s="396">
        <v>0.32299999999999995</v>
      </c>
      <c r="Q28" s="396">
        <v>0.44900000000000001</v>
      </c>
      <c r="R28" s="396">
        <v>0.247</v>
      </c>
      <c r="S28" s="396">
        <v>0.38100000000000001</v>
      </c>
      <c r="T28" s="396">
        <v>0.39</v>
      </c>
      <c r="U28" s="396">
        <v>0.28399999999999997</v>
      </c>
      <c r="V28" s="396">
        <v>0.255</v>
      </c>
      <c r="W28" s="396">
        <v>0.42499999999999999</v>
      </c>
      <c r="X28" s="396">
        <v>0.32799999999999996</v>
      </c>
    </row>
    <row r="29" spans="1:24" ht="16">
      <c r="B29" s="394">
        <v>10</v>
      </c>
      <c r="C29" s="395">
        <f t="shared" si="2"/>
        <v>0</v>
      </c>
      <c r="D29" s="395">
        <f t="shared" si="1"/>
        <v>0</v>
      </c>
      <c r="E29" s="395">
        <f t="shared" si="1"/>
        <v>0</v>
      </c>
      <c r="F29" s="395">
        <f t="shared" si="1"/>
        <v>0</v>
      </c>
      <c r="G29" s="395">
        <f t="shared" si="1"/>
        <v>0</v>
      </c>
      <c r="H29" s="395">
        <f t="shared" si="1"/>
        <v>0</v>
      </c>
      <c r="I29" s="395">
        <f t="shared" si="1"/>
        <v>0</v>
      </c>
      <c r="J29" s="395">
        <f t="shared" si="1"/>
        <v>0</v>
      </c>
      <c r="K29" s="395">
        <f t="shared" si="1"/>
        <v>0</v>
      </c>
      <c r="L29" s="395">
        <f t="shared" si="1"/>
        <v>0</v>
      </c>
    </row>
    <row r="30" spans="1:24" ht="16">
      <c r="A30" s="72" t="s">
        <v>707</v>
      </c>
      <c r="B30" s="399"/>
      <c r="C30" s="400"/>
      <c r="D30" s="400"/>
      <c r="E30" s="400"/>
      <c r="F30" s="400"/>
      <c r="G30" s="400"/>
      <c r="H30" s="400"/>
      <c r="I30" s="400"/>
      <c r="J30" s="400"/>
      <c r="K30" s="400"/>
      <c r="L30" s="400"/>
    </row>
    <row r="31" spans="1:24" s="205" customFormat="1" ht="16">
      <c r="A31" s="205" t="s">
        <v>708</v>
      </c>
      <c r="B31" s="72"/>
      <c r="C31" s="72"/>
      <c r="D31" s="72"/>
      <c r="E31" s="72"/>
      <c r="F31" s="72"/>
      <c r="G31" s="72"/>
      <c r="H31" s="72"/>
      <c r="I31" s="72"/>
      <c r="J31" s="72"/>
      <c r="K31" s="72"/>
      <c r="L31" s="72"/>
    </row>
    <row r="32" spans="1:24" ht="16">
      <c r="B32" s="205"/>
      <c r="C32" s="205"/>
      <c r="D32" s="205"/>
      <c r="E32" s="205"/>
      <c r="F32" s="205"/>
      <c r="G32" s="205"/>
      <c r="H32" s="205"/>
      <c r="I32" s="205"/>
      <c r="J32" s="205"/>
      <c r="K32" s="205"/>
      <c r="L32" s="205"/>
    </row>
    <row r="33" spans="1:1" ht="16">
      <c r="A33" s="209" t="s">
        <v>709</v>
      </c>
    </row>
    <row r="34" spans="1:1" ht="16">
      <c r="A34" s="205" t="s">
        <v>710</v>
      </c>
    </row>
    <row r="35" spans="1:1" ht="16">
      <c r="A35" s="205" t="s">
        <v>711</v>
      </c>
    </row>
    <row r="36" spans="1:1" ht="16">
      <c r="A36" s="205" t="s">
        <v>712</v>
      </c>
    </row>
    <row r="37" spans="1:1" ht="16">
      <c r="A37" s="205" t="s">
        <v>713</v>
      </c>
    </row>
  </sheetData>
  <mergeCells count="3">
    <mergeCell ref="A4:K4"/>
    <mergeCell ref="O17:X17"/>
    <mergeCell ref="A19:A2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06A3A-D56A-1F4F-9C77-3C3E6A36184E}">
  <sheetPr>
    <tabColor theme="4"/>
  </sheetPr>
  <dimension ref="A1:U40"/>
  <sheetViews>
    <sheetView tabSelected="1" topLeftCell="A11" zoomScale="111" zoomScaleNormal="125" workbookViewId="0">
      <selection activeCell="C26" sqref="C26"/>
    </sheetView>
  </sheetViews>
  <sheetFormatPr baseColWidth="10" defaultRowHeight="16"/>
  <cols>
    <col min="1" max="1" width="25.6640625" style="242" customWidth="1"/>
    <col min="2" max="2" width="16.6640625" style="242" customWidth="1"/>
    <col min="3" max="13" width="15.83203125" style="256" bestFit="1" customWidth="1"/>
    <col min="14" max="14" width="12.6640625" style="72" bestFit="1" customWidth="1"/>
    <col min="15" max="15" width="10.83203125" style="72"/>
    <col min="16" max="16" width="32.1640625" style="72" bestFit="1" customWidth="1"/>
    <col min="17" max="17" width="10.83203125" style="72"/>
    <col min="18" max="18" width="13.1640625" style="72" customWidth="1"/>
    <col min="19" max="16384" width="10.83203125" style="72"/>
  </cols>
  <sheetData>
    <row r="1" spans="1:21">
      <c r="A1" s="239"/>
      <c r="B1" s="240" t="s">
        <v>629</v>
      </c>
      <c r="C1" s="240">
        <v>1</v>
      </c>
      <c r="D1" s="240">
        <v>2</v>
      </c>
      <c r="E1" s="240">
        <v>3</v>
      </c>
      <c r="F1" s="240">
        <v>4</v>
      </c>
      <c r="G1" s="240">
        <v>5</v>
      </c>
      <c r="H1" s="240">
        <v>6</v>
      </c>
      <c r="I1" s="240">
        <v>7</v>
      </c>
      <c r="J1" s="240">
        <v>8</v>
      </c>
      <c r="K1" s="240">
        <v>9</v>
      </c>
      <c r="L1" s="240">
        <v>10</v>
      </c>
      <c r="M1" s="241" t="s">
        <v>630</v>
      </c>
      <c r="Q1" s="205" t="s">
        <v>729</v>
      </c>
      <c r="R1" s="112"/>
      <c r="S1" s="112"/>
      <c r="T1" s="112"/>
      <c r="U1" s="112"/>
    </row>
    <row r="2" spans="1:21">
      <c r="A2" s="242" t="s">
        <v>631</v>
      </c>
      <c r="B2" s="243"/>
      <c r="C2" s="244">
        <f>'YoY sales growth'!B14</f>
        <v>0.14659744211709058</v>
      </c>
      <c r="D2" s="244">
        <f>C2</f>
        <v>0.14659744211709058</v>
      </c>
      <c r="E2" s="244">
        <f>D2</f>
        <v>0.14659744211709058</v>
      </c>
      <c r="F2" s="244">
        <f>E2</f>
        <v>0.14659744211709058</v>
      </c>
      <c r="G2" s="244">
        <f>F2</f>
        <v>0.14659744211709058</v>
      </c>
      <c r="H2" s="244">
        <f>G2-((G2-$M$2)/5)</f>
        <v>0.12583795369367246</v>
      </c>
      <c r="I2" s="244">
        <f>G2-((G2-$M$2)/5)*2</f>
        <v>0.10507846527025436</v>
      </c>
      <c r="J2" s="244">
        <f>G2-((G2-$M$2)/5)*3</f>
        <v>8.431897684683623E-2</v>
      </c>
      <c r="K2" s="244">
        <f>G2-((G2-$M$2)/5)*4</f>
        <v>6.3559488423418117E-2</v>
      </c>
      <c r="L2" s="244">
        <f>G2-((G2-$M$2)/5)*5</f>
        <v>4.2800000000000005E-2</v>
      </c>
      <c r="M2" s="245">
        <f>WACC!C22</f>
        <v>4.2799999999999998E-2</v>
      </c>
    </row>
    <row r="3" spans="1:21" ht="15" customHeight="1">
      <c r="A3" s="242" t="s">
        <v>434</v>
      </c>
      <c r="B3" s="246">
        <f>'Income Statement'!E3</f>
        <v>7115</v>
      </c>
      <c r="C3" s="247">
        <f>B3*(1+C2)</f>
        <v>8158.0408006630996</v>
      </c>
      <c r="D3" s="247">
        <f t="shared" ref="D3:L3" si="0">C3*(1+D2)</f>
        <v>9353.9887147271711</v>
      </c>
      <c r="E3" s="247">
        <f t="shared" si="0"/>
        <v>10725.259533898306</v>
      </c>
      <c r="F3" s="247">
        <f t="shared" si="0"/>
        <v>12297.555147609737</v>
      </c>
      <c r="G3" s="247">
        <f t="shared" si="0"/>
        <v>14100.345276543185</v>
      </c>
      <c r="H3" s="247">
        <f t="shared" si="0"/>
        <v>15874.703872517619</v>
      </c>
      <c r="I3" s="247">
        <f t="shared" si="0"/>
        <v>17542.793392061532</v>
      </c>
      <c r="J3" s="247">
        <f t="shared" si="0"/>
        <v>19021.983781915598</v>
      </c>
      <c r="K3" s="247">
        <f t="shared" si="0"/>
        <v>20231.01133989271</v>
      </c>
      <c r="L3" s="247">
        <f t="shared" si="0"/>
        <v>21096.898625240116</v>
      </c>
      <c r="M3" s="248">
        <f>L3*(1+M2)</f>
        <v>21999.845886400391</v>
      </c>
    </row>
    <row r="4" spans="1:21" ht="15" customHeight="1">
      <c r="A4" s="242" t="s">
        <v>632</v>
      </c>
      <c r="B4" s="249">
        <f>B5/B3</f>
        <v>8.5579761068165866E-2</v>
      </c>
      <c r="C4" s="244">
        <f>B4</f>
        <v>8.5579761068165866E-2</v>
      </c>
      <c r="D4" s="244">
        <f>IF(D1&gt;$Q$14,$Q$13,$Q$13-(($Q$13-$C$4)/$Q$14)*($Q$14-D1))</f>
        <v>0.10734785664089952</v>
      </c>
      <c r="E4" s="244">
        <f t="shared" ref="E4:L4" si="1">IF(E1&gt;$Q$14,$Q$13,$Q$13-(($Q$13-$C$4)/$Q$14)*($Q$14-E1))</f>
        <v>0.11823190442726636</v>
      </c>
      <c r="F4" s="244">
        <f t="shared" si="1"/>
        <v>0.12911595221363317</v>
      </c>
      <c r="G4" s="244">
        <f t="shared" si="1"/>
        <v>0.14000000000000001</v>
      </c>
      <c r="H4" s="244">
        <f t="shared" si="1"/>
        <v>0.14000000000000001</v>
      </c>
      <c r="I4" s="244">
        <f t="shared" si="1"/>
        <v>0.14000000000000001</v>
      </c>
      <c r="J4" s="244">
        <f t="shared" si="1"/>
        <v>0.14000000000000001</v>
      </c>
      <c r="K4" s="244">
        <f t="shared" si="1"/>
        <v>0.14000000000000001</v>
      </c>
      <c r="L4" s="244">
        <f t="shared" si="1"/>
        <v>0.14000000000000001</v>
      </c>
      <c r="M4" s="245">
        <f>L4</f>
        <v>0.14000000000000001</v>
      </c>
    </row>
    <row r="5" spans="1:21" ht="15" customHeight="1">
      <c r="A5" s="242" t="s">
        <v>633</v>
      </c>
      <c r="B5" s="246">
        <f>'Income Statement'!E12</f>
        <v>608.90000000000009</v>
      </c>
      <c r="C5" s="247">
        <f t="shared" ref="C5:M5" si="2">C4*C3</f>
        <v>698.16318250509664</v>
      </c>
      <c r="D5" s="247">
        <f t="shared" si="2"/>
        <v>1004.1306395691244</v>
      </c>
      <c r="E5" s="247">
        <f t="shared" si="2"/>
        <v>1268.067860169492</v>
      </c>
      <c r="F5" s="247">
        <f t="shared" si="2"/>
        <v>1587.8105427832975</v>
      </c>
      <c r="G5" s="247">
        <f t="shared" si="2"/>
        <v>1974.0483387160461</v>
      </c>
      <c r="H5" s="247">
        <f t="shared" si="2"/>
        <v>2222.4585421524671</v>
      </c>
      <c r="I5" s="247">
        <f t="shared" si="2"/>
        <v>2455.9910748886145</v>
      </c>
      <c r="J5" s="247">
        <f t="shared" si="2"/>
        <v>2663.0777294681839</v>
      </c>
      <c r="K5" s="247">
        <f t="shared" si="2"/>
        <v>2832.3415875849796</v>
      </c>
      <c r="L5" s="247">
        <f t="shared" si="2"/>
        <v>2953.5658075336164</v>
      </c>
      <c r="M5" s="248">
        <f t="shared" si="2"/>
        <v>3079.9784240960553</v>
      </c>
      <c r="N5" s="250">
        <f>M5-B5</f>
        <v>2471.0784240960552</v>
      </c>
    </row>
    <row r="6" spans="1:21" ht="15" customHeight="1">
      <c r="A6" s="242" t="s">
        <v>136</v>
      </c>
      <c r="B6" s="251">
        <f>WACC!C20</f>
        <v>0.28163067401773845</v>
      </c>
      <c r="C6" s="252">
        <f>B6</f>
        <v>0.28163067401773845</v>
      </c>
      <c r="D6" s="252">
        <f>C6</f>
        <v>0.28163067401773845</v>
      </c>
      <c r="E6" s="252">
        <f>D6</f>
        <v>0.28163067401773845</v>
      </c>
      <c r="F6" s="252">
        <f>E6</f>
        <v>0.28163067401773845</v>
      </c>
      <c r="G6" s="252">
        <f>F6</f>
        <v>0.28163067401773845</v>
      </c>
      <c r="H6" s="252">
        <f>G6+($M$6-$G$6)/5</f>
        <v>0.27530453921419074</v>
      </c>
      <c r="I6" s="252">
        <f>H6+($M$6-$G$6)/5</f>
        <v>0.26897840441064302</v>
      </c>
      <c r="J6" s="252">
        <f>I6+($M$6-$G$6)/5</f>
        <v>0.26265226960709531</v>
      </c>
      <c r="K6" s="252">
        <f>J6+($M$6-$G$6)/5</f>
        <v>0.2563261348035476</v>
      </c>
      <c r="L6" s="252">
        <f>K6+($M$6-$G$6)/5</f>
        <v>0.24999999999999992</v>
      </c>
      <c r="M6" s="252">
        <f>VLOOKUP(WACC!C11,'Country equity risk premiums'!A4:F195,6)</f>
        <v>0.25</v>
      </c>
    </row>
    <row r="7" spans="1:21" ht="15" customHeight="1">
      <c r="A7" s="242" t="s">
        <v>634</v>
      </c>
      <c r="B7" s="246">
        <f>IF(B5&gt;0,B5*(1-B6),B5)</f>
        <v>437.41508259059913</v>
      </c>
      <c r="C7" s="247">
        <f>IF(C5&gt;0,IF(C5&lt;B10,C5,C5-(C5-B10)*C6),C5)</f>
        <v>501.53901484181694</v>
      </c>
      <c r="D7" s="247">
        <f t="shared" ref="D7:L7" si="3">IF(D5&gt;0,IF(D5&lt;C10,D5,D5-(D5-C10)*D6),D5)</f>
        <v>721.33665074540909</v>
      </c>
      <c r="E7" s="247">
        <f t="shared" si="3"/>
        <v>910.9410540097266</v>
      </c>
      <c r="F7" s="247">
        <f t="shared" si="3"/>
        <v>1140.6343894067663</v>
      </c>
      <c r="G7" s="247">
        <f t="shared" si="3"/>
        <v>1418.0957745398491</v>
      </c>
      <c r="H7" s="247">
        <f t="shared" si="3"/>
        <v>1610.6056172825402</v>
      </c>
      <c r="I7" s="247">
        <f t="shared" si="3"/>
        <v>1795.3825143182949</v>
      </c>
      <c r="J7" s="247">
        <f t="shared" si="3"/>
        <v>1963.6143196832552</v>
      </c>
      <c r="K7" s="247">
        <f t="shared" si="3"/>
        <v>2106.3384159959783</v>
      </c>
      <c r="L7" s="247">
        <f t="shared" si="3"/>
        <v>2215.1743556502124</v>
      </c>
      <c r="M7" s="247">
        <f>M5*(1-M6)</f>
        <v>2309.9838180720417</v>
      </c>
    </row>
    <row r="8" spans="1:21" ht="15" customHeight="1">
      <c r="A8" s="242" t="s">
        <v>714</v>
      </c>
      <c r="B8" s="246"/>
      <c r="C8" s="247">
        <f>(D3-C3)/C38</f>
        <v>929.52803440257412</v>
      </c>
      <c r="D8" s="247">
        <f t="shared" ref="D8:L8" si="4">(E3-D3)/D38</f>
        <v>1065.7944666221192</v>
      </c>
      <c r="E8" s="247">
        <f t="shared" si="4"/>
        <v>1222.0372092514704</v>
      </c>
      <c r="F8" s="247">
        <f t="shared" si="4"/>
        <v>1401.1847382996439</v>
      </c>
      <c r="G8" s="247">
        <f t="shared" si="4"/>
        <v>1379.0868637721182</v>
      </c>
      <c r="H8" s="247">
        <f t="shared" si="4"/>
        <v>1296.4912217959018</v>
      </c>
      <c r="I8" s="247">
        <f t="shared" si="4"/>
        <v>1149.672924229513</v>
      </c>
      <c r="J8" s="247">
        <f t="shared" si="4"/>
        <v>939.69394175873879</v>
      </c>
      <c r="K8" s="247">
        <f t="shared" si="4"/>
        <v>672.99461531569284</v>
      </c>
      <c r="L8" s="247">
        <f t="shared" si="4"/>
        <v>701.79878485120537</v>
      </c>
      <c r="M8" s="253">
        <f>IF(M2&gt;0,(M2/M40)*M7,0)</f>
        <v>1126.0513372834098</v>
      </c>
      <c r="N8" s="250">
        <f>SUM(C8:M8)</f>
        <v>11884.334137582386</v>
      </c>
    </row>
    <row r="9" spans="1:21" ht="15" customHeight="1">
      <c r="A9" s="242" t="s">
        <v>147</v>
      </c>
      <c r="B9" s="246">
        <f>B7-B8</f>
        <v>437.41508259059913</v>
      </c>
      <c r="C9" s="247">
        <f t="shared" ref="C9:L9" si="5">C7-C8</f>
        <v>-427.98901956075719</v>
      </c>
      <c r="D9" s="247">
        <f t="shared" si="5"/>
        <v>-344.45781587671013</v>
      </c>
      <c r="E9" s="247">
        <f t="shared" si="5"/>
        <v>-311.09615524174376</v>
      </c>
      <c r="F9" s="247">
        <f t="shared" si="5"/>
        <v>-260.55034889287754</v>
      </c>
      <c r="G9" s="247">
        <f t="shared" si="5"/>
        <v>39.008910767730868</v>
      </c>
      <c r="H9" s="247">
        <f t="shared" si="5"/>
        <v>314.11439548663839</v>
      </c>
      <c r="I9" s="247">
        <f t="shared" si="5"/>
        <v>645.70959008878185</v>
      </c>
      <c r="J9" s="247">
        <f t="shared" si="5"/>
        <v>1023.9203779245164</v>
      </c>
      <c r="K9" s="247">
        <f t="shared" si="5"/>
        <v>1433.3438006802853</v>
      </c>
      <c r="L9" s="247">
        <f t="shared" si="5"/>
        <v>1513.3755707990072</v>
      </c>
      <c r="M9" s="253">
        <f>M7-M8</f>
        <v>1183.9324807886319</v>
      </c>
    </row>
    <row r="10" spans="1:21" ht="15" customHeight="1">
      <c r="A10" s="242" t="s">
        <v>635</v>
      </c>
      <c r="B10" s="246">
        <f>0</f>
        <v>0</v>
      </c>
      <c r="C10" s="246">
        <f>0</f>
        <v>0</v>
      </c>
      <c r="D10" s="246">
        <f>0</f>
        <v>0</v>
      </c>
      <c r="E10" s="246">
        <f>0</f>
        <v>0</v>
      </c>
      <c r="F10" s="246">
        <f>0</f>
        <v>0</v>
      </c>
      <c r="G10" s="246">
        <f>0</f>
        <v>0</v>
      </c>
      <c r="H10" s="246">
        <f>0</f>
        <v>0</v>
      </c>
      <c r="I10" s="246">
        <f>0</f>
        <v>0</v>
      </c>
      <c r="J10" s="246">
        <f>0</f>
        <v>0</v>
      </c>
      <c r="K10" s="246">
        <f>0</f>
        <v>0</v>
      </c>
      <c r="L10" s="246">
        <f>0</f>
        <v>0</v>
      </c>
      <c r="M10" s="246">
        <f>0</f>
        <v>0</v>
      </c>
    </row>
    <row r="11" spans="1:21" ht="15" customHeight="1">
      <c r="B11" s="243"/>
      <c r="C11" s="254"/>
      <c r="D11" s="254"/>
      <c r="E11" s="254"/>
      <c r="F11" s="254"/>
      <c r="G11" s="254"/>
      <c r="H11" s="254"/>
      <c r="I11" s="254"/>
      <c r="J11" s="254"/>
      <c r="K11" s="254"/>
      <c r="L11" s="254"/>
      <c r="M11" s="254"/>
    </row>
    <row r="12" spans="1:21" ht="15" customHeight="1">
      <c r="A12" s="242" t="s">
        <v>153</v>
      </c>
      <c r="B12" s="249"/>
      <c r="C12" s="244">
        <f>WACC!C38</f>
        <v>9.293073327852705E-2</v>
      </c>
      <c r="D12" s="244">
        <f>C12</f>
        <v>9.293073327852705E-2</v>
      </c>
      <c r="E12" s="244">
        <f>D12</f>
        <v>9.293073327852705E-2</v>
      </c>
      <c r="F12" s="244">
        <f>E12</f>
        <v>9.293073327852705E-2</v>
      </c>
      <c r="G12" s="244">
        <f>F12</f>
        <v>9.293073327852705E-2</v>
      </c>
      <c r="H12" s="244">
        <f>G12-($G$12-$M$12)/5</f>
        <v>9.1904586622821638E-2</v>
      </c>
      <c r="I12" s="244">
        <f>H12-($G$12-$M$12)/5</f>
        <v>9.0878439967116226E-2</v>
      </c>
      <c r="J12" s="244">
        <f>I12-($G$12-$M$12)/5</f>
        <v>8.9852293311410814E-2</v>
      </c>
      <c r="K12" s="244">
        <f>J12-($G$12-$M$12)/5</f>
        <v>8.8826146655705401E-2</v>
      </c>
      <c r="L12" s="244">
        <f>K12-($G$12-$M$12)/5</f>
        <v>8.7799999999999989E-2</v>
      </c>
      <c r="M12" s="245">
        <f>0.045+WACC!C13</f>
        <v>8.7799999999999989E-2</v>
      </c>
    </row>
    <row r="13" spans="1:21" ht="15" customHeight="1">
      <c r="A13" s="242" t="s">
        <v>636</v>
      </c>
      <c r="B13" s="243"/>
      <c r="C13" s="255">
        <f>1/(1+C12)</f>
        <v>0.91497106774575065</v>
      </c>
      <c r="D13" s="255">
        <f>C13*(1/(1+D12))</f>
        <v>0.83717205481179902</v>
      </c>
      <c r="E13" s="255">
        <f t="shared" ref="E13:L13" si="6">D13*(1/(1+E12))</f>
        <v>0.76598820887805585</v>
      </c>
      <c r="F13" s="255">
        <f t="shared" si="6"/>
        <v>0.70085704935780979</v>
      </c>
      <c r="G13" s="255">
        <f t="shared" si="6"/>
        <v>0.64126392278805144</v>
      </c>
      <c r="H13" s="255">
        <f t="shared" si="6"/>
        <v>0.58728933887111179</v>
      </c>
      <c r="I13" s="255">
        <f t="shared" si="6"/>
        <v>0.53836368687313607</v>
      </c>
      <c r="J13" s="255">
        <f t="shared" si="6"/>
        <v>0.49397857872773759</v>
      </c>
      <c r="K13" s="255">
        <f t="shared" si="6"/>
        <v>0.45367993801855044</v>
      </c>
      <c r="L13" s="255">
        <f t="shared" si="6"/>
        <v>0.41706190294038464</v>
      </c>
      <c r="M13" s="254"/>
      <c r="P13" s="403" t="s">
        <v>732</v>
      </c>
      <c r="Q13" s="404">
        <v>0.14000000000000001</v>
      </c>
      <c r="R13" s="72" t="s">
        <v>734</v>
      </c>
    </row>
    <row r="14" spans="1:21" ht="15" customHeight="1">
      <c r="A14" s="242" t="s">
        <v>637</v>
      </c>
      <c r="B14" s="243"/>
      <c r="C14" s="247">
        <f t="shared" ref="C14:L14" si="7">C9*C13</f>
        <v>-391.59757021096294</v>
      </c>
      <c r="D14" s="247">
        <f t="shared" si="7"/>
        <v>-288.37045751348973</v>
      </c>
      <c r="E14" s="247">
        <f t="shared" si="7"/>
        <v>-238.29598674247291</v>
      </c>
      <c r="F14" s="247">
        <f t="shared" si="7"/>
        <v>-182.60854873421005</v>
      </c>
      <c r="G14" s="247">
        <f t="shared" si="7"/>
        <v>25.015007142604155</v>
      </c>
      <c r="H14" s="247">
        <f t="shared" si="7"/>
        <v>184.47603565524679</v>
      </c>
      <c r="I14" s="247">
        <f t="shared" si="7"/>
        <v>347.62659556953798</v>
      </c>
      <c r="J14" s="247">
        <f t="shared" si="7"/>
        <v>505.79473301752057</v>
      </c>
      <c r="K14" s="247">
        <f t="shared" si="7"/>
        <v>650.27932665190531</v>
      </c>
      <c r="L14" s="247">
        <f t="shared" si="7"/>
        <v>631.17129542092471</v>
      </c>
      <c r="M14" s="254"/>
      <c r="P14" s="403" t="s">
        <v>733</v>
      </c>
      <c r="Q14" s="405">
        <v>5</v>
      </c>
    </row>
    <row r="15" spans="1:21" ht="15" customHeight="1"/>
    <row r="16" spans="1:21" ht="15" customHeight="1">
      <c r="A16" s="257" t="s">
        <v>638</v>
      </c>
      <c r="B16" s="246">
        <f>M9</f>
        <v>1183.9324807886319</v>
      </c>
    </row>
    <row r="17" spans="1:13" ht="15" customHeight="1">
      <c r="A17" s="257" t="s">
        <v>639</v>
      </c>
      <c r="B17" s="249">
        <f>M12</f>
        <v>8.7799999999999989E-2</v>
      </c>
      <c r="D17" s="258"/>
    </row>
    <row r="18" spans="1:13">
      <c r="A18" s="257" t="s">
        <v>640</v>
      </c>
      <c r="B18" s="246">
        <f>B16/(B17-M2)</f>
        <v>26309.610684191826</v>
      </c>
      <c r="D18" s="259"/>
      <c r="M18" s="258"/>
    </row>
    <row r="19" spans="1:13">
      <c r="A19" s="257" t="s">
        <v>641</v>
      </c>
      <c r="B19" s="260">
        <f>B18*L13</f>
        <v>10972.736297569718</v>
      </c>
      <c r="D19" s="258"/>
    </row>
    <row r="20" spans="1:13">
      <c r="A20" s="257" t="s">
        <v>642</v>
      </c>
      <c r="B20" s="260">
        <f>SUM(C14:L14)</f>
        <v>1243.490430256604</v>
      </c>
    </row>
    <row r="21" spans="1:13">
      <c r="A21" s="257" t="s">
        <v>643</v>
      </c>
      <c r="B21" s="260">
        <f>B19+B20</f>
        <v>12216.226727826323</v>
      </c>
    </row>
    <row r="22" spans="1:13">
      <c r="A22" s="257" t="s">
        <v>644</v>
      </c>
      <c r="B22" s="261">
        <f>'Failure Rate worksheet'!K9</f>
        <v>3.32E-2</v>
      </c>
      <c r="E22" s="258"/>
    </row>
    <row r="23" spans="1:13">
      <c r="A23" s="257" t="s">
        <v>645</v>
      </c>
      <c r="B23" s="262">
        <f>B21*0.5</f>
        <v>6108.1133639131613</v>
      </c>
    </row>
    <row r="24" spans="1:13">
      <c r="A24" s="257" t="s">
        <v>646</v>
      </c>
      <c r="B24" s="246">
        <f>B21*(1-B22)+B23*B22</f>
        <v>12013.437364144405</v>
      </c>
    </row>
    <row r="25" spans="1:13">
      <c r="A25" s="257" t="s">
        <v>647</v>
      </c>
      <c r="B25" s="246">
        <f>'Balance Sheet'!L14</f>
        <v>5981.97</v>
      </c>
    </row>
    <row r="26" spans="1:13">
      <c r="A26" s="257" t="s">
        <v>648</v>
      </c>
      <c r="B26" s="246">
        <f>0</f>
        <v>0</v>
      </c>
    </row>
    <row r="27" spans="1:13" ht="16" customHeight="1">
      <c r="A27" s="257" t="s">
        <v>649</v>
      </c>
      <c r="B27" s="246">
        <f>'Balance Sheet'!E5</f>
        <v>295.33999999999997</v>
      </c>
    </row>
    <row r="28" spans="1:13">
      <c r="A28" s="257" t="s">
        <v>650</v>
      </c>
      <c r="B28" s="246">
        <f>'Balance Sheet'!L8</f>
        <v>1001</v>
      </c>
    </row>
    <row r="29" spans="1:13">
      <c r="A29" s="257" t="s">
        <v>651</v>
      </c>
      <c r="B29" s="260">
        <f>B24-B25-B26+B27+B28</f>
        <v>7327.8073641444053</v>
      </c>
    </row>
    <row r="30" spans="1:13">
      <c r="A30" s="257" t="s">
        <v>652</v>
      </c>
      <c r="B30" s="263">
        <f>0</f>
        <v>0</v>
      </c>
    </row>
    <row r="31" spans="1:13">
      <c r="A31" s="257" t="s">
        <v>653</v>
      </c>
      <c r="B31" s="260">
        <f>B29-B30</f>
        <v>7327.8073641444053</v>
      </c>
    </row>
    <row r="32" spans="1:13">
      <c r="A32" s="257" t="s">
        <v>717</v>
      </c>
      <c r="B32" s="264">
        <f>66</f>
        <v>66</v>
      </c>
    </row>
    <row r="33" spans="1:13">
      <c r="A33" s="257" t="s">
        <v>654</v>
      </c>
      <c r="B33" s="402">
        <f>B31/B32</f>
        <v>111.02738430521826</v>
      </c>
    </row>
    <row r="34" spans="1:13">
      <c r="A34" s="257" t="s">
        <v>718</v>
      </c>
      <c r="B34" s="246">
        <f>83.58</f>
        <v>83.58</v>
      </c>
    </row>
    <row r="35" spans="1:13">
      <c r="A35" s="257" t="s">
        <v>655</v>
      </c>
      <c r="B35" s="251">
        <f>B34/B33</f>
        <v>0.75278725625234566</v>
      </c>
    </row>
    <row r="37" spans="1:13">
      <c r="A37" s="265" t="s">
        <v>656</v>
      </c>
      <c r="B37" s="243"/>
      <c r="C37" s="254"/>
      <c r="D37" s="254"/>
      <c r="E37" s="254"/>
      <c r="F37" s="254"/>
      <c r="G37" s="254"/>
      <c r="H37" s="254"/>
      <c r="I37" s="254"/>
      <c r="J37" s="254"/>
      <c r="K37" s="254"/>
      <c r="L37" s="254"/>
      <c r="M37" s="254" t="s">
        <v>657</v>
      </c>
    </row>
    <row r="38" spans="1:13">
      <c r="A38" s="257" t="s">
        <v>658</v>
      </c>
      <c r="B38" s="243"/>
      <c r="C38" s="266">
        <f>'Stories to Numbers'!C12</f>
        <v>1.286618444846293</v>
      </c>
      <c r="D38" s="266">
        <f>C38</f>
        <v>1.286618444846293</v>
      </c>
      <c r="E38" s="266">
        <f t="shared" ref="E38:L38" si="8">D38</f>
        <v>1.286618444846293</v>
      </c>
      <c r="F38" s="266">
        <f t="shared" si="8"/>
        <v>1.286618444846293</v>
      </c>
      <c r="G38" s="266">
        <f t="shared" si="8"/>
        <v>1.286618444846293</v>
      </c>
      <c r="H38" s="266">
        <f t="shared" si="8"/>
        <v>1.286618444846293</v>
      </c>
      <c r="I38" s="266">
        <f t="shared" si="8"/>
        <v>1.286618444846293</v>
      </c>
      <c r="J38" s="266">
        <f t="shared" si="8"/>
        <v>1.286618444846293</v>
      </c>
      <c r="K38" s="266">
        <f t="shared" si="8"/>
        <v>1.286618444846293</v>
      </c>
      <c r="L38" s="266">
        <f t="shared" si="8"/>
        <v>1.286618444846293</v>
      </c>
      <c r="M38" s="254"/>
    </row>
    <row r="39" spans="1:13">
      <c r="A39" s="257" t="s">
        <v>659</v>
      </c>
      <c r="B39" s="267">
        <f>8900</f>
        <v>8900</v>
      </c>
      <c r="C39" s="268">
        <f t="shared" ref="C39:L39" si="9">B39+C8</f>
        <v>9829.5280344025741</v>
      </c>
      <c r="D39" s="268">
        <f t="shared" si="9"/>
        <v>10895.322501024693</v>
      </c>
      <c r="E39" s="268">
        <f t="shared" si="9"/>
        <v>12117.359710276163</v>
      </c>
      <c r="F39" s="268">
        <f t="shared" si="9"/>
        <v>13518.544448575807</v>
      </c>
      <c r="G39" s="268">
        <f t="shared" si="9"/>
        <v>14897.631312347925</v>
      </c>
      <c r="H39" s="268">
        <f t="shared" si="9"/>
        <v>16194.122534143826</v>
      </c>
      <c r="I39" s="268">
        <f t="shared" si="9"/>
        <v>17343.795458373337</v>
      </c>
      <c r="J39" s="268">
        <f t="shared" si="9"/>
        <v>18283.489400132075</v>
      </c>
      <c r="K39" s="268">
        <f t="shared" si="9"/>
        <v>18956.484015447768</v>
      </c>
      <c r="L39" s="268">
        <f t="shared" si="9"/>
        <v>19658.282800298974</v>
      </c>
      <c r="M39" s="254"/>
    </row>
    <row r="40" spans="1:13">
      <c r="A40" s="257" t="s">
        <v>660</v>
      </c>
      <c r="B40" s="249">
        <f>B7/B39</f>
        <v>4.9147762088831363E-2</v>
      </c>
      <c r="C40" s="244">
        <f>C7/B39</f>
        <v>5.6352698296833363E-2</v>
      </c>
      <c r="D40" s="244">
        <f t="shared" ref="D40:L40" si="10">D7/C39</f>
        <v>7.3384667933270809E-2</v>
      </c>
      <c r="E40" s="244">
        <f t="shared" si="10"/>
        <v>8.3608452519331439E-2</v>
      </c>
      <c r="F40" s="244">
        <f t="shared" si="10"/>
        <v>9.4132254606541718E-2</v>
      </c>
      <c r="G40" s="244">
        <f t="shared" si="10"/>
        <v>0.10490003416671438</v>
      </c>
      <c r="H40" s="244">
        <f t="shared" si="10"/>
        <v>0.10811152347068673</v>
      </c>
      <c r="I40" s="244">
        <f t="shared" si="10"/>
        <v>0.11086630415034189</v>
      </c>
      <c r="J40" s="244">
        <f t="shared" si="10"/>
        <v>0.11321710547129696</v>
      </c>
      <c r="K40" s="244">
        <f t="shared" si="10"/>
        <v>0.11520439943924285</v>
      </c>
      <c r="L40" s="244">
        <f t="shared" si="10"/>
        <v>0.11685576047989973</v>
      </c>
      <c r="M40" s="244">
        <f>IF('[2]Input sheet'!B48="Yes",'[2]Input sheet'!B49,'Valuation output'!L12)</f>
        <v>8.7799999999999989E-2</v>
      </c>
    </row>
  </sheetData>
  <pageMargins left="0.75" right="0.75" top="1" bottom="1" header="0.5" footer="0.5"/>
  <pageSetup orientation="landscape" horizontalDpi="4294967292" verticalDpi="4294967292"/>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B3FF3-EE1D-6A4C-BB97-29D5D59B63CB}">
  <sheetPr>
    <tabColor theme="7" tint="0.39997558519241921"/>
  </sheetPr>
  <dimension ref="A1:N40"/>
  <sheetViews>
    <sheetView topLeftCell="A30" zoomScale="116" zoomScaleNormal="116" workbookViewId="0">
      <selection activeCell="F26" sqref="F26"/>
    </sheetView>
  </sheetViews>
  <sheetFormatPr baseColWidth="10" defaultRowHeight="16"/>
  <cols>
    <col min="1" max="1" width="20.33203125" style="363" customWidth="1"/>
    <col min="2" max="2" width="19.5" style="363" customWidth="1"/>
    <col min="3" max="3" width="17.6640625" style="363" customWidth="1"/>
    <col min="4" max="4" width="16.5" style="363" customWidth="1"/>
    <col min="5" max="5" width="19.1640625" style="363" customWidth="1"/>
    <col min="6" max="6" width="24.6640625" style="371" customWidth="1"/>
    <col min="7" max="7" width="48" style="363" customWidth="1"/>
    <col min="8" max="8" width="17" style="72" customWidth="1"/>
    <col min="9" max="12" width="10.83203125" style="72"/>
    <col min="13" max="13" width="12.5" style="72" bestFit="1" customWidth="1"/>
    <col min="14" max="16384" width="10.83203125" style="72"/>
  </cols>
  <sheetData>
    <row r="1" spans="1:14">
      <c r="A1" s="269" t="s">
        <v>719</v>
      </c>
      <c r="B1" s="270"/>
      <c r="C1" s="270"/>
      <c r="D1" s="270"/>
      <c r="E1" s="270"/>
      <c r="F1" s="271"/>
      <c r="G1" s="272" t="s">
        <v>720</v>
      </c>
      <c r="J1" s="205" t="s">
        <v>729</v>
      </c>
      <c r="K1" s="112"/>
      <c r="L1" s="112"/>
      <c r="M1" s="112"/>
      <c r="N1" s="112"/>
    </row>
    <row r="2" spans="1:14">
      <c r="A2" s="273" t="s">
        <v>724</v>
      </c>
      <c r="B2" s="273"/>
      <c r="C2" s="273"/>
      <c r="D2" s="273"/>
      <c r="E2" s="273"/>
      <c r="F2" s="273"/>
      <c r="G2" s="273"/>
    </row>
    <row r="3" spans="1:14" ht="16" customHeight="1">
      <c r="A3" s="274" t="s">
        <v>725</v>
      </c>
      <c r="B3" s="275"/>
      <c r="C3" s="275"/>
      <c r="D3" s="275"/>
      <c r="E3" s="275"/>
      <c r="F3" s="275"/>
      <c r="G3" s="276"/>
      <c r="H3" s="277" t="s">
        <v>661</v>
      </c>
      <c r="I3" s="278"/>
      <c r="J3" s="278"/>
      <c r="K3" s="279"/>
    </row>
    <row r="4" spans="1:14" ht="16" customHeight="1">
      <c r="A4" s="280"/>
      <c r="B4" s="281"/>
      <c r="C4" s="281"/>
      <c r="D4" s="281"/>
      <c r="E4" s="281"/>
      <c r="F4" s="281"/>
      <c r="G4" s="282"/>
      <c r="H4" s="283"/>
      <c r="I4" s="284"/>
      <c r="J4" s="284"/>
      <c r="K4" s="285"/>
    </row>
    <row r="5" spans="1:14" ht="12" customHeight="1">
      <c r="A5" s="280"/>
      <c r="B5" s="281"/>
      <c r="C5" s="281"/>
      <c r="D5" s="281"/>
      <c r="E5" s="281"/>
      <c r="F5" s="281"/>
      <c r="G5" s="282"/>
      <c r="H5" s="283"/>
      <c r="I5" s="284"/>
      <c r="J5" s="284"/>
      <c r="K5" s="285"/>
    </row>
    <row r="6" spans="1:14" ht="17" customHeight="1">
      <c r="A6" s="286"/>
      <c r="B6" s="287"/>
      <c r="C6" s="287"/>
      <c r="D6" s="287"/>
      <c r="E6" s="287"/>
      <c r="F6" s="287"/>
      <c r="G6" s="288"/>
      <c r="H6" s="289"/>
      <c r="I6" s="290"/>
      <c r="J6" s="290"/>
      <c r="K6" s="291"/>
    </row>
    <row r="7" spans="1:14">
      <c r="A7" s="292" t="s">
        <v>662</v>
      </c>
      <c r="B7" s="293"/>
      <c r="C7" s="293"/>
      <c r="D7" s="293"/>
      <c r="E7" s="293"/>
      <c r="F7" s="293"/>
      <c r="G7" s="294"/>
    </row>
    <row r="8" spans="1:14">
      <c r="A8" s="295"/>
      <c r="B8" s="296" t="s">
        <v>663</v>
      </c>
      <c r="C8" s="297" t="s">
        <v>664</v>
      </c>
      <c r="D8" s="298" t="s">
        <v>665</v>
      </c>
      <c r="E8" s="296" t="s">
        <v>666</v>
      </c>
      <c r="F8" s="296" t="s">
        <v>657</v>
      </c>
      <c r="G8" s="299" t="s">
        <v>667</v>
      </c>
    </row>
    <row r="9" spans="1:14">
      <c r="A9" s="300" t="s">
        <v>668</v>
      </c>
      <c r="B9" s="301">
        <f>'Valuation output'!B3</f>
        <v>7115</v>
      </c>
      <c r="C9" s="302">
        <f>'Valuation output'!C2</f>
        <v>0.14659744211709058</v>
      </c>
      <c r="D9" s="303">
        <f>'Valuation output'!D2</f>
        <v>0.14659744211709058</v>
      </c>
      <c r="E9" s="303" t="s">
        <v>669</v>
      </c>
      <c r="F9" s="192">
        <f>'Valuation output'!M2</f>
        <v>4.2799999999999998E-2</v>
      </c>
      <c r="G9" s="304" t="s">
        <v>722</v>
      </c>
      <c r="H9" s="305" t="s">
        <v>670</v>
      </c>
      <c r="I9" s="306"/>
      <c r="J9" s="306"/>
      <c r="K9" s="307"/>
    </row>
    <row r="10" spans="1:14" ht="34">
      <c r="A10" s="300" t="s">
        <v>671</v>
      </c>
      <c r="B10" s="192">
        <f>'Valuation output'!B4</f>
        <v>8.5579761068165866E-2</v>
      </c>
      <c r="C10" s="302">
        <f>0.0817</f>
        <v>8.1699999999999995E-2</v>
      </c>
      <c r="D10" s="308" t="s">
        <v>672</v>
      </c>
      <c r="E10" s="309">
        <f>'Valuation output'!G4</f>
        <v>0.14000000000000001</v>
      </c>
      <c r="F10" s="192">
        <f>'Valuation output'!M4</f>
        <v>0.14000000000000001</v>
      </c>
      <c r="G10" s="310" t="s">
        <v>723</v>
      </c>
      <c r="H10" s="311"/>
      <c r="I10" s="312"/>
      <c r="J10" s="312"/>
      <c r="K10" s="313"/>
    </row>
    <row r="11" spans="1:14">
      <c r="A11" s="300" t="s">
        <v>136</v>
      </c>
      <c r="B11" s="192">
        <f>'Valuation output'!B6</f>
        <v>0.28163067401773845</v>
      </c>
      <c r="C11" s="314"/>
      <c r="D11" s="303">
        <f>B11</f>
        <v>0.28163067401773845</v>
      </c>
      <c r="E11" s="303" t="s">
        <v>669</v>
      </c>
      <c r="F11" s="192">
        <f>'Valuation output'!M6</f>
        <v>0.25</v>
      </c>
      <c r="G11" s="315" t="s">
        <v>673</v>
      </c>
      <c r="H11" s="311"/>
      <c r="I11" s="312"/>
      <c r="J11" s="312"/>
      <c r="K11" s="313"/>
    </row>
    <row r="12" spans="1:14">
      <c r="A12" s="300" t="s">
        <v>674</v>
      </c>
      <c r="B12" s="191"/>
      <c r="C12" s="316">
        <f>B9/5530</f>
        <v>1.286618444846293</v>
      </c>
      <c r="D12" s="317">
        <f>C12</f>
        <v>1.286618444846293</v>
      </c>
      <c r="E12" s="318">
        <f>C12</f>
        <v>1.286618444846293</v>
      </c>
      <c r="F12" s="319">
        <f>'Valuation output'!M2/'Valuation output'!M40</f>
        <v>0.48747152619589978</v>
      </c>
      <c r="G12" s="315" t="s">
        <v>721</v>
      </c>
      <c r="H12" s="311"/>
      <c r="I12" s="312"/>
      <c r="J12" s="312"/>
      <c r="K12" s="313"/>
    </row>
    <row r="13" spans="1:14">
      <c r="A13" s="320" t="s">
        <v>152</v>
      </c>
      <c r="B13" s="321">
        <f>0.0941</f>
        <v>9.4100000000000003E-2</v>
      </c>
      <c r="C13" s="192" t="s">
        <v>675</v>
      </c>
      <c r="D13" s="322">
        <f>('Valuation output'!L7-'Valuation output'!B7)/('Valuation output'!L39-'Valuation output'!B39)</f>
        <v>0.16524563501995032</v>
      </c>
      <c r="E13" s="323"/>
      <c r="F13" s="324">
        <f>'Valuation output'!M40</f>
        <v>8.7799999999999989E-2</v>
      </c>
      <c r="G13" s="325" t="s">
        <v>676</v>
      </c>
      <c r="H13" s="311"/>
      <c r="I13" s="312"/>
      <c r="J13" s="312"/>
      <c r="K13" s="313"/>
    </row>
    <row r="14" spans="1:14" ht="17" thickBot="1">
      <c r="A14" s="326" t="s">
        <v>677</v>
      </c>
      <c r="B14" s="327"/>
      <c r="C14" s="191"/>
      <c r="D14" s="308">
        <f>'Valuation output'!C12</f>
        <v>9.293073327852705E-2</v>
      </c>
      <c r="E14" s="309"/>
      <c r="F14" s="328">
        <f>'Valuation output'!M12</f>
        <v>8.7799999999999989E-2</v>
      </c>
      <c r="G14" s="329" t="s">
        <v>678</v>
      </c>
      <c r="H14" s="330"/>
      <c r="I14" s="331"/>
      <c r="J14" s="331"/>
      <c r="K14" s="332"/>
    </row>
    <row r="15" spans="1:14" ht="17" thickBot="1">
      <c r="A15" s="333" t="s">
        <v>679</v>
      </c>
      <c r="B15" s="333"/>
      <c r="C15" s="333"/>
      <c r="D15" s="333"/>
      <c r="E15" s="333"/>
      <c r="F15" s="333"/>
      <c r="G15" s="333"/>
    </row>
    <row r="16" spans="1:14">
      <c r="A16" s="334"/>
      <c r="B16" s="335" t="s">
        <v>434</v>
      </c>
      <c r="C16" s="335" t="s">
        <v>33</v>
      </c>
      <c r="D16" s="336" t="s">
        <v>77</v>
      </c>
      <c r="E16" s="336" t="s">
        <v>149</v>
      </c>
      <c r="F16" s="336" t="s">
        <v>680</v>
      </c>
      <c r="G16" s="337" t="s">
        <v>147</v>
      </c>
      <c r="H16" s="338" t="s">
        <v>681</v>
      </c>
      <c r="I16" s="339"/>
      <c r="J16" s="339"/>
      <c r="K16" s="340"/>
    </row>
    <row r="17" spans="1:11">
      <c r="A17" s="341">
        <v>1</v>
      </c>
      <c r="B17" s="301">
        <f>'Valuation output'!C3</f>
        <v>8158.0408006630996</v>
      </c>
      <c r="C17" s="342">
        <f>'Valuation output'!C4</f>
        <v>8.5579761068165866E-2</v>
      </c>
      <c r="D17" s="301">
        <f>B17*C17</f>
        <v>698.16318250509664</v>
      </c>
      <c r="E17" s="301">
        <f>'Valuation output'!C7</f>
        <v>501.53901484181694</v>
      </c>
      <c r="F17" s="301">
        <f>'Valuation output'!C8</f>
        <v>929.52803440257412</v>
      </c>
      <c r="G17" s="343">
        <f>E17-F17</f>
        <v>-427.98901956075719</v>
      </c>
      <c r="H17" s="344"/>
      <c r="I17" s="345"/>
      <c r="J17" s="345"/>
      <c r="K17" s="346"/>
    </row>
    <row r="18" spans="1:11">
      <c r="A18" s="341">
        <v>2</v>
      </c>
      <c r="B18" s="301">
        <f>'Valuation output'!D3</f>
        <v>9353.9887147271711</v>
      </c>
      <c r="C18" s="342">
        <f>'Valuation output'!D4</f>
        <v>0.10734785664089952</v>
      </c>
      <c r="D18" s="301">
        <f t="shared" ref="D18:D27" si="0">B18*C18</f>
        <v>1004.1306395691244</v>
      </c>
      <c r="E18" s="301">
        <f>'Valuation output'!D7</f>
        <v>721.33665074540909</v>
      </c>
      <c r="F18" s="301">
        <f>'Valuation output'!D8</f>
        <v>1065.7944666221192</v>
      </c>
      <c r="G18" s="343">
        <f t="shared" ref="G18:G27" si="1">E18-F18</f>
        <v>-344.45781587671013</v>
      </c>
      <c r="H18" s="344"/>
      <c r="I18" s="345"/>
      <c r="J18" s="345"/>
      <c r="K18" s="346"/>
    </row>
    <row r="19" spans="1:11">
      <c r="A19" s="341">
        <v>3</v>
      </c>
      <c r="B19" s="301">
        <f>'Valuation output'!E3</f>
        <v>10725.259533898306</v>
      </c>
      <c r="C19" s="342">
        <f>'Valuation output'!E4</f>
        <v>0.11823190442726636</v>
      </c>
      <c r="D19" s="301">
        <f t="shared" si="0"/>
        <v>1268.067860169492</v>
      </c>
      <c r="E19" s="301">
        <f>'Valuation output'!E7</f>
        <v>910.9410540097266</v>
      </c>
      <c r="F19" s="301">
        <f>'Valuation output'!E8</f>
        <v>1222.0372092514704</v>
      </c>
      <c r="G19" s="343">
        <f t="shared" si="1"/>
        <v>-311.09615524174376</v>
      </c>
      <c r="H19" s="344"/>
      <c r="I19" s="345"/>
      <c r="J19" s="345"/>
      <c r="K19" s="346"/>
    </row>
    <row r="20" spans="1:11">
      <c r="A20" s="341">
        <v>4</v>
      </c>
      <c r="B20" s="301">
        <f>'Valuation output'!F3</f>
        <v>12297.555147609737</v>
      </c>
      <c r="C20" s="342">
        <f>'Valuation output'!F4</f>
        <v>0.12911595221363317</v>
      </c>
      <c r="D20" s="301">
        <f t="shared" si="0"/>
        <v>1587.8105427832975</v>
      </c>
      <c r="E20" s="301">
        <f>'Valuation output'!F7</f>
        <v>1140.6343894067663</v>
      </c>
      <c r="F20" s="301">
        <f>'Valuation output'!F8</f>
        <v>1401.1847382996439</v>
      </c>
      <c r="G20" s="343">
        <f t="shared" si="1"/>
        <v>-260.55034889287754</v>
      </c>
      <c r="H20" s="344"/>
      <c r="I20" s="345"/>
      <c r="J20" s="345"/>
      <c r="K20" s="346"/>
    </row>
    <row r="21" spans="1:11">
      <c r="A21" s="341">
        <v>5</v>
      </c>
      <c r="B21" s="301">
        <f>'Valuation output'!G3</f>
        <v>14100.345276543185</v>
      </c>
      <c r="C21" s="342">
        <f>'Valuation output'!G4</f>
        <v>0.14000000000000001</v>
      </c>
      <c r="D21" s="301">
        <f t="shared" si="0"/>
        <v>1974.0483387160461</v>
      </c>
      <c r="E21" s="301">
        <f>'Valuation output'!G7</f>
        <v>1418.0957745398491</v>
      </c>
      <c r="F21" s="301">
        <f>'Valuation output'!G8</f>
        <v>1379.0868637721182</v>
      </c>
      <c r="G21" s="343">
        <f t="shared" si="1"/>
        <v>39.008910767730868</v>
      </c>
      <c r="H21" s="344"/>
      <c r="I21" s="345"/>
      <c r="J21" s="345"/>
      <c r="K21" s="346"/>
    </row>
    <row r="22" spans="1:11">
      <c r="A22" s="341">
        <v>6</v>
      </c>
      <c r="B22" s="301">
        <f>'Valuation output'!H3</f>
        <v>15874.703872517619</v>
      </c>
      <c r="C22" s="342">
        <f>'Valuation output'!H4</f>
        <v>0.14000000000000001</v>
      </c>
      <c r="D22" s="301">
        <f t="shared" si="0"/>
        <v>2222.4585421524671</v>
      </c>
      <c r="E22" s="301">
        <f>'Valuation output'!H7</f>
        <v>1610.6056172825402</v>
      </c>
      <c r="F22" s="301">
        <f>'Valuation output'!H8</f>
        <v>1296.4912217959018</v>
      </c>
      <c r="G22" s="343">
        <f t="shared" si="1"/>
        <v>314.11439548663839</v>
      </c>
      <c r="H22" s="344"/>
      <c r="I22" s="345"/>
      <c r="J22" s="345"/>
      <c r="K22" s="346"/>
    </row>
    <row r="23" spans="1:11">
      <c r="A23" s="341">
        <v>7</v>
      </c>
      <c r="B23" s="301">
        <f>'Valuation output'!I3</f>
        <v>17542.793392061532</v>
      </c>
      <c r="C23" s="342">
        <f>'Valuation output'!I4</f>
        <v>0.14000000000000001</v>
      </c>
      <c r="D23" s="301">
        <f t="shared" si="0"/>
        <v>2455.9910748886145</v>
      </c>
      <c r="E23" s="301">
        <f>'Valuation output'!I7</f>
        <v>1795.3825143182949</v>
      </c>
      <c r="F23" s="301">
        <f>'Valuation output'!I8</f>
        <v>1149.672924229513</v>
      </c>
      <c r="G23" s="343">
        <f t="shared" si="1"/>
        <v>645.70959008878185</v>
      </c>
      <c r="H23" s="344"/>
      <c r="I23" s="345"/>
      <c r="J23" s="345"/>
      <c r="K23" s="346"/>
    </row>
    <row r="24" spans="1:11">
      <c r="A24" s="341">
        <v>8</v>
      </c>
      <c r="B24" s="301">
        <f>'Valuation output'!J3</f>
        <v>19021.983781915598</v>
      </c>
      <c r="C24" s="342">
        <f>'Valuation output'!J4</f>
        <v>0.14000000000000001</v>
      </c>
      <c r="D24" s="301">
        <f t="shared" si="0"/>
        <v>2663.0777294681839</v>
      </c>
      <c r="E24" s="301">
        <f>'Valuation output'!J7</f>
        <v>1963.6143196832552</v>
      </c>
      <c r="F24" s="301">
        <f>'Valuation output'!J8</f>
        <v>939.69394175873879</v>
      </c>
      <c r="G24" s="343">
        <f t="shared" si="1"/>
        <v>1023.9203779245164</v>
      </c>
      <c r="H24" s="344"/>
      <c r="I24" s="345"/>
      <c r="J24" s="345"/>
      <c r="K24" s="346"/>
    </row>
    <row r="25" spans="1:11">
      <c r="A25" s="341">
        <v>9</v>
      </c>
      <c r="B25" s="301">
        <f>'Valuation output'!K3</f>
        <v>20231.01133989271</v>
      </c>
      <c r="C25" s="342">
        <f>'Valuation output'!K4</f>
        <v>0.14000000000000001</v>
      </c>
      <c r="D25" s="301">
        <f t="shared" si="0"/>
        <v>2832.3415875849796</v>
      </c>
      <c r="E25" s="301">
        <f>'Valuation output'!K7</f>
        <v>2106.3384159959783</v>
      </c>
      <c r="F25" s="301">
        <f>'Valuation output'!K8</f>
        <v>672.99461531569284</v>
      </c>
      <c r="G25" s="343">
        <f t="shared" si="1"/>
        <v>1433.3438006802853</v>
      </c>
      <c r="H25" s="344"/>
      <c r="I25" s="345"/>
      <c r="J25" s="345"/>
      <c r="K25" s="346"/>
    </row>
    <row r="26" spans="1:11">
      <c r="A26" s="341">
        <v>10</v>
      </c>
      <c r="B26" s="301">
        <f>'Valuation output'!L3</f>
        <v>21096.898625240116</v>
      </c>
      <c r="C26" s="342">
        <f>'Valuation output'!L4</f>
        <v>0.14000000000000001</v>
      </c>
      <c r="D26" s="301">
        <f t="shared" si="0"/>
        <v>2953.5658075336164</v>
      </c>
      <c r="E26" s="301">
        <f>'Valuation output'!L7</f>
        <v>2215.1743556502124</v>
      </c>
      <c r="F26" s="301">
        <f>'Valuation output'!L8</f>
        <v>701.79878485120537</v>
      </c>
      <c r="G26" s="343">
        <f t="shared" si="1"/>
        <v>1513.3755707990072</v>
      </c>
      <c r="H26" s="344"/>
      <c r="I26" s="345"/>
      <c r="J26" s="345"/>
      <c r="K26" s="346"/>
    </row>
    <row r="27" spans="1:11" ht="17" thickBot="1">
      <c r="A27" s="347" t="s">
        <v>630</v>
      </c>
      <c r="B27" s="348">
        <f>'Valuation output'!M3</f>
        <v>21999.845886400391</v>
      </c>
      <c r="C27" s="349">
        <f>'Valuation output'!M4</f>
        <v>0.14000000000000001</v>
      </c>
      <c r="D27" s="348">
        <f t="shared" si="0"/>
        <v>3079.9784240960553</v>
      </c>
      <c r="E27" s="348">
        <f>'Valuation output'!M7</f>
        <v>2309.9838180720417</v>
      </c>
      <c r="F27" s="348">
        <f>'Valuation output'!M8</f>
        <v>1126.0513372834098</v>
      </c>
      <c r="G27" s="348">
        <f t="shared" si="1"/>
        <v>1183.9324807886319</v>
      </c>
      <c r="H27" s="350"/>
      <c r="I27" s="351"/>
      <c r="J27" s="351"/>
      <c r="K27" s="352"/>
    </row>
    <row r="28" spans="1:11" ht="17" thickBot="1">
      <c r="A28" s="333" t="s">
        <v>682</v>
      </c>
      <c r="B28" s="333"/>
      <c r="C28" s="333"/>
      <c r="D28" s="333"/>
      <c r="E28" s="333"/>
      <c r="F28" s="333"/>
      <c r="G28" s="333"/>
    </row>
    <row r="29" spans="1:11">
      <c r="A29" s="353" t="s">
        <v>683</v>
      </c>
      <c r="B29" s="354"/>
      <c r="C29" s="354"/>
      <c r="D29" s="355">
        <f>'Valuation output'!B18</f>
        <v>26309.610684191826</v>
      </c>
      <c r="E29" s="356"/>
      <c r="F29" s="357"/>
      <c r="G29" s="358"/>
      <c r="H29" s="359" t="s">
        <v>684</v>
      </c>
      <c r="I29" s="312"/>
      <c r="J29" s="312"/>
      <c r="K29" s="312"/>
    </row>
    <row r="30" spans="1:11">
      <c r="A30" s="360" t="s">
        <v>685</v>
      </c>
      <c r="B30" s="361"/>
      <c r="C30" s="361"/>
      <c r="D30" s="355">
        <f>'Valuation output'!B19</f>
        <v>10972.736297569718</v>
      </c>
      <c r="E30" s="362"/>
      <c r="F30" s="363"/>
      <c r="G30" s="364"/>
      <c r="H30" s="359"/>
      <c r="I30" s="312"/>
      <c r="J30" s="312"/>
      <c r="K30" s="312"/>
    </row>
    <row r="31" spans="1:11">
      <c r="A31" s="360" t="s">
        <v>642</v>
      </c>
      <c r="B31" s="361"/>
      <c r="C31" s="361"/>
      <c r="D31" s="355">
        <f>'Valuation output'!B20</f>
        <v>1243.490430256604</v>
      </c>
      <c r="E31" s="362"/>
      <c r="F31" s="363"/>
      <c r="G31" s="364"/>
      <c r="H31" s="359"/>
      <c r="I31" s="312"/>
      <c r="J31" s="312"/>
      <c r="K31" s="312"/>
    </row>
    <row r="32" spans="1:11">
      <c r="A32" s="360" t="s">
        <v>646</v>
      </c>
      <c r="B32" s="361"/>
      <c r="C32" s="361"/>
      <c r="D32" s="355">
        <f>'Valuation output'!B21</f>
        <v>12216.226727826323</v>
      </c>
      <c r="E32" s="362"/>
      <c r="F32" s="363"/>
      <c r="G32" s="364"/>
      <c r="H32" s="359"/>
      <c r="I32" s="312"/>
      <c r="J32" s="312"/>
      <c r="K32" s="312"/>
    </row>
    <row r="33" spans="1:13">
      <c r="A33" s="360" t="s">
        <v>686</v>
      </c>
      <c r="B33" s="361"/>
      <c r="C33" s="361"/>
      <c r="D33" s="355">
        <f>D32-'Valuation output'!B24</f>
        <v>202.78936368191717</v>
      </c>
      <c r="E33" s="365" t="s">
        <v>644</v>
      </c>
      <c r="F33" s="365"/>
      <c r="G33" s="366">
        <f>'Valuation output'!B22</f>
        <v>3.32E-2</v>
      </c>
      <c r="H33" s="312"/>
      <c r="I33" s="312"/>
      <c r="J33" s="312"/>
      <c r="K33" s="312"/>
    </row>
    <row r="34" spans="1:13">
      <c r="A34" s="360" t="s">
        <v>687</v>
      </c>
      <c r="B34" s="361"/>
      <c r="C34" s="361"/>
      <c r="D34" s="355">
        <f>'Valuation output'!B25+'Valuation output'!B26</f>
        <v>5981.97</v>
      </c>
      <c r="E34" s="362"/>
      <c r="F34" s="363"/>
      <c r="G34" s="364"/>
      <c r="H34" s="359"/>
      <c r="I34" s="312"/>
      <c r="J34" s="312"/>
      <c r="K34" s="312"/>
    </row>
    <row r="35" spans="1:13">
      <c r="A35" s="360" t="s">
        <v>688</v>
      </c>
      <c r="B35" s="361"/>
      <c r="C35" s="361"/>
      <c r="D35" s="355">
        <f>'Valuation output'!B27+'Valuation output'!B28</f>
        <v>1296.3399999999999</v>
      </c>
      <c r="E35" s="362"/>
      <c r="F35" s="363"/>
      <c r="G35" s="364"/>
      <c r="H35" s="359"/>
      <c r="I35" s="312"/>
      <c r="J35" s="312"/>
      <c r="K35" s="312"/>
    </row>
    <row r="36" spans="1:13">
      <c r="A36" s="360" t="s">
        <v>651</v>
      </c>
      <c r="B36" s="361"/>
      <c r="C36" s="361"/>
      <c r="D36" s="355">
        <f>D32-D33-D34+D35</f>
        <v>7327.8073641444053</v>
      </c>
      <c r="E36" s="362"/>
      <c r="F36" s="363"/>
      <c r="G36" s="364"/>
      <c r="H36" s="359"/>
      <c r="I36" s="312"/>
      <c r="J36" s="312"/>
      <c r="K36" s="312"/>
    </row>
    <row r="37" spans="1:13">
      <c r="A37" s="360" t="s">
        <v>689</v>
      </c>
      <c r="B37" s="361"/>
      <c r="C37" s="361"/>
      <c r="D37" s="355">
        <f>'Valuation output'!B30</f>
        <v>0</v>
      </c>
      <c r="E37" s="362"/>
      <c r="F37" s="363"/>
      <c r="G37" s="364"/>
      <c r="H37" s="359"/>
      <c r="I37" s="312"/>
      <c r="J37" s="312"/>
      <c r="K37" s="312"/>
    </row>
    <row r="38" spans="1:13" ht="17" thickBot="1">
      <c r="A38" s="367" t="s">
        <v>690</v>
      </c>
      <c r="B38" s="368"/>
      <c r="C38" s="369"/>
      <c r="D38" s="370">
        <f>'Valuation output'!B32</f>
        <v>66</v>
      </c>
      <c r="G38" s="364"/>
      <c r="H38" s="359"/>
      <c r="I38" s="312"/>
      <c r="J38" s="312"/>
      <c r="K38" s="312"/>
    </row>
    <row r="39" spans="1:13" ht="17" thickBot="1">
      <c r="A39" s="372" t="s">
        <v>138</v>
      </c>
      <c r="B39" s="373"/>
      <c r="C39" s="374"/>
      <c r="D39" s="355">
        <f>(D36-D37)/D38</f>
        <v>111.02738430521826</v>
      </c>
      <c r="E39" s="375" t="s">
        <v>691</v>
      </c>
      <c r="F39" s="375"/>
      <c r="G39" s="376">
        <f>'Valuation output'!B34</f>
        <v>83.58</v>
      </c>
      <c r="H39" s="359"/>
      <c r="I39" s="312"/>
      <c r="J39" s="312"/>
      <c r="K39" s="312"/>
      <c r="M39" s="377"/>
    </row>
    <row r="40" spans="1:13">
      <c r="M40" s="378"/>
    </row>
  </sheetData>
  <mergeCells count="24">
    <mergeCell ref="E39:F39"/>
    <mergeCell ref="A34:C34"/>
    <mergeCell ref="A35:C35"/>
    <mergeCell ref="A36:C36"/>
    <mergeCell ref="A37:C37"/>
    <mergeCell ref="A38:C38"/>
    <mergeCell ref="A39:C39"/>
    <mergeCell ref="A15:G15"/>
    <mergeCell ref="H16:K27"/>
    <mergeCell ref="A28:G28"/>
    <mergeCell ref="A29:C29"/>
    <mergeCell ref="H29:K39"/>
    <mergeCell ref="A30:C30"/>
    <mergeCell ref="A31:C31"/>
    <mergeCell ref="A32:C32"/>
    <mergeCell ref="A33:C33"/>
    <mergeCell ref="E33:F33"/>
    <mergeCell ref="A1:F1"/>
    <mergeCell ref="A2:G2"/>
    <mergeCell ref="A3:G6"/>
    <mergeCell ref="H3:K6"/>
    <mergeCell ref="A7:G7"/>
    <mergeCell ref="H9:K14"/>
    <mergeCell ref="D13:E13"/>
  </mergeCells>
  <pageMargins left="0.75" right="0.75" top="1" bottom="1" header="0.3" footer="0.3"/>
  <pageSetup orientation="portrait"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06F4E-2255-6D45-A87D-403DD41E4710}">
  <sheetPr>
    <tabColor theme="9"/>
  </sheetPr>
  <dimension ref="A1:S38"/>
  <sheetViews>
    <sheetView topLeftCell="A4" zoomScale="88" zoomScaleNormal="88" workbookViewId="0">
      <selection activeCell="I31" sqref="I31"/>
    </sheetView>
  </sheetViews>
  <sheetFormatPr baseColWidth="10" defaultRowHeight="14"/>
  <cols>
    <col min="1" max="1" width="27.83203125" style="73" customWidth="1"/>
    <col min="2" max="2" width="13" style="73" customWidth="1"/>
    <col min="3" max="3" width="10.83203125" style="73"/>
    <col min="4" max="4" width="16.1640625" style="73" customWidth="1"/>
    <col min="5" max="5" width="12.6640625" style="73" bestFit="1" customWidth="1"/>
    <col min="6" max="10" width="11.5" style="73" bestFit="1" customWidth="1"/>
    <col min="11" max="13" width="13" style="73" bestFit="1" customWidth="1"/>
    <col min="14" max="14" width="13.6640625" style="73" bestFit="1" customWidth="1"/>
    <col min="15" max="15" width="16" style="73" customWidth="1"/>
    <col min="16" max="16" width="10.83203125" style="73"/>
    <col min="17" max="16384" width="10.83203125" style="72"/>
  </cols>
  <sheetData>
    <row r="1" spans="1:19" s="112" customFormat="1" ht="16">
      <c r="A1" s="113" t="s">
        <v>162</v>
      </c>
      <c r="B1" s="113"/>
      <c r="C1" s="113"/>
      <c r="D1" s="113"/>
      <c r="E1" s="113"/>
      <c r="F1" s="113"/>
      <c r="G1" s="113"/>
      <c r="H1" s="113"/>
      <c r="I1" s="113"/>
      <c r="J1" s="113"/>
      <c r="K1" s="113"/>
      <c r="L1" s="113"/>
      <c r="M1" s="113"/>
      <c r="N1" s="113"/>
      <c r="O1" s="113"/>
      <c r="P1" s="113"/>
      <c r="S1" s="205" t="s">
        <v>729</v>
      </c>
    </row>
    <row r="2" spans="1:19" s="112" customFormat="1" ht="15" thickBot="1">
      <c r="A2" s="113"/>
      <c r="B2" s="113"/>
      <c r="C2" s="113"/>
      <c r="D2" s="113"/>
      <c r="E2" s="113"/>
      <c r="F2" s="113"/>
      <c r="G2" s="113"/>
      <c r="H2" s="113"/>
      <c r="I2" s="113"/>
      <c r="J2" s="113"/>
      <c r="K2" s="113"/>
      <c r="L2" s="113"/>
      <c r="M2" s="113"/>
      <c r="N2" s="113"/>
      <c r="O2" s="113"/>
      <c r="P2" s="113"/>
    </row>
    <row r="3" spans="1:19" ht="17" thickBot="1">
      <c r="A3" s="143" t="s">
        <v>730</v>
      </c>
      <c r="B3" s="144"/>
      <c r="C3" s="144"/>
      <c r="D3" s="144"/>
      <c r="E3" s="144"/>
      <c r="F3" s="144"/>
      <c r="G3" s="144"/>
      <c r="H3" s="144"/>
      <c r="I3" s="144"/>
      <c r="J3" s="144"/>
      <c r="K3" s="144"/>
      <c r="L3" s="144"/>
      <c r="M3" s="144"/>
      <c r="N3" s="145"/>
      <c r="O3" s="135">
        <f>'[2]Input sheet'!B3</f>
        <v>43861</v>
      </c>
      <c r="P3" s="136"/>
    </row>
    <row r="4" spans="1:19" ht="15" thickBot="1">
      <c r="A4" s="78"/>
      <c r="P4" s="77"/>
    </row>
    <row r="5" spans="1:19" ht="15" thickBot="1">
      <c r="A5" s="132" t="s">
        <v>161</v>
      </c>
      <c r="B5" s="133"/>
      <c r="C5" s="134"/>
      <c r="E5" s="127" t="s">
        <v>160</v>
      </c>
      <c r="F5" s="128"/>
      <c r="H5" s="127" t="s">
        <v>159</v>
      </c>
      <c r="I5" s="128"/>
      <c r="K5" s="127" t="s">
        <v>158</v>
      </c>
      <c r="L5" s="128"/>
      <c r="P5" s="77"/>
    </row>
    <row r="6" spans="1:19" ht="14" customHeight="1">
      <c r="A6" s="78"/>
      <c r="B6" s="111" t="s">
        <v>157</v>
      </c>
      <c r="C6" s="111" t="s">
        <v>156</v>
      </c>
      <c r="E6" s="137" t="str">
        <f>'Stories to Numbers'!G9</f>
        <v>Establishing large footprint in attractive growing markets</v>
      </c>
      <c r="F6" s="138"/>
      <c r="H6" s="137" t="str">
        <f>'Stories to Numbers'!G10</f>
        <v>Margins improve, aided by client diversification &amp; continued economies of scale.</v>
      </c>
      <c r="I6" s="138"/>
      <c r="K6" s="137" t="str">
        <f>'Stories to Numbers'!G12</f>
        <v>Reduced from Concentrix's current level</v>
      </c>
      <c r="L6" s="138"/>
      <c r="O6" s="125" t="s">
        <v>155</v>
      </c>
      <c r="P6" s="126"/>
    </row>
    <row r="7" spans="1:19">
      <c r="A7" s="109" t="s">
        <v>150</v>
      </c>
      <c r="B7" s="81">
        <f>'YoY sales growth'!B14</f>
        <v>0.14659744211709058</v>
      </c>
      <c r="C7" s="81">
        <f>0.1</f>
        <v>0.1</v>
      </c>
      <c r="E7" s="139"/>
      <c r="F7" s="140"/>
      <c r="H7" s="139"/>
      <c r="I7" s="140"/>
      <c r="K7" s="139"/>
      <c r="L7" s="140"/>
      <c r="O7" s="82" t="s">
        <v>154</v>
      </c>
      <c r="P7" s="110">
        <f>O16</f>
        <v>4.2799999999999998E-2</v>
      </c>
    </row>
    <row r="8" spans="1:19">
      <c r="A8" s="109" t="s">
        <v>80</v>
      </c>
      <c r="B8" s="108">
        <f>'Income Statement'!E3</f>
        <v>7115</v>
      </c>
      <c r="E8" s="139"/>
      <c r="F8" s="140"/>
      <c r="H8" s="139"/>
      <c r="I8" s="140"/>
      <c r="K8" s="139"/>
      <c r="L8" s="140"/>
      <c r="O8" s="82" t="s">
        <v>153</v>
      </c>
      <c r="P8" s="110">
        <f>'Valuation output'!M12</f>
        <v>8.7799999999999989E-2</v>
      </c>
    </row>
    <row r="9" spans="1:19">
      <c r="A9" s="109" t="s">
        <v>33</v>
      </c>
      <c r="B9" s="81">
        <f>'Valuation output'!B4</f>
        <v>8.5579761068165866E-2</v>
      </c>
      <c r="C9" s="81">
        <f>0.0545</f>
        <v>5.45E-2</v>
      </c>
      <c r="E9" s="139"/>
      <c r="F9" s="140"/>
      <c r="H9" s="139"/>
      <c r="I9" s="140"/>
      <c r="K9" s="139"/>
      <c r="L9" s="140"/>
      <c r="O9" s="82" t="s">
        <v>152</v>
      </c>
      <c r="P9" s="110">
        <f>'Valuation output'!M40</f>
        <v>8.7799999999999989E-2</v>
      </c>
    </row>
    <row r="10" spans="1:19">
      <c r="A10" s="109" t="s">
        <v>17</v>
      </c>
      <c r="B10" s="108">
        <f>'Income Statement'!E13</f>
        <v>407.90000000000009</v>
      </c>
      <c r="E10" s="139"/>
      <c r="F10" s="140"/>
      <c r="H10" s="139"/>
      <c r="I10" s="140"/>
      <c r="K10" s="139"/>
      <c r="L10" s="140"/>
      <c r="O10" s="82" t="s">
        <v>151</v>
      </c>
      <c r="P10" s="110">
        <f>P7/P9</f>
        <v>0.48747152619589978</v>
      </c>
    </row>
    <row r="11" spans="1:19">
      <c r="A11" s="109" t="s">
        <v>149</v>
      </c>
      <c r="B11" s="108">
        <f>'Valuation output'!B7</f>
        <v>437.41508259059913</v>
      </c>
      <c r="E11" s="139"/>
      <c r="F11" s="140"/>
      <c r="H11" s="139"/>
      <c r="I11" s="140"/>
      <c r="K11" s="139"/>
      <c r="L11" s="140"/>
      <c r="P11" s="107"/>
    </row>
    <row r="12" spans="1:19">
      <c r="A12" s="78"/>
      <c r="E12" s="141"/>
      <c r="F12" s="142"/>
      <c r="H12" s="141"/>
      <c r="I12" s="142"/>
      <c r="K12" s="141"/>
      <c r="L12" s="142"/>
      <c r="P12" s="107"/>
    </row>
    <row r="13" spans="1:19">
      <c r="A13" s="78"/>
      <c r="P13" s="107"/>
    </row>
    <row r="14" spans="1:19" ht="15" thickBot="1">
      <c r="A14" s="78"/>
      <c r="P14" s="77"/>
    </row>
    <row r="15" spans="1:19">
      <c r="A15" s="106" t="str">
        <f>'[2]Valuation output'!A19</f>
        <v>PV(Terminal value)</v>
      </c>
      <c r="B15" s="105">
        <f>'Valuation output'!B19</f>
        <v>10972.736297569718</v>
      </c>
      <c r="D15" s="82"/>
      <c r="E15" s="104">
        <f>'[2]Valuation output'!C1</f>
        <v>1</v>
      </c>
      <c r="F15" s="104">
        <f>'[2]Valuation output'!D1</f>
        <v>2</v>
      </c>
      <c r="G15" s="104">
        <f>'[2]Valuation output'!E1</f>
        <v>3</v>
      </c>
      <c r="H15" s="104">
        <f>'[2]Valuation output'!F1</f>
        <v>4</v>
      </c>
      <c r="I15" s="104">
        <f>'[2]Valuation output'!G1</f>
        <v>5</v>
      </c>
      <c r="J15" s="104">
        <f>'[2]Valuation output'!H1</f>
        <v>6</v>
      </c>
      <c r="K15" s="104">
        <f>'[2]Valuation output'!I1</f>
        <v>7</v>
      </c>
      <c r="L15" s="104">
        <f>'[2]Valuation output'!J1</f>
        <v>8</v>
      </c>
      <c r="M15" s="104">
        <f>'[2]Valuation output'!K1</f>
        <v>9</v>
      </c>
      <c r="N15" s="104">
        <f>'[2]Valuation output'!L1</f>
        <v>10</v>
      </c>
      <c r="O15" s="103" t="str">
        <f>'[2]Valuation output'!M1</f>
        <v>Terminal year</v>
      </c>
      <c r="P15" s="102"/>
    </row>
    <row r="16" spans="1:19">
      <c r="A16" s="80" t="str">
        <f>'[2]Valuation output'!A20</f>
        <v>PV (CF over next 10 years)</v>
      </c>
      <c r="B16" s="101">
        <f>'Valuation output'!B20</f>
        <v>1243.490430256604</v>
      </c>
      <c r="D16" s="82" t="s">
        <v>150</v>
      </c>
      <c r="E16" s="81">
        <f>'Valuation output'!C2</f>
        <v>0.14659744211709058</v>
      </c>
      <c r="F16" s="81">
        <f>'Valuation output'!D2</f>
        <v>0.14659744211709058</v>
      </c>
      <c r="G16" s="81">
        <f>'Valuation output'!E2</f>
        <v>0.14659744211709058</v>
      </c>
      <c r="H16" s="81">
        <f>'Valuation output'!F2</f>
        <v>0.14659744211709058</v>
      </c>
      <c r="I16" s="81">
        <f>'[2]Valuation output'!G2</f>
        <v>0.12</v>
      </c>
      <c r="J16" s="81">
        <f>'Valuation output'!H2</f>
        <v>0.12583795369367246</v>
      </c>
      <c r="K16" s="81">
        <f>'Valuation output'!I2</f>
        <v>0.10507846527025436</v>
      </c>
      <c r="L16" s="81">
        <f>'Valuation output'!J2</f>
        <v>8.431897684683623E-2</v>
      </c>
      <c r="M16" s="81">
        <f>'Valuation output'!K2</f>
        <v>6.3559488423418117E-2</v>
      </c>
      <c r="N16" s="81">
        <f>'Valuation output'!L2</f>
        <v>4.2800000000000005E-2</v>
      </c>
      <c r="O16" s="94">
        <f>'Valuation output'!M2</f>
        <v>4.2799999999999998E-2</v>
      </c>
      <c r="P16" s="77"/>
    </row>
    <row r="17" spans="1:16">
      <c r="A17" s="100" t="str">
        <f>'[2]Valuation output'!A22</f>
        <v>Probability of failure =</v>
      </c>
      <c r="B17" s="99">
        <f>'Valuation output'!B22</f>
        <v>3.32E-2</v>
      </c>
      <c r="D17" s="82" t="s">
        <v>80</v>
      </c>
      <c r="E17" s="98">
        <f>'Valuation output'!C3</f>
        <v>8158.0408006630996</v>
      </c>
      <c r="F17" s="98">
        <f>'Valuation output'!D3</f>
        <v>9353.9887147271711</v>
      </c>
      <c r="G17" s="98">
        <f>'Valuation output'!E3</f>
        <v>10725.259533898306</v>
      </c>
      <c r="H17" s="98">
        <f>'Valuation output'!F3</f>
        <v>12297.555147609737</v>
      </c>
      <c r="I17" s="98">
        <f>'Valuation output'!G3</f>
        <v>14100.345276543185</v>
      </c>
      <c r="J17" s="98">
        <f>'Valuation output'!H3</f>
        <v>15874.703872517619</v>
      </c>
      <c r="K17" s="98">
        <f>'Valuation output'!I3</f>
        <v>17542.793392061532</v>
      </c>
      <c r="L17" s="98">
        <f>'Valuation output'!J3</f>
        <v>19021.983781915598</v>
      </c>
      <c r="M17" s="98">
        <f>'Valuation output'!K3</f>
        <v>20231.01133989271</v>
      </c>
      <c r="N17" s="98">
        <f>'Valuation output'!L3</f>
        <v>21096.898625240116</v>
      </c>
      <c r="O17" s="97">
        <f>'Valuation output'!M3</f>
        <v>21999.845886400391</v>
      </c>
      <c r="P17" s="77"/>
    </row>
    <row r="18" spans="1:16">
      <c r="A18" s="80" t="str">
        <f>'[2]Valuation output'!A24</f>
        <v>Value of operating assets =</v>
      </c>
      <c r="B18" s="95">
        <f>'Valuation output'!B24</f>
        <v>12013.437364144405</v>
      </c>
      <c r="D18" s="82" t="s">
        <v>33</v>
      </c>
      <c r="E18" s="81">
        <f>'Valuation output'!C4</f>
        <v>8.5579761068165866E-2</v>
      </c>
      <c r="F18" s="81">
        <f>'Valuation output'!D4</f>
        <v>0.10734785664089952</v>
      </c>
      <c r="G18" s="81">
        <f>'Valuation output'!E4</f>
        <v>0.11823190442726636</v>
      </c>
      <c r="H18" s="81">
        <f>'Valuation output'!F4</f>
        <v>0.12911595221363317</v>
      </c>
      <c r="I18" s="81">
        <f>'Valuation output'!G4</f>
        <v>0.14000000000000001</v>
      </c>
      <c r="J18" s="81">
        <f>'Valuation output'!H4</f>
        <v>0.14000000000000001</v>
      </c>
      <c r="K18" s="81">
        <f>'Valuation output'!I4</f>
        <v>0.14000000000000001</v>
      </c>
      <c r="L18" s="81">
        <f>'Valuation output'!J4</f>
        <v>0.14000000000000001</v>
      </c>
      <c r="M18" s="81">
        <f>'Valuation output'!K4</f>
        <v>0.14000000000000001</v>
      </c>
      <c r="N18" s="81">
        <f>'Valuation output'!L4</f>
        <v>0.14000000000000001</v>
      </c>
      <c r="O18" s="94">
        <f>'Valuation output'!M4</f>
        <v>0.14000000000000001</v>
      </c>
      <c r="P18" s="77"/>
    </row>
    <row r="19" spans="1:16">
      <c r="A19" s="80" t="str">
        <f>'[2]Valuation output'!A25</f>
        <v xml:space="preserve"> - Debt</v>
      </c>
      <c r="B19" s="95">
        <f>'Valuation output'!B25</f>
        <v>5981.97</v>
      </c>
      <c r="D19" s="82" t="s">
        <v>17</v>
      </c>
      <c r="E19" s="98">
        <f>'Valuation output'!C5</f>
        <v>698.16318250509664</v>
      </c>
      <c r="F19" s="98">
        <f>'Valuation output'!D5</f>
        <v>1004.1306395691244</v>
      </c>
      <c r="G19" s="98">
        <f>'Valuation output'!E5</f>
        <v>1268.067860169492</v>
      </c>
      <c r="H19" s="98">
        <f>'Valuation output'!F5</f>
        <v>1587.8105427832975</v>
      </c>
      <c r="I19" s="98">
        <f>'Valuation output'!G5</f>
        <v>1974.0483387160461</v>
      </c>
      <c r="J19" s="98">
        <f>'Valuation output'!H5</f>
        <v>2222.4585421524671</v>
      </c>
      <c r="K19" s="98">
        <f>'Valuation output'!I5</f>
        <v>2455.9910748886145</v>
      </c>
      <c r="L19" s="98">
        <f>'Valuation output'!J5</f>
        <v>2663.0777294681839</v>
      </c>
      <c r="M19" s="98">
        <f>'Valuation output'!K5</f>
        <v>2832.3415875849796</v>
      </c>
      <c r="N19" s="98">
        <f>'Valuation output'!L5</f>
        <v>2953.5658075336164</v>
      </c>
      <c r="O19" s="97">
        <f>'Valuation output'!M5</f>
        <v>3079.9784240960553</v>
      </c>
      <c r="P19" s="77"/>
    </row>
    <row r="20" spans="1:16">
      <c r="A20" s="80" t="str">
        <f>'[2]Valuation output'!A26</f>
        <v xml:space="preserve"> - Minority interests</v>
      </c>
      <c r="B20" s="95">
        <f>'Valuation output'!B26</f>
        <v>0</v>
      </c>
      <c r="D20" s="82" t="s">
        <v>149</v>
      </c>
      <c r="E20" s="98">
        <f>'Valuation output'!C7</f>
        <v>501.53901484181694</v>
      </c>
      <c r="F20" s="98">
        <f>'Valuation output'!D7</f>
        <v>721.33665074540909</v>
      </c>
      <c r="G20" s="98">
        <f>'Valuation output'!E7</f>
        <v>910.9410540097266</v>
      </c>
      <c r="H20" s="98">
        <f>'Valuation output'!F7</f>
        <v>1140.6343894067663</v>
      </c>
      <c r="I20" s="98">
        <f>'Valuation output'!G7</f>
        <v>1418.0957745398491</v>
      </c>
      <c r="J20" s="98">
        <f>'Valuation output'!H7</f>
        <v>1610.6056172825402</v>
      </c>
      <c r="K20" s="98">
        <f>'Valuation output'!I7</f>
        <v>1795.3825143182949</v>
      </c>
      <c r="L20" s="98">
        <f>'Valuation output'!J7</f>
        <v>1963.6143196832552</v>
      </c>
      <c r="M20" s="98">
        <f>'Valuation output'!K7</f>
        <v>2106.3384159959783</v>
      </c>
      <c r="N20" s="98">
        <f>'Valuation output'!L7</f>
        <v>2215.1743556502124</v>
      </c>
      <c r="O20" s="97">
        <f>'Valuation output'!M7</f>
        <v>2309.9838180720417</v>
      </c>
      <c r="P20" s="77"/>
    </row>
    <row r="21" spans="1:16">
      <c r="A21" s="80" t="str">
        <f>'[2]Valuation output'!A27</f>
        <v xml:space="preserve"> +  Cash</v>
      </c>
      <c r="B21" s="95">
        <f>'Valuation output'!B27</f>
        <v>295.33999999999997</v>
      </c>
      <c r="D21" s="82" t="s">
        <v>148</v>
      </c>
      <c r="E21" s="98">
        <f>'Valuation output'!C8</f>
        <v>929.52803440257412</v>
      </c>
      <c r="F21" s="98">
        <f>'Valuation output'!D8</f>
        <v>1065.7944666221192</v>
      </c>
      <c r="G21" s="98">
        <f>'Valuation output'!E8</f>
        <v>1222.0372092514704</v>
      </c>
      <c r="H21" s="98">
        <f>'Valuation output'!F8</f>
        <v>1401.1847382996439</v>
      </c>
      <c r="I21" s="98">
        <f>'Valuation output'!G8</f>
        <v>1379.0868637721182</v>
      </c>
      <c r="J21" s="98">
        <f>'Valuation output'!H8</f>
        <v>1296.4912217959018</v>
      </c>
      <c r="K21" s="98">
        <f>'Valuation output'!I8</f>
        <v>1149.672924229513</v>
      </c>
      <c r="L21" s="98">
        <f>'Valuation output'!J8</f>
        <v>939.69394175873879</v>
      </c>
      <c r="M21" s="98">
        <f>'Valuation output'!K8</f>
        <v>672.99461531569284</v>
      </c>
      <c r="N21" s="98">
        <f>'Valuation output'!L8</f>
        <v>701.79878485120537</v>
      </c>
      <c r="O21" s="97">
        <f>'Valuation output'!M8</f>
        <v>1126.0513372834098</v>
      </c>
      <c r="P21" s="77"/>
    </row>
    <row r="22" spans="1:16">
      <c r="A22" s="80" t="str">
        <f>'[2]Valuation output'!A28</f>
        <v xml:space="preserve"> + Non-operating assets</v>
      </c>
      <c r="B22" s="95">
        <f>'Valuation output'!B28</f>
        <v>1001</v>
      </c>
      <c r="D22" s="85" t="s">
        <v>147</v>
      </c>
      <c r="E22" s="97">
        <f>'Valuation output'!C9</f>
        <v>-427.98901956075719</v>
      </c>
      <c r="F22" s="97">
        <f>'Valuation output'!D9</f>
        <v>-344.45781587671013</v>
      </c>
      <c r="G22" s="97">
        <f>'Valuation output'!E9</f>
        <v>-311.09615524174376</v>
      </c>
      <c r="H22" s="97">
        <f>'Valuation output'!F9</f>
        <v>-260.55034889287754</v>
      </c>
      <c r="I22" s="97">
        <f>'Valuation output'!G9</f>
        <v>39.008910767730868</v>
      </c>
      <c r="J22" s="97">
        <f>'Valuation output'!H9</f>
        <v>314.11439548663839</v>
      </c>
      <c r="K22" s="97">
        <f>'Valuation output'!I9</f>
        <v>645.70959008878185</v>
      </c>
      <c r="L22" s="97">
        <f>'Valuation output'!J9</f>
        <v>1023.9203779245164</v>
      </c>
      <c r="M22" s="97">
        <f>'Valuation output'!K9</f>
        <v>1433.3438006802853</v>
      </c>
      <c r="N22" s="97">
        <f>'Valuation output'!L9</f>
        <v>1513.3755707990072</v>
      </c>
      <c r="O22" s="97">
        <f>'Valuation output'!M9</f>
        <v>1183.9324807886319</v>
      </c>
      <c r="P22" s="77"/>
    </row>
    <row r="23" spans="1:16">
      <c r="A23" s="80" t="str">
        <f>'[2]Valuation output'!A29</f>
        <v>Value of equity</v>
      </c>
      <c r="B23" s="95">
        <f>'Valuation output'!B29</f>
        <v>7327.8073641444053</v>
      </c>
      <c r="N23" s="96">
        <f>'Valuation output'!B18</f>
        <v>26309.610684191826</v>
      </c>
      <c r="P23" s="77"/>
    </row>
    <row r="24" spans="1:16">
      <c r="A24" s="80" t="str">
        <f>'[2]Valuation output'!A30</f>
        <v xml:space="preserve"> - Value of options</v>
      </c>
      <c r="B24" s="95">
        <f>'Valuation output'!B30</f>
        <v>0</v>
      </c>
      <c r="P24" s="77"/>
    </row>
    <row r="25" spans="1:16">
      <c r="A25" s="80" t="str">
        <f>'[2]Valuation output'!A31</f>
        <v>Value of equity in common stock</v>
      </c>
      <c r="B25" s="95">
        <f>'Valuation output'!B31</f>
        <v>7327.8073641444053</v>
      </c>
      <c r="D25" s="85" t="s">
        <v>146</v>
      </c>
      <c r="E25" s="94">
        <f>'Valuation output'!C12</f>
        <v>9.293073327852705E-2</v>
      </c>
      <c r="F25" s="94">
        <f>'Valuation output'!D12</f>
        <v>9.293073327852705E-2</v>
      </c>
      <c r="G25" s="94">
        <f>'Valuation output'!E12</f>
        <v>9.293073327852705E-2</v>
      </c>
      <c r="H25" s="94">
        <f>'Valuation output'!F12</f>
        <v>9.293073327852705E-2</v>
      </c>
      <c r="I25" s="94">
        <f>'Valuation output'!G12</f>
        <v>9.293073327852705E-2</v>
      </c>
      <c r="J25" s="94">
        <f>'Valuation output'!H12</f>
        <v>9.1904586622821638E-2</v>
      </c>
      <c r="K25" s="94">
        <f>'Valuation output'!I12</f>
        <v>9.0878439967116226E-2</v>
      </c>
      <c r="L25" s="94">
        <f>'Valuation output'!J12</f>
        <v>8.9852293311410814E-2</v>
      </c>
      <c r="M25" s="94">
        <f>'Valuation output'!K12</f>
        <v>8.8826146655705401E-2</v>
      </c>
      <c r="N25" s="94">
        <f>'Valuation output'!L12</f>
        <v>8.7799999999999989E-2</v>
      </c>
      <c r="O25" s="93"/>
      <c r="P25" s="77"/>
    </row>
    <row r="26" spans="1:16">
      <c r="A26" s="92" t="str">
        <f>'[2]Valuation output'!A32</f>
        <v>Number of shares</v>
      </c>
      <c r="B26" s="91">
        <f>'Valuation output'!B32</f>
        <v>66</v>
      </c>
      <c r="D26" s="82" t="s">
        <v>145</v>
      </c>
      <c r="E26" s="90">
        <f>'Valuation output'!C13</f>
        <v>0.91497106774575065</v>
      </c>
      <c r="F26" s="90">
        <f>'Valuation output'!D13</f>
        <v>0.83717205481179902</v>
      </c>
      <c r="G26" s="90">
        <f>'Valuation output'!E13</f>
        <v>0.76598820887805585</v>
      </c>
      <c r="H26" s="90">
        <f>'Valuation output'!F13</f>
        <v>0.70085704935780979</v>
      </c>
      <c r="I26" s="90">
        <f>'Valuation output'!G13</f>
        <v>0.64126392278805144</v>
      </c>
      <c r="J26" s="90">
        <f>'Valuation output'!H13</f>
        <v>0.58728933887111179</v>
      </c>
      <c r="K26" s="90">
        <f>'Valuation output'!I13</f>
        <v>0.53836368687313607</v>
      </c>
      <c r="L26" s="90">
        <f>'Valuation output'!J13</f>
        <v>0.49397857872773759</v>
      </c>
      <c r="M26" s="90">
        <f>'Valuation output'!K13</f>
        <v>0.45367993801855044</v>
      </c>
      <c r="N26" s="90">
        <f>'Valuation output'!L13</f>
        <v>0.41706190294038464</v>
      </c>
      <c r="P26" s="77"/>
    </row>
    <row r="27" spans="1:16">
      <c r="A27" s="89" t="str">
        <f>'[2]Valuation output'!A33</f>
        <v>Estimated value /share</v>
      </c>
      <c r="B27" s="88">
        <f>'Valuation output'!B33</f>
        <v>111.02738430521826</v>
      </c>
      <c r="P27" s="77"/>
    </row>
    <row r="28" spans="1:16">
      <c r="A28" s="87"/>
      <c r="B28" s="86"/>
      <c r="D28" s="85" t="s">
        <v>144</v>
      </c>
      <c r="E28" s="84">
        <f>'Valuation output'!C38</f>
        <v>1.286618444846293</v>
      </c>
      <c r="F28" s="84">
        <f>'Valuation output'!D38</f>
        <v>1.286618444846293</v>
      </c>
      <c r="G28" s="84">
        <f>'Valuation output'!E38</f>
        <v>1.286618444846293</v>
      </c>
      <c r="H28" s="84">
        <f>'Valuation output'!F38</f>
        <v>1.286618444846293</v>
      </c>
      <c r="I28" s="84">
        <f>'Valuation output'!G38</f>
        <v>1.286618444846293</v>
      </c>
      <c r="J28" s="84">
        <f>'Valuation output'!H38</f>
        <v>1.286618444846293</v>
      </c>
      <c r="K28" s="84">
        <f>'Valuation output'!I38</f>
        <v>1.286618444846293</v>
      </c>
      <c r="L28" s="84">
        <f>'Valuation output'!J38</f>
        <v>1.286618444846293</v>
      </c>
      <c r="M28" s="84">
        <f>'Valuation output'!K38</f>
        <v>1.286618444846293</v>
      </c>
      <c r="N28" s="84">
        <f>'Valuation output'!L38</f>
        <v>1.286618444846293</v>
      </c>
      <c r="P28" s="77"/>
    </row>
    <row r="29" spans="1:16">
      <c r="A29" s="80" t="s">
        <v>143</v>
      </c>
      <c r="B29" s="83">
        <f>'Stories to Numbers'!G39</f>
        <v>83.58</v>
      </c>
      <c r="D29" s="82" t="s">
        <v>142</v>
      </c>
      <c r="E29" s="81">
        <f>'Valuation output'!C40</f>
        <v>5.6352698296833363E-2</v>
      </c>
      <c r="F29" s="81">
        <f>'Valuation output'!D40</f>
        <v>7.3384667933270809E-2</v>
      </c>
      <c r="G29" s="81">
        <f>'Valuation output'!E40</f>
        <v>8.3608452519331439E-2</v>
      </c>
      <c r="H29" s="81">
        <f>'Valuation output'!F40</f>
        <v>9.4132254606541718E-2</v>
      </c>
      <c r="I29" s="81">
        <f>'Valuation output'!G40</f>
        <v>0.10490003416671438</v>
      </c>
      <c r="J29" s="81">
        <f>'Valuation output'!H40</f>
        <v>0.10811152347068673</v>
      </c>
      <c r="K29" s="81">
        <f>'Valuation output'!I40</f>
        <v>0.11086630415034189</v>
      </c>
      <c r="L29" s="81">
        <f>'Valuation output'!J40</f>
        <v>0.11321710547129696</v>
      </c>
      <c r="M29" s="81">
        <f>'Valuation output'!K40</f>
        <v>0.11520439943924285</v>
      </c>
      <c r="N29" s="81">
        <f>'Valuation output'!L40</f>
        <v>0.11685576047989973</v>
      </c>
      <c r="O29" s="81">
        <f>'Valuation output'!M40</f>
        <v>8.7799999999999989E-2</v>
      </c>
      <c r="P29" s="77"/>
    </row>
    <row r="30" spans="1:16">
      <c r="A30" s="80" t="s">
        <v>141</v>
      </c>
      <c r="B30" s="79">
        <f>B29/B27-1</f>
        <v>-0.24721274374765434</v>
      </c>
      <c r="P30" s="77"/>
    </row>
    <row r="31" spans="1:16" ht="15" thickBot="1">
      <c r="A31" s="78"/>
      <c r="P31" s="77"/>
    </row>
    <row r="32" spans="1:16">
      <c r="A32" s="78"/>
      <c r="D32" s="127" t="s">
        <v>140</v>
      </c>
      <c r="E32" s="128"/>
      <c r="G32" s="127" t="s">
        <v>139</v>
      </c>
      <c r="H32" s="129"/>
      <c r="I32" s="128"/>
      <c r="P32" s="77"/>
    </row>
    <row r="33" spans="1:16" ht="14" customHeight="1">
      <c r="A33" s="78"/>
      <c r="D33" s="130" t="str">
        <f>'Stories to Numbers'!G14</f>
        <v>Cost of capital close to median company</v>
      </c>
      <c r="E33" s="130"/>
      <c r="G33" s="130" t="str">
        <f>'Stories to Numbers'!G13</f>
        <v>Strong competitive edges</v>
      </c>
      <c r="H33" s="130"/>
      <c r="I33" s="130"/>
      <c r="P33" s="77"/>
    </row>
    <row r="34" spans="1:16">
      <c r="A34" s="78"/>
      <c r="D34" s="130"/>
      <c r="E34" s="130"/>
      <c r="G34" s="130"/>
      <c r="H34" s="130"/>
      <c r="I34" s="130"/>
      <c r="P34" s="77"/>
    </row>
    <row r="35" spans="1:16">
      <c r="A35" s="78"/>
      <c r="D35" s="130"/>
      <c r="E35" s="130"/>
      <c r="G35" s="130"/>
      <c r="H35" s="130"/>
      <c r="I35" s="130"/>
      <c r="P35" s="77"/>
    </row>
    <row r="36" spans="1:16">
      <c r="A36" s="78"/>
      <c r="D36" s="130"/>
      <c r="E36" s="130"/>
      <c r="G36" s="130"/>
      <c r="H36" s="130"/>
      <c r="I36" s="130"/>
      <c r="P36" s="77"/>
    </row>
    <row r="37" spans="1:16">
      <c r="A37" s="78"/>
      <c r="D37" s="130"/>
      <c r="E37" s="130"/>
      <c r="G37" s="130"/>
      <c r="H37" s="130"/>
      <c r="I37" s="130"/>
      <c r="P37" s="77"/>
    </row>
    <row r="38" spans="1:16" ht="15" thickBot="1">
      <c r="A38" s="76"/>
      <c r="B38" s="75"/>
      <c r="C38" s="75"/>
      <c r="D38" s="131"/>
      <c r="E38" s="131"/>
      <c r="F38" s="75"/>
      <c r="G38" s="131"/>
      <c r="H38" s="131"/>
      <c r="I38" s="131"/>
      <c r="J38" s="75"/>
      <c r="K38" s="75"/>
      <c r="L38" s="75"/>
      <c r="M38" s="75"/>
      <c r="N38" s="75"/>
      <c r="O38" s="75"/>
      <c r="P38" s="74"/>
    </row>
  </sheetData>
  <mergeCells count="14">
    <mergeCell ref="D33:E38"/>
    <mergeCell ref="G33:I38"/>
    <mergeCell ref="A5:C5"/>
    <mergeCell ref="O3:P3"/>
    <mergeCell ref="E6:F12"/>
    <mergeCell ref="H6:I12"/>
    <mergeCell ref="K6:L12"/>
    <mergeCell ref="A3:N3"/>
    <mergeCell ref="O6:P6"/>
    <mergeCell ref="E5:F5"/>
    <mergeCell ref="H5:I5"/>
    <mergeCell ref="K5:L5"/>
    <mergeCell ref="D32:E32"/>
    <mergeCell ref="G32:I3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1FA29-4A8F-1345-92B6-1367E620855E}">
  <dimension ref="A1:AC51"/>
  <sheetViews>
    <sheetView workbookViewId="0">
      <selection activeCell="B18" sqref="B18"/>
    </sheetView>
  </sheetViews>
  <sheetFormatPr baseColWidth="10" defaultRowHeight="16"/>
  <cols>
    <col min="1" max="1" width="46.1640625" customWidth="1"/>
    <col min="2" max="4" width="20.33203125" customWidth="1"/>
    <col min="6" max="6" width="11.83203125" bestFit="1" customWidth="1"/>
    <col min="11" max="11" width="22.5" customWidth="1"/>
  </cols>
  <sheetData>
    <row r="1" spans="1:29" ht="43" customHeight="1">
      <c r="A1" s="123" t="s">
        <v>51</v>
      </c>
      <c r="B1" s="123"/>
      <c r="C1" s="123"/>
      <c r="D1" s="123"/>
      <c r="E1" s="123"/>
      <c r="F1" s="33"/>
      <c r="G1" s="33"/>
    </row>
    <row r="2" spans="1:29">
      <c r="A2" s="21"/>
      <c r="B2" s="23">
        <v>2020</v>
      </c>
      <c r="C2" s="23">
        <v>2021</v>
      </c>
      <c r="D2" s="23">
        <v>2022</v>
      </c>
      <c r="E2" s="23">
        <v>2023</v>
      </c>
      <c r="F2" s="23"/>
      <c r="G2" s="21"/>
      <c r="H2" s="21"/>
      <c r="I2" s="21"/>
      <c r="J2" s="21"/>
      <c r="K2" s="40"/>
      <c r="L2" s="40"/>
      <c r="M2" s="40"/>
      <c r="N2" s="40"/>
      <c r="O2" s="40"/>
    </row>
    <row r="3" spans="1:29">
      <c r="A3" s="21" t="s">
        <v>20</v>
      </c>
      <c r="B3" s="21">
        <v>4720</v>
      </c>
      <c r="C3" s="44">
        <v>5587</v>
      </c>
      <c r="D3" s="32">
        <v>6324</v>
      </c>
      <c r="E3" s="22">
        <v>7115</v>
      </c>
      <c r="F3" s="22"/>
      <c r="G3" s="22"/>
      <c r="K3" s="29"/>
      <c r="L3" s="41"/>
      <c r="M3" s="41"/>
      <c r="N3" s="41"/>
      <c r="O3" s="41"/>
    </row>
    <row r="4" spans="1:29">
      <c r="A4" s="21" t="s">
        <v>21</v>
      </c>
      <c r="B4" s="44">
        <v>3058</v>
      </c>
      <c r="C4" s="44">
        <v>3618</v>
      </c>
      <c r="D4" s="44">
        <v>4067</v>
      </c>
      <c r="E4" s="44">
        <v>4537</v>
      </c>
      <c r="F4" s="44"/>
      <c r="G4" s="21"/>
      <c r="K4" s="42"/>
      <c r="L4" s="43"/>
      <c r="M4" s="43"/>
      <c r="N4" s="43"/>
      <c r="O4" s="43"/>
    </row>
    <row r="5" spans="1:29" s="26" customFormat="1">
      <c r="A5" s="23" t="s">
        <v>22</v>
      </c>
      <c r="B5" s="45">
        <f>B3-B4</f>
        <v>1662</v>
      </c>
      <c r="C5" s="45">
        <f t="shared" ref="C5:E5" si="0">C3-C4</f>
        <v>1969</v>
      </c>
      <c r="D5" s="45">
        <f t="shared" si="0"/>
        <v>2257</v>
      </c>
      <c r="E5" s="45">
        <f t="shared" si="0"/>
        <v>2578</v>
      </c>
      <c r="F5" s="25"/>
      <c r="G5" s="25"/>
      <c r="K5" s="42"/>
      <c r="L5" s="44"/>
      <c r="M5" s="44"/>
      <c r="N5" s="44"/>
      <c r="O5" s="44"/>
    </row>
    <row r="6" spans="1:29">
      <c r="A6" s="21" t="s">
        <v>26</v>
      </c>
      <c r="B6" s="21"/>
      <c r="C6" s="21"/>
      <c r="D6" s="22"/>
      <c r="E6" s="22"/>
      <c r="F6" s="22"/>
      <c r="G6" s="22"/>
      <c r="K6" s="40"/>
      <c r="L6" s="41"/>
      <c r="M6" s="41"/>
      <c r="N6" s="41"/>
      <c r="O6" s="41"/>
      <c r="P6" s="31"/>
      <c r="Q6" s="31"/>
      <c r="R6" s="31"/>
      <c r="S6" s="31"/>
      <c r="T6" s="31"/>
      <c r="U6" s="31"/>
      <c r="V6" s="31"/>
      <c r="W6" s="31"/>
      <c r="X6" s="31"/>
      <c r="Y6" s="31"/>
      <c r="Z6" s="31"/>
      <c r="AA6" s="31"/>
      <c r="AB6" s="31"/>
      <c r="AC6" s="31"/>
    </row>
    <row r="7" spans="1:29">
      <c r="A7" s="24" t="s">
        <v>27</v>
      </c>
      <c r="B7" s="44">
        <v>1353</v>
      </c>
      <c r="C7" s="44">
        <v>1397</v>
      </c>
      <c r="D7" s="44">
        <v>1617</v>
      </c>
      <c r="E7" s="44">
        <v>1917</v>
      </c>
      <c r="F7" s="22"/>
      <c r="G7" s="21"/>
      <c r="K7" s="42"/>
      <c r="L7" s="44"/>
      <c r="M7" s="44"/>
      <c r="N7" s="44"/>
      <c r="O7" s="44"/>
    </row>
    <row r="8" spans="1:29">
      <c r="A8" s="24" t="s">
        <v>28</v>
      </c>
      <c r="B8" s="21">
        <v>0</v>
      </c>
      <c r="C8" s="21">
        <v>0</v>
      </c>
      <c r="D8" s="21">
        <v>0</v>
      </c>
      <c r="E8" s="21">
        <v>0</v>
      </c>
      <c r="F8" s="21"/>
      <c r="G8" s="21"/>
      <c r="K8" s="42"/>
      <c r="L8" s="44"/>
      <c r="M8" s="44"/>
      <c r="N8" s="44"/>
      <c r="O8" s="44"/>
    </row>
    <row r="9" spans="1:29">
      <c r="A9" s="21" t="s">
        <v>29</v>
      </c>
      <c r="B9" s="42">
        <v>48.31</v>
      </c>
      <c r="C9" s="42">
        <v>23.05</v>
      </c>
      <c r="D9" s="42">
        <v>70.08</v>
      </c>
      <c r="E9" s="42">
        <v>201</v>
      </c>
      <c r="F9" s="21"/>
      <c r="G9" s="21"/>
      <c r="K9" s="40"/>
      <c r="L9" s="40"/>
      <c r="M9" s="40"/>
      <c r="N9" s="40"/>
      <c r="O9" s="40"/>
    </row>
    <row r="10" spans="1:29">
      <c r="A10" s="21" t="s">
        <v>30</v>
      </c>
      <c r="B10" s="42">
        <v>-7.45</v>
      </c>
      <c r="C10" s="42">
        <v>-6.35</v>
      </c>
      <c r="D10" s="42">
        <v>-34.299999999999997</v>
      </c>
      <c r="E10" s="42">
        <v>52.1</v>
      </c>
      <c r="F10" s="21"/>
      <c r="G10" s="21"/>
      <c r="K10" s="42"/>
      <c r="L10" s="42"/>
      <c r="M10" s="42"/>
      <c r="N10" s="42"/>
      <c r="O10" s="42"/>
    </row>
    <row r="11" spans="1:29" s="26" customFormat="1">
      <c r="A11" s="27" t="s">
        <v>31</v>
      </c>
      <c r="B11" s="45">
        <f>SUM(B7:B10)</f>
        <v>1393.86</v>
      </c>
      <c r="C11" s="45">
        <f t="shared" ref="C11:E11" si="1">SUM(C7:C10)</f>
        <v>1413.7</v>
      </c>
      <c r="D11" s="45">
        <f t="shared" si="1"/>
        <v>1652.78</v>
      </c>
      <c r="E11" s="45">
        <f t="shared" si="1"/>
        <v>2170.1</v>
      </c>
      <c r="F11" s="28"/>
      <c r="G11" s="23"/>
      <c r="K11" s="42"/>
      <c r="L11" s="42"/>
      <c r="M11" s="42"/>
      <c r="N11" s="42"/>
      <c r="O11" s="42"/>
    </row>
    <row r="12" spans="1:29" s="26" customFormat="1">
      <c r="A12" s="24" t="s">
        <v>17</v>
      </c>
      <c r="B12" s="32">
        <f>B5-B11+ B9</f>
        <v>316.4500000000001</v>
      </c>
      <c r="C12" s="32">
        <f t="shared" ref="C12:E12" si="2">C5-C11+ C9</f>
        <v>578.34999999999991</v>
      </c>
      <c r="D12" s="32">
        <f t="shared" si="2"/>
        <v>674.30000000000007</v>
      </c>
      <c r="E12" s="32">
        <f t="shared" si="2"/>
        <v>608.90000000000009</v>
      </c>
      <c r="F12" s="21"/>
      <c r="G12" s="23"/>
      <c r="K12" s="40"/>
      <c r="L12" s="40"/>
      <c r="M12" s="40"/>
      <c r="N12" s="40"/>
      <c r="O12" s="40"/>
    </row>
    <row r="13" spans="1:29" s="26" customFormat="1">
      <c r="A13" s="23" t="s">
        <v>32</v>
      </c>
      <c r="B13" s="45">
        <f>B5-B11</f>
        <v>268.1400000000001</v>
      </c>
      <c r="C13" s="45">
        <f t="shared" ref="C13:E13" si="3">C5-C11</f>
        <v>555.29999999999995</v>
      </c>
      <c r="D13" s="45">
        <f t="shared" si="3"/>
        <v>604.22</v>
      </c>
      <c r="E13" s="45">
        <f t="shared" si="3"/>
        <v>407.90000000000009</v>
      </c>
      <c r="F13" s="25"/>
      <c r="G13" s="23"/>
      <c r="K13" s="42"/>
      <c r="L13" s="42"/>
      <c r="M13" s="42"/>
      <c r="N13" s="42"/>
      <c r="O13" s="42"/>
    </row>
    <row r="14" spans="1:29">
      <c r="A14" s="21" t="s">
        <v>23</v>
      </c>
      <c r="B14" s="42">
        <v>103.08</v>
      </c>
      <c r="C14" s="42">
        <v>150.12</v>
      </c>
      <c r="D14" s="42">
        <v>169.36</v>
      </c>
      <c r="E14" s="42">
        <v>94.39</v>
      </c>
      <c r="F14" s="21"/>
      <c r="G14" s="21"/>
      <c r="K14" s="40"/>
      <c r="L14" s="40"/>
      <c r="M14" s="40"/>
      <c r="N14" s="40"/>
      <c r="O14" s="40"/>
    </row>
    <row r="15" spans="1:29" s="26" customFormat="1">
      <c r="A15" s="23" t="s">
        <v>16</v>
      </c>
      <c r="B15" s="45">
        <f>B13-B14</f>
        <v>165.06000000000012</v>
      </c>
      <c r="C15" s="45">
        <f t="shared" ref="C15:E15" si="4">C13-C14</f>
        <v>405.17999999999995</v>
      </c>
      <c r="D15" s="45">
        <f t="shared" si="4"/>
        <v>434.86</v>
      </c>
      <c r="E15" s="45">
        <f t="shared" si="4"/>
        <v>313.5100000000001</v>
      </c>
      <c r="F15" s="25"/>
      <c r="G15" s="23"/>
      <c r="K15" s="42"/>
      <c r="L15" s="43"/>
      <c r="M15" s="43"/>
      <c r="N15" s="43"/>
      <c r="O15" s="43"/>
    </row>
    <row r="16" spans="1:29">
      <c r="A16" s="21" t="s">
        <v>24</v>
      </c>
      <c r="B16" s="42">
        <v>3.19</v>
      </c>
      <c r="C16" s="42">
        <v>7.78</v>
      </c>
      <c r="D16" s="42">
        <v>8.34</v>
      </c>
      <c r="E16" s="42">
        <v>5.72</v>
      </c>
      <c r="F16" s="21"/>
      <c r="G16" s="21"/>
      <c r="K16" s="42"/>
      <c r="L16" s="42"/>
      <c r="M16" s="42"/>
      <c r="N16" s="42"/>
      <c r="O16" s="42"/>
    </row>
    <row r="17" spans="1:15">
      <c r="A17" s="21" t="s">
        <v>25</v>
      </c>
      <c r="B17" s="42">
        <v>3.19</v>
      </c>
      <c r="C17" s="42">
        <v>7.7</v>
      </c>
      <c r="D17" s="42">
        <v>8.2799999999999994</v>
      </c>
      <c r="E17" s="42">
        <v>5.7</v>
      </c>
      <c r="F17" s="21"/>
      <c r="G17" s="21"/>
      <c r="K17" s="40"/>
      <c r="L17" s="40"/>
      <c r="M17" s="40"/>
      <c r="N17" s="40"/>
      <c r="O17" s="40"/>
    </row>
    <row r="18" spans="1:15">
      <c r="A18" s="21"/>
      <c r="B18" s="42"/>
      <c r="C18" s="42"/>
      <c r="D18" s="42"/>
      <c r="E18" s="42"/>
      <c r="F18" s="21"/>
      <c r="G18" s="21"/>
      <c r="K18" s="42"/>
      <c r="L18" s="42"/>
      <c r="M18" s="43"/>
      <c r="N18" s="43"/>
      <c r="O18" s="43"/>
    </row>
    <row r="19" spans="1:15">
      <c r="K19" s="42"/>
      <c r="L19" s="42"/>
      <c r="M19" s="42"/>
      <c r="N19" s="42"/>
      <c r="O19" s="42"/>
    </row>
    <row r="20" spans="1:15">
      <c r="K20" s="40"/>
      <c r="L20" s="40"/>
      <c r="M20" s="40"/>
      <c r="N20" s="40"/>
      <c r="O20" s="40"/>
    </row>
    <row r="21" spans="1:15">
      <c r="K21" s="42"/>
      <c r="L21" s="43"/>
      <c r="M21" s="43"/>
      <c r="N21" s="43"/>
      <c r="O21" s="43"/>
    </row>
    <row r="22" spans="1:15">
      <c r="A22" s="21"/>
      <c r="B22" s="21"/>
      <c r="C22" s="22"/>
      <c r="D22" s="22"/>
      <c r="E22" s="22"/>
      <c r="K22" s="40"/>
      <c r="L22" s="40"/>
      <c r="M22" s="40"/>
      <c r="N22" s="40"/>
      <c r="O22" s="40"/>
    </row>
    <row r="23" spans="1:15">
      <c r="A23" s="21"/>
      <c r="B23" s="21"/>
      <c r="C23" s="22"/>
      <c r="D23" s="22"/>
      <c r="E23" s="22"/>
      <c r="K23" s="42"/>
      <c r="L23" s="42"/>
      <c r="M23" s="42"/>
      <c r="N23" s="42"/>
      <c r="O23" s="42"/>
    </row>
    <row r="24" spans="1:15">
      <c r="A24" s="21"/>
      <c r="B24" s="21"/>
      <c r="C24" s="22"/>
      <c r="D24" s="22"/>
      <c r="E24" s="22"/>
      <c r="K24" s="40"/>
      <c r="L24" s="40"/>
      <c r="M24" s="40"/>
      <c r="N24" s="40"/>
      <c r="O24" s="40"/>
    </row>
    <row r="25" spans="1:15">
      <c r="A25" s="40"/>
      <c r="B25" s="40"/>
      <c r="C25" s="40"/>
      <c r="D25" s="40"/>
      <c r="E25" s="40"/>
      <c r="F25" s="40"/>
      <c r="G25" s="40"/>
      <c r="H25" s="40"/>
      <c r="K25" s="42"/>
      <c r="L25" s="42"/>
      <c r="M25" s="42"/>
      <c r="N25" s="43"/>
      <c r="O25" s="43"/>
    </row>
    <row r="26" spans="1:15">
      <c r="A26" s="29"/>
      <c r="B26" s="41"/>
      <c r="C26" s="41"/>
      <c r="D26" s="41"/>
      <c r="E26" s="41"/>
      <c r="F26" s="41"/>
      <c r="G26" s="41"/>
      <c r="H26" s="41"/>
      <c r="K26" s="42"/>
      <c r="L26" s="43"/>
      <c r="M26" s="43"/>
      <c r="N26" s="43"/>
      <c r="O26" s="43"/>
    </row>
    <row r="27" spans="1:15">
      <c r="A27" s="42"/>
      <c r="B27" s="43"/>
      <c r="C27" s="43"/>
      <c r="D27" s="43"/>
      <c r="E27" s="43"/>
      <c r="F27" s="43"/>
      <c r="G27" s="43"/>
      <c r="H27" s="42"/>
      <c r="K27" s="42"/>
      <c r="L27" s="43"/>
      <c r="M27" s="43"/>
      <c r="N27" s="43"/>
      <c r="O27" s="43"/>
    </row>
    <row r="28" spans="1:15">
      <c r="A28" s="42"/>
      <c r="B28" s="44"/>
      <c r="C28" s="44"/>
      <c r="D28" s="44"/>
      <c r="E28" s="44"/>
      <c r="F28" s="44"/>
      <c r="G28" s="44"/>
      <c r="H28" s="44"/>
      <c r="K28" s="42"/>
      <c r="L28" s="43"/>
      <c r="M28" s="43"/>
      <c r="N28" s="43"/>
      <c r="O28" s="43"/>
    </row>
    <row r="29" spans="1:15">
      <c r="A29" s="40"/>
      <c r="B29" s="41"/>
      <c r="C29" s="41"/>
      <c r="D29" s="41"/>
      <c r="E29" s="41"/>
      <c r="F29" s="41"/>
      <c r="G29" s="40"/>
      <c r="H29" s="40"/>
    </row>
    <row r="30" spans="1:15">
      <c r="A30" s="42"/>
      <c r="B30" s="44"/>
      <c r="C30" s="44"/>
      <c r="D30" s="44"/>
      <c r="E30" s="44"/>
      <c r="F30" s="44"/>
      <c r="G30" s="42"/>
      <c r="H30" s="42"/>
    </row>
    <row r="31" spans="1:15">
      <c r="A31" s="42"/>
      <c r="B31" s="44"/>
      <c r="C31" s="44"/>
      <c r="D31" s="44"/>
      <c r="E31" s="44"/>
      <c r="F31" s="44"/>
      <c r="G31" s="42"/>
      <c r="H31" s="42"/>
    </row>
    <row r="32" spans="1:15">
      <c r="A32" s="40"/>
      <c r="B32" s="40"/>
      <c r="C32" s="40"/>
      <c r="D32" s="40"/>
      <c r="E32" s="40"/>
      <c r="F32" s="40"/>
      <c r="G32" s="40"/>
      <c r="H32" s="40"/>
    </row>
    <row r="33" spans="1:8">
      <c r="A33" s="42"/>
      <c r="B33" s="42"/>
      <c r="C33" s="42"/>
      <c r="D33" s="42"/>
      <c r="E33" s="42"/>
      <c r="F33" s="42"/>
      <c r="G33" s="42"/>
      <c r="H33" s="42"/>
    </row>
    <row r="34" spans="1:8">
      <c r="A34" s="42"/>
      <c r="B34" s="42"/>
      <c r="C34" s="42"/>
      <c r="D34" s="42"/>
      <c r="E34" s="42"/>
      <c r="F34" s="42"/>
      <c r="G34" s="42"/>
      <c r="H34" s="42"/>
    </row>
    <row r="35" spans="1:8">
      <c r="A35" s="40"/>
      <c r="B35" s="40"/>
      <c r="C35" s="40"/>
      <c r="D35" s="40"/>
      <c r="E35" s="40"/>
      <c r="F35" s="40"/>
      <c r="G35" s="40"/>
      <c r="H35" s="40"/>
    </row>
    <row r="36" spans="1:8">
      <c r="A36" s="42"/>
      <c r="B36" s="42"/>
      <c r="C36" s="42"/>
      <c r="D36" s="42"/>
      <c r="E36" s="42"/>
      <c r="F36" s="42"/>
      <c r="G36" s="42"/>
      <c r="H36" s="42"/>
    </row>
    <row r="37" spans="1:8">
      <c r="A37" s="40"/>
      <c r="B37" s="40"/>
      <c r="C37" s="40"/>
      <c r="D37" s="40"/>
      <c r="E37" s="40"/>
      <c r="F37" s="40"/>
      <c r="G37" s="40"/>
      <c r="H37" s="40"/>
    </row>
    <row r="38" spans="1:8">
      <c r="A38" s="42"/>
      <c r="B38" s="43"/>
      <c r="C38" s="43"/>
      <c r="D38" s="43"/>
      <c r="E38" s="43"/>
      <c r="F38" s="43"/>
      <c r="G38" s="43"/>
      <c r="H38" s="42"/>
    </row>
    <row r="39" spans="1:8">
      <c r="A39" s="42"/>
      <c r="B39" s="42"/>
      <c r="C39" s="42"/>
      <c r="D39" s="42"/>
      <c r="E39" s="42"/>
      <c r="F39" s="42"/>
      <c r="G39" s="42"/>
      <c r="H39" s="42"/>
    </row>
    <row r="40" spans="1:8">
      <c r="A40" s="40"/>
      <c r="B40" s="40"/>
      <c r="C40" s="40"/>
      <c r="D40" s="40"/>
      <c r="E40" s="40"/>
      <c r="F40" s="40"/>
      <c r="G40" s="40"/>
      <c r="H40" s="40"/>
    </row>
    <row r="41" spans="1:8">
      <c r="A41" s="42"/>
      <c r="B41" s="43"/>
      <c r="C41" s="43"/>
      <c r="D41" s="43"/>
      <c r="E41" s="42"/>
      <c r="F41" s="42"/>
      <c r="G41" s="42"/>
      <c r="H41" s="42"/>
    </row>
    <row r="42" spans="1:8">
      <c r="A42" s="42"/>
      <c r="B42" s="42"/>
      <c r="C42" s="42"/>
      <c r="D42" s="42"/>
      <c r="E42" s="42"/>
      <c r="F42" s="42"/>
      <c r="G42" s="42"/>
      <c r="H42" s="42"/>
    </row>
    <row r="43" spans="1:8">
      <c r="A43" s="40"/>
      <c r="B43" s="40"/>
      <c r="C43" s="40"/>
      <c r="D43" s="40"/>
      <c r="E43" s="40"/>
      <c r="F43" s="40"/>
      <c r="G43" s="40"/>
      <c r="H43" s="40"/>
    </row>
    <row r="44" spans="1:8">
      <c r="A44" s="42"/>
      <c r="B44" s="43"/>
      <c r="C44" s="43"/>
      <c r="D44" s="43"/>
      <c r="E44" s="43"/>
      <c r="F44" s="42"/>
      <c r="G44" s="42"/>
      <c r="H44" s="42"/>
    </row>
    <row r="45" spans="1:8">
      <c r="A45" s="40"/>
      <c r="B45" s="40"/>
      <c r="C45" s="40"/>
      <c r="D45" s="40"/>
      <c r="E45" s="40"/>
      <c r="F45" s="40"/>
      <c r="G45" s="40"/>
      <c r="H45" s="40"/>
    </row>
    <row r="46" spans="1:8">
      <c r="A46" s="42"/>
      <c r="B46" s="42"/>
      <c r="C46" s="42"/>
      <c r="D46" s="42"/>
      <c r="E46" s="42"/>
      <c r="F46" s="42"/>
      <c r="G46" s="42"/>
      <c r="H46" s="42"/>
    </row>
    <row r="47" spans="1:8">
      <c r="A47" s="40"/>
      <c r="B47" s="40"/>
      <c r="C47" s="40"/>
      <c r="D47" s="40"/>
      <c r="E47" s="40"/>
      <c r="F47" s="40"/>
      <c r="G47" s="40"/>
      <c r="H47" s="40"/>
    </row>
    <row r="48" spans="1:8">
      <c r="A48" s="42"/>
      <c r="B48" s="43"/>
      <c r="C48" s="43"/>
      <c r="D48" s="42"/>
      <c r="E48" s="42"/>
      <c r="F48" s="42"/>
      <c r="G48" s="42"/>
      <c r="H48" s="42"/>
    </row>
    <row r="49" spans="1:8">
      <c r="A49" s="42"/>
      <c r="B49" s="43"/>
      <c r="C49" s="43"/>
      <c r="D49" s="43"/>
      <c r="E49" s="43"/>
      <c r="F49" s="43"/>
      <c r="G49" s="43"/>
      <c r="H49" s="43"/>
    </row>
    <row r="50" spans="1:8">
      <c r="A50" s="42"/>
      <c r="B50" s="43"/>
      <c r="C50" s="43"/>
      <c r="D50" s="43"/>
      <c r="E50" s="43"/>
      <c r="F50" s="43"/>
      <c r="G50" s="43"/>
      <c r="H50" s="43"/>
    </row>
    <row r="51" spans="1:8">
      <c r="A51" s="42"/>
      <c r="B51" s="43"/>
      <c r="C51" s="43"/>
      <c r="D51" s="43"/>
      <c r="E51" s="43"/>
      <c r="F51" s="43"/>
      <c r="G51" s="43"/>
      <c r="H51" s="43"/>
    </row>
  </sheetData>
  <mergeCells count="1">
    <mergeCell ref="A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79DC3-8A64-D542-9DC3-D4B9B04ED4F1}">
  <dimension ref="A1:M82"/>
  <sheetViews>
    <sheetView topLeftCell="A2" workbookViewId="0">
      <selection activeCell="A20" sqref="A20"/>
    </sheetView>
  </sheetViews>
  <sheetFormatPr baseColWidth="10" defaultRowHeight="16"/>
  <cols>
    <col min="1" max="1" width="43" bestFit="1" customWidth="1"/>
    <col min="8" max="8" width="20.33203125" customWidth="1"/>
  </cols>
  <sheetData>
    <row r="1" spans="1:13" ht="39" customHeight="1">
      <c r="A1" s="123" t="s">
        <v>52</v>
      </c>
      <c r="B1" s="123"/>
      <c r="C1" s="123"/>
      <c r="D1" s="123"/>
      <c r="E1" s="123"/>
      <c r="F1" s="33"/>
      <c r="G1" s="33"/>
      <c r="H1" s="123" t="s">
        <v>66</v>
      </c>
      <c r="I1" s="123"/>
      <c r="J1" s="123"/>
      <c r="K1" s="123"/>
      <c r="L1" s="123"/>
      <c r="M1" s="123"/>
    </row>
    <row r="2" spans="1:13">
      <c r="A2" s="21"/>
      <c r="B2" s="23">
        <v>2020</v>
      </c>
      <c r="C2" s="23">
        <v>2021</v>
      </c>
      <c r="D2" s="23">
        <v>2022</v>
      </c>
      <c r="E2" s="23">
        <v>2023</v>
      </c>
      <c r="F2" s="21"/>
      <c r="H2" s="34"/>
      <c r="I2" s="23">
        <v>2020</v>
      </c>
      <c r="J2" s="23">
        <v>2021</v>
      </c>
      <c r="K2" s="23">
        <v>2022</v>
      </c>
      <c r="L2" s="23">
        <v>2023</v>
      </c>
      <c r="M2" s="34"/>
    </row>
    <row r="3" spans="1:13">
      <c r="A3" s="53" t="s">
        <v>82</v>
      </c>
      <c r="B3" s="23"/>
      <c r="C3" s="23"/>
      <c r="D3" s="23"/>
      <c r="E3" s="23"/>
      <c r="F3" s="21"/>
      <c r="H3" s="27" t="s">
        <v>54</v>
      </c>
    </row>
    <row r="4" spans="1:13">
      <c r="A4" s="54" t="s">
        <v>83</v>
      </c>
      <c r="B4" s="23"/>
      <c r="C4" s="23"/>
      <c r="D4" s="23"/>
      <c r="E4" s="23"/>
      <c r="F4" s="21"/>
      <c r="H4" s="35" t="s">
        <v>55</v>
      </c>
      <c r="I4" s="31">
        <f>B12</f>
        <v>451.65</v>
      </c>
      <c r="J4" s="31">
        <f t="shared" ref="J4:L4" si="0">C12</f>
        <v>407.14</v>
      </c>
      <c r="K4" s="31">
        <f t="shared" si="0"/>
        <v>403.83</v>
      </c>
      <c r="L4" s="31">
        <f t="shared" si="0"/>
        <v>748.69</v>
      </c>
      <c r="M4" t="str">
        <f t="shared" ref="M4:M9" ca="1" si="1">"&lt;--"&amp;_xlfn.FORMULATEXT(L4)</f>
        <v>&lt;--=E12</v>
      </c>
    </row>
    <row r="5" spans="1:13">
      <c r="A5" s="55" t="s">
        <v>102</v>
      </c>
      <c r="B5" s="42">
        <v>152.66</v>
      </c>
      <c r="C5" s="42">
        <v>182.04</v>
      </c>
      <c r="D5" s="42">
        <v>145.38</v>
      </c>
      <c r="E5" s="42">
        <v>295.33999999999997</v>
      </c>
      <c r="H5" s="35" t="s">
        <v>56</v>
      </c>
      <c r="I5" s="31">
        <f>B7+B8-B21-B23</f>
        <v>295.32999999999993</v>
      </c>
      <c r="J5" s="31">
        <f t="shared" ref="J5:L5" si="2">C7+C8-C21-C23</f>
        <v>392.85</v>
      </c>
      <c r="K5" s="31">
        <f t="shared" si="2"/>
        <v>476.36</v>
      </c>
      <c r="L5" s="31">
        <f t="shared" si="2"/>
        <v>491.84999999999991</v>
      </c>
      <c r="M5" t="str">
        <f t="shared" ca="1" si="1"/>
        <v>&lt;--=E7+E8-E21-E23</v>
      </c>
    </row>
    <row r="6" spans="1:13">
      <c r="A6" s="55" t="s">
        <v>103</v>
      </c>
      <c r="B6" s="42">
        <v>0</v>
      </c>
      <c r="C6" s="42">
        <v>0</v>
      </c>
      <c r="D6" s="42">
        <v>0</v>
      </c>
      <c r="E6" s="42">
        <v>0</v>
      </c>
      <c r="H6" s="35" t="s">
        <v>57</v>
      </c>
      <c r="I6" s="31">
        <f>B13</f>
        <v>2635</v>
      </c>
      <c r="J6" s="31">
        <f t="shared" ref="J6:L6" si="3">C13</f>
        <v>2469</v>
      </c>
      <c r="K6" s="31">
        <f t="shared" si="3"/>
        <v>3890</v>
      </c>
      <c r="L6" s="31">
        <f t="shared" si="3"/>
        <v>7884</v>
      </c>
      <c r="M6" t="str">
        <f t="shared" ca="1" si="1"/>
        <v>&lt;--=E13</v>
      </c>
    </row>
    <row r="7" spans="1:13">
      <c r="A7" s="55" t="s">
        <v>104</v>
      </c>
      <c r="B7" s="44">
        <v>1081</v>
      </c>
      <c r="C7" s="44">
        <v>1208</v>
      </c>
      <c r="D7" s="44">
        <v>1390</v>
      </c>
      <c r="E7" s="44">
        <v>1889</v>
      </c>
      <c r="H7" s="27" t="s">
        <v>58</v>
      </c>
      <c r="I7" s="36">
        <f>SUM(I4:I6)</f>
        <v>3381.98</v>
      </c>
      <c r="J7" s="36">
        <f t="shared" ref="J7:L7" si="4">SUM(J4:J6)</f>
        <v>3268.99</v>
      </c>
      <c r="K7" s="36">
        <f t="shared" si="4"/>
        <v>4770.1900000000005</v>
      </c>
      <c r="L7" s="36">
        <f t="shared" si="4"/>
        <v>9124.5400000000009</v>
      </c>
      <c r="M7" s="27" t="str">
        <f t="shared" ca="1" si="1"/>
        <v>&lt;--=SUM(L4:L6)</v>
      </c>
    </row>
    <row r="8" spans="1:13">
      <c r="A8" s="55" t="s">
        <v>105</v>
      </c>
      <c r="B8" s="42">
        <v>189.24</v>
      </c>
      <c r="C8" s="42">
        <v>153.07</v>
      </c>
      <c r="D8" s="42">
        <v>218.48</v>
      </c>
      <c r="E8" s="42">
        <v>674.42</v>
      </c>
      <c r="H8" t="s">
        <v>59</v>
      </c>
      <c r="I8" s="31">
        <f>B14</f>
        <v>667.52</v>
      </c>
      <c r="J8" s="31">
        <f t="shared" ref="J8:L8" si="5">C14</f>
        <v>627.13</v>
      </c>
      <c r="K8" s="31">
        <f t="shared" si="5"/>
        <v>621.63</v>
      </c>
      <c r="L8" s="31">
        <f t="shared" si="5"/>
        <v>1001</v>
      </c>
      <c r="M8" t="str">
        <f t="shared" ca="1" si="1"/>
        <v>&lt;--=E14</v>
      </c>
    </row>
    <row r="9" spans="1:13">
      <c r="A9" s="56" t="s">
        <v>34</v>
      </c>
      <c r="B9" s="46">
        <f>SUM(B5:B8)</f>
        <v>1422.9</v>
      </c>
      <c r="C9" s="46">
        <f t="shared" ref="C9:E9" si="6">SUM(C5:C8)</f>
        <v>1543.11</v>
      </c>
      <c r="D9" s="46">
        <f t="shared" si="6"/>
        <v>1753.8600000000001</v>
      </c>
      <c r="E9" s="46">
        <f t="shared" si="6"/>
        <v>2858.76</v>
      </c>
      <c r="F9" t="str">
        <f t="shared" ref="F9:F16" ca="1" si="7">"&lt;--"&amp;_xlfn.FORMULATEXT(E9)</f>
        <v>&lt;--=SUM(E5:E8)</v>
      </c>
      <c r="H9" s="27" t="s">
        <v>60</v>
      </c>
      <c r="I9" s="36">
        <f>SUM(I7:I8)</f>
        <v>4049.5</v>
      </c>
      <c r="J9" s="36">
        <f t="shared" ref="J9:L9" si="8">SUM(J7:J8)</f>
        <v>3896.12</v>
      </c>
      <c r="K9" s="36">
        <f t="shared" si="8"/>
        <v>5391.8200000000006</v>
      </c>
      <c r="L9" s="36">
        <f t="shared" si="8"/>
        <v>10125.540000000001</v>
      </c>
      <c r="M9" s="27" t="str">
        <f t="shared" ca="1" si="1"/>
        <v>&lt;--=SUM(L7:L8)</v>
      </c>
    </row>
    <row r="10" spans="1:13">
      <c r="A10" s="55" t="s">
        <v>91</v>
      </c>
      <c r="B10" s="42">
        <v>451.65</v>
      </c>
      <c r="C10" s="42">
        <v>407.14</v>
      </c>
      <c r="D10" s="42">
        <v>403.83</v>
      </c>
      <c r="E10" s="42">
        <v>748.69</v>
      </c>
    </row>
    <row r="11" spans="1:13">
      <c r="A11" s="54" t="s">
        <v>84</v>
      </c>
      <c r="B11" s="44">
        <v>0</v>
      </c>
      <c r="C11" s="44">
        <v>0</v>
      </c>
      <c r="D11" s="44">
        <v>0</v>
      </c>
      <c r="E11" s="44">
        <v>0</v>
      </c>
      <c r="H11" s="27" t="s">
        <v>61</v>
      </c>
    </row>
    <row r="12" spans="1:13">
      <c r="A12" s="53" t="s">
        <v>85</v>
      </c>
      <c r="B12" s="52">
        <f>B10-B11</f>
        <v>451.65</v>
      </c>
      <c r="C12" s="52">
        <f t="shared" ref="C12:E12" si="9">C10-C11</f>
        <v>407.14</v>
      </c>
      <c r="D12" s="52">
        <f t="shared" si="9"/>
        <v>403.83</v>
      </c>
      <c r="E12" s="52">
        <f t="shared" si="9"/>
        <v>748.69</v>
      </c>
      <c r="F12" t="str">
        <f t="shared" ca="1" si="7"/>
        <v>&lt;--=E10-E11</v>
      </c>
      <c r="H12" t="s">
        <v>62</v>
      </c>
      <c r="I12" s="31">
        <f>SUM(B22,B25,B26)</f>
        <v>1900.2</v>
      </c>
      <c r="J12" s="31">
        <f t="shared" ref="J12:L12" si="10">SUM(C22,C25,C26)</f>
        <v>1457.9</v>
      </c>
      <c r="K12" s="31">
        <f t="shared" si="10"/>
        <v>2841.45</v>
      </c>
      <c r="L12" s="31">
        <f t="shared" si="10"/>
        <v>6277.31</v>
      </c>
      <c r="M12" s="31" t="str">
        <f ca="1">"&lt;--"&amp;_xlfn.FORMULATEXT(L12)</f>
        <v>&lt;--=SUM(E22,E25,E26)</v>
      </c>
    </row>
    <row r="13" spans="1:13">
      <c r="A13" s="55" t="s">
        <v>92</v>
      </c>
      <c r="B13" s="44">
        <v>2635</v>
      </c>
      <c r="C13" s="44">
        <v>2469</v>
      </c>
      <c r="D13" s="44">
        <v>3890</v>
      </c>
      <c r="E13" s="44">
        <v>7884</v>
      </c>
      <c r="H13" t="s">
        <v>63</v>
      </c>
      <c r="I13" s="31">
        <f>-(B5+B6)</f>
        <v>-152.66</v>
      </c>
      <c r="J13" s="31">
        <f t="shared" ref="J13:L13" si="11">-(C5+C6)</f>
        <v>-182.04</v>
      </c>
      <c r="K13" s="31">
        <f t="shared" si="11"/>
        <v>-145.38</v>
      </c>
      <c r="L13" s="31">
        <f t="shared" si="11"/>
        <v>-295.33999999999997</v>
      </c>
      <c r="M13" s="31" t="str">
        <f ca="1">"&lt;--"&amp;_xlfn.FORMULATEXT(L13)</f>
        <v>&lt;--=-(E5+E6)</v>
      </c>
    </row>
    <row r="14" spans="1:13">
      <c r="A14" s="55" t="s">
        <v>93</v>
      </c>
      <c r="B14" s="42">
        <v>667.52</v>
      </c>
      <c r="C14" s="42">
        <v>627.13</v>
      </c>
      <c r="D14" s="42">
        <v>621.63</v>
      </c>
      <c r="E14" s="44">
        <v>1001</v>
      </c>
      <c r="H14" s="27" t="s">
        <v>61</v>
      </c>
      <c r="I14" s="36">
        <f t="shared" ref="I14:L14" si="12">SUM(I12:I13)</f>
        <v>1747.54</v>
      </c>
      <c r="J14" s="36">
        <f t="shared" si="12"/>
        <v>1275.8600000000001</v>
      </c>
      <c r="K14" s="36">
        <f t="shared" si="12"/>
        <v>2696.0699999999997</v>
      </c>
      <c r="L14" s="36">
        <f t="shared" si="12"/>
        <v>5981.97</v>
      </c>
      <c r="M14" s="36" t="str">
        <f ca="1">"&lt;--"&amp;_xlfn.FORMULATEXT(L14)</f>
        <v>&lt;--=SUM(L12:L13)</v>
      </c>
    </row>
    <row r="15" spans="1:13">
      <c r="A15" s="56" t="s">
        <v>94</v>
      </c>
      <c r="B15" s="41">
        <f>SUM(B12:B14)</f>
        <v>3754.17</v>
      </c>
      <c r="C15" s="41">
        <f t="shared" ref="C15:E15" si="13">SUM(C12:C14)</f>
        <v>3503.27</v>
      </c>
      <c r="D15" s="41">
        <f t="shared" si="13"/>
        <v>4915.46</v>
      </c>
      <c r="E15" s="41">
        <f t="shared" si="13"/>
        <v>9633.69</v>
      </c>
      <c r="F15" t="str">
        <f t="shared" ca="1" si="7"/>
        <v>&lt;--=SUM(E12:E14)</v>
      </c>
    </row>
    <row r="16" spans="1:13">
      <c r="A16" s="57" t="s">
        <v>35</v>
      </c>
      <c r="B16" s="46">
        <f>B15+B9</f>
        <v>5177.07</v>
      </c>
      <c r="C16" s="46">
        <f t="shared" ref="C16:E16" si="14">C15+C9</f>
        <v>5046.38</v>
      </c>
      <c r="D16" s="46">
        <f t="shared" si="14"/>
        <v>6669.32</v>
      </c>
      <c r="E16" s="46">
        <f t="shared" si="14"/>
        <v>12492.45</v>
      </c>
      <c r="F16" t="str">
        <f t="shared" ca="1" si="7"/>
        <v>&lt;--=E15+E9</v>
      </c>
      <c r="H16" s="27" t="s">
        <v>64</v>
      </c>
      <c r="I16" s="36">
        <f>I9-I14</f>
        <v>2301.96</v>
      </c>
      <c r="J16" s="36">
        <f t="shared" ref="J16:L16" si="15">J9-J14</f>
        <v>2620.2599999999998</v>
      </c>
      <c r="K16" s="36">
        <f t="shared" si="15"/>
        <v>2695.7500000000009</v>
      </c>
      <c r="L16" s="36">
        <f t="shared" si="15"/>
        <v>4143.5700000000006</v>
      </c>
      <c r="M16" s="36" t="str">
        <f ca="1">"&lt;--"&amp;_xlfn.FORMULATEXT(L16)</f>
        <v>&lt;--=L9-L14</v>
      </c>
    </row>
    <row r="17" spans="1:13">
      <c r="A17" s="57"/>
      <c r="B17" s="46"/>
      <c r="C17" s="46"/>
      <c r="D17" s="46"/>
      <c r="E17" s="46"/>
      <c r="H17" t="s">
        <v>65</v>
      </c>
      <c r="I17" s="31" t="b">
        <f>ROUND(I16,0)=ROUND(B34,0)</f>
        <v>1</v>
      </c>
      <c r="J17" s="31" t="b">
        <f t="shared" ref="J17:L17" si="16">ROUND(J16,0)=ROUND(C34,0)</f>
        <v>1</v>
      </c>
      <c r="K17" s="31" t="b">
        <f t="shared" si="16"/>
        <v>1</v>
      </c>
      <c r="L17" s="31" t="b">
        <f t="shared" si="16"/>
        <v>0</v>
      </c>
      <c r="M17" s="31" t="str">
        <f ca="1">"&lt;--"&amp;_xlfn.FORMULATEXT(L17)</f>
        <v>&lt;--=ROUND(L16,0)=ROUND(E34,0)</v>
      </c>
    </row>
    <row r="18" spans="1:13">
      <c r="A18" s="57"/>
      <c r="B18" s="46"/>
      <c r="C18" s="46"/>
      <c r="D18" s="46"/>
      <c r="E18" s="46"/>
      <c r="H18" s="49"/>
      <c r="I18" s="31"/>
      <c r="J18" s="31"/>
      <c r="K18" s="31"/>
      <c r="L18" s="31"/>
      <c r="M18" s="31"/>
    </row>
    <row r="19" spans="1:13">
      <c r="A19" s="27" t="s">
        <v>86</v>
      </c>
      <c r="B19" s="41"/>
      <c r="C19" s="41"/>
      <c r="D19" s="41"/>
      <c r="E19" s="41"/>
      <c r="I19" s="31"/>
      <c r="J19" s="31"/>
      <c r="K19" s="31"/>
      <c r="L19" s="31"/>
      <c r="M19" s="31"/>
    </row>
    <row r="20" spans="1:13" ht="17">
      <c r="A20" s="50" t="s">
        <v>87</v>
      </c>
      <c r="B20" s="46"/>
      <c r="C20" s="46"/>
      <c r="D20" s="46"/>
      <c r="E20" s="46"/>
      <c r="H20" s="27"/>
      <c r="I20" s="36"/>
      <c r="J20" s="36"/>
      <c r="K20" s="36"/>
      <c r="L20" s="36"/>
      <c r="M20" s="36"/>
    </row>
    <row r="21" spans="1:13">
      <c r="A21" s="42" t="s">
        <v>106</v>
      </c>
      <c r="B21" s="42">
        <v>163.4</v>
      </c>
      <c r="C21" s="42">
        <v>129.36000000000001</v>
      </c>
      <c r="D21" s="42">
        <v>161.19</v>
      </c>
      <c r="E21" s="42">
        <v>243.57</v>
      </c>
      <c r="I21" s="31"/>
      <c r="J21" s="31"/>
      <c r="K21" s="31"/>
      <c r="L21" s="31"/>
    </row>
    <row r="22" spans="1:13">
      <c r="A22" s="42" t="s">
        <v>107</v>
      </c>
      <c r="B22" s="42">
        <v>33.75</v>
      </c>
      <c r="C22" s="42">
        <v>0</v>
      </c>
      <c r="D22" s="42">
        <v>0</v>
      </c>
      <c r="E22" s="42">
        <v>2.31</v>
      </c>
      <c r="I22" s="31"/>
      <c r="J22" s="31"/>
      <c r="K22" s="31"/>
      <c r="L22" s="31"/>
      <c r="M22" s="36"/>
    </row>
    <row r="23" spans="1:13">
      <c r="A23" s="42" t="s">
        <v>108</v>
      </c>
      <c r="B23" s="42">
        <v>811.51</v>
      </c>
      <c r="C23" s="42">
        <v>838.86</v>
      </c>
      <c r="D23" s="42">
        <v>970.93</v>
      </c>
      <c r="E23" s="44">
        <v>1828</v>
      </c>
      <c r="I23" s="31"/>
      <c r="J23" s="31"/>
      <c r="K23" s="31"/>
      <c r="L23" s="31"/>
      <c r="M23" s="31"/>
    </row>
    <row r="24" spans="1:13">
      <c r="A24" s="40" t="s">
        <v>36</v>
      </c>
      <c r="B24" s="41">
        <v>1009</v>
      </c>
      <c r="C24" s="40">
        <v>968.21</v>
      </c>
      <c r="D24" s="41">
        <v>1132</v>
      </c>
      <c r="E24" s="41">
        <v>2074</v>
      </c>
      <c r="H24" s="27"/>
      <c r="I24" s="36"/>
      <c r="J24" s="36"/>
      <c r="K24" s="36"/>
      <c r="L24" s="36"/>
    </row>
    <row r="25" spans="1:13">
      <c r="A25" s="42" t="s">
        <v>95</v>
      </c>
      <c r="B25" s="44">
        <v>1111</v>
      </c>
      <c r="C25" s="42">
        <v>802.02</v>
      </c>
      <c r="D25" s="44">
        <v>2224</v>
      </c>
      <c r="E25" s="44">
        <v>4940</v>
      </c>
      <c r="H25" s="27"/>
      <c r="I25" s="36"/>
      <c r="J25" s="36"/>
      <c r="K25" s="36"/>
      <c r="L25" s="36"/>
    </row>
    <row r="26" spans="1:13">
      <c r="A26" s="42" t="s">
        <v>96</v>
      </c>
      <c r="B26" s="42">
        <v>755.45</v>
      </c>
      <c r="C26" s="42">
        <v>655.88</v>
      </c>
      <c r="D26" s="42">
        <v>617.45000000000005</v>
      </c>
      <c r="E26" s="44">
        <v>1335</v>
      </c>
      <c r="H26" s="27"/>
      <c r="I26" s="31"/>
      <c r="J26" s="31"/>
      <c r="K26" s="31"/>
      <c r="L26" s="31"/>
    </row>
    <row r="27" spans="1:13">
      <c r="A27" s="40" t="s">
        <v>97</v>
      </c>
      <c r="B27" s="58">
        <f>SUM(B25:B26)</f>
        <v>1866.45</v>
      </c>
      <c r="C27" s="58">
        <f t="shared" ref="C27:E27" si="17">SUM(C25:C26)</f>
        <v>1457.9</v>
      </c>
      <c r="D27" s="58">
        <f t="shared" si="17"/>
        <v>2841.45</v>
      </c>
      <c r="E27" s="58">
        <f t="shared" si="17"/>
        <v>6275</v>
      </c>
      <c r="F27" t="str">
        <f t="shared" ref="F27:F28" ca="1" si="18">"&lt;--"&amp;_xlfn.FORMULATEXT(E27)</f>
        <v>&lt;--=SUM(E25:E26)</v>
      </c>
      <c r="H27" s="50"/>
      <c r="I27" s="31"/>
      <c r="J27" s="31"/>
      <c r="K27" s="31"/>
      <c r="L27" s="31"/>
    </row>
    <row r="28" spans="1:13">
      <c r="A28" s="47" t="s">
        <v>37</v>
      </c>
      <c r="B28" s="46">
        <f>B27+B24</f>
        <v>2875.45</v>
      </c>
      <c r="C28" s="46">
        <f t="shared" ref="C28:E28" si="19">C27+C24</f>
        <v>2426.11</v>
      </c>
      <c r="D28" s="46">
        <f t="shared" si="19"/>
        <v>3973.45</v>
      </c>
      <c r="E28" s="46">
        <f t="shared" si="19"/>
        <v>8349</v>
      </c>
      <c r="F28" t="str">
        <f t="shared" ca="1" si="18"/>
        <v>&lt;--=E27+E24</v>
      </c>
      <c r="H28" s="48"/>
      <c r="I28" s="31"/>
      <c r="J28" s="50"/>
      <c r="K28" s="31"/>
      <c r="L28" s="31"/>
    </row>
    <row r="29" spans="1:13">
      <c r="A29" s="42"/>
      <c r="B29" s="43"/>
      <c r="C29" s="43"/>
      <c r="D29" s="43"/>
      <c r="E29" s="43"/>
      <c r="H29" s="48"/>
      <c r="I29" s="31"/>
      <c r="J29" s="31"/>
      <c r="K29" s="31"/>
      <c r="L29" s="51"/>
    </row>
    <row r="30" spans="1:13">
      <c r="A30" s="27" t="s">
        <v>109</v>
      </c>
      <c r="B30" s="31"/>
      <c r="C30" s="31"/>
      <c r="D30" s="31"/>
      <c r="H30" s="48"/>
      <c r="I30" s="31"/>
      <c r="J30" s="31"/>
      <c r="K30" s="31"/>
      <c r="L30" s="31"/>
    </row>
    <row r="31" spans="1:13">
      <c r="A31" s="42" t="s">
        <v>98</v>
      </c>
      <c r="B31" s="44">
        <v>2306</v>
      </c>
      <c r="C31" s="44">
        <v>2298</v>
      </c>
      <c r="D31" s="44">
        <v>2238</v>
      </c>
      <c r="E31" s="44">
        <v>3311</v>
      </c>
      <c r="H31" s="48"/>
      <c r="I31" s="31"/>
      <c r="J31" s="31"/>
      <c r="L31" s="31"/>
    </row>
    <row r="32" spans="1:13">
      <c r="A32" s="42" t="s">
        <v>99</v>
      </c>
      <c r="B32" s="42">
        <v>0</v>
      </c>
      <c r="C32" s="42">
        <v>392.5</v>
      </c>
      <c r="D32" s="42">
        <v>774.11</v>
      </c>
      <c r="E32" s="44">
        <v>1024</v>
      </c>
      <c r="H32" s="48"/>
      <c r="I32" s="31"/>
      <c r="J32" s="31"/>
      <c r="K32" s="31"/>
      <c r="L32" s="31"/>
    </row>
    <row r="33" spans="1:12">
      <c r="A33" s="42" t="s">
        <v>100</v>
      </c>
      <c r="B33" s="42">
        <v>-3.81</v>
      </c>
      <c r="C33" s="42">
        <v>-70.53</v>
      </c>
      <c r="D33" s="42">
        <v>-315.75</v>
      </c>
      <c r="E33" s="42">
        <v>-191.73</v>
      </c>
      <c r="H33" s="27"/>
      <c r="I33" s="36"/>
      <c r="J33" s="36"/>
      <c r="K33" s="36"/>
      <c r="L33" s="36"/>
    </row>
    <row r="34" spans="1:12">
      <c r="A34" s="47" t="s">
        <v>101</v>
      </c>
      <c r="B34" s="46">
        <v>2302</v>
      </c>
      <c r="C34" s="46">
        <v>2620</v>
      </c>
      <c r="D34" s="46">
        <v>2696</v>
      </c>
      <c r="E34" s="46">
        <v>4143</v>
      </c>
      <c r="I34" s="31"/>
      <c r="J34" s="31"/>
      <c r="K34" s="31"/>
      <c r="L34" s="31"/>
    </row>
    <row r="35" spans="1:12">
      <c r="A35" s="21" t="s">
        <v>38</v>
      </c>
      <c r="B35" s="21">
        <v>0</v>
      </c>
      <c r="C35" s="21">
        <v>0</v>
      </c>
      <c r="D35" s="21">
        <v>0</v>
      </c>
      <c r="E35" s="21">
        <v>0</v>
      </c>
      <c r="I35" s="31"/>
      <c r="J35" s="31"/>
      <c r="K35" s="31"/>
      <c r="L35" s="31"/>
    </row>
    <row r="36" spans="1:12">
      <c r="A36" s="27" t="s">
        <v>88</v>
      </c>
      <c r="B36" s="45">
        <f>SUM(B34:B35)</f>
        <v>2302</v>
      </c>
      <c r="C36" s="45">
        <f t="shared" ref="C36:E36" si="20">SUM(C34:C35)</f>
        <v>2620</v>
      </c>
      <c r="D36" s="45">
        <f t="shared" si="20"/>
        <v>2696</v>
      </c>
      <c r="E36" s="45">
        <f t="shared" si="20"/>
        <v>4143</v>
      </c>
      <c r="F36" t="str">
        <f t="shared" ref="F36:F38" ca="1" si="21">"&lt;--"&amp;_xlfn.FORMULATEXT(E36)</f>
        <v>&lt;--=SUM(E34:E35)</v>
      </c>
      <c r="I36" s="31"/>
      <c r="J36" s="31"/>
      <c r="K36" s="31"/>
      <c r="L36" s="31"/>
    </row>
    <row r="37" spans="1:12">
      <c r="A37" s="27" t="s">
        <v>89</v>
      </c>
      <c r="B37" s="45">
        <f>B36+B28</f>
        <v>5177.45</v>
      </c>
      <c r="C37" s="45">
        <f t="shared" ref="C37:E37" si="22">C36+C28</f>
        <v>5046.1100000000006</v>
      </c>
      <c r="D37" s="45">
        <f t="shared" si="22"/>
        <v>6669.45</v>
      </c>
      <c r="E37" s="45">
        <f t="shared" si="22"/>
        <v>12492</v>
      </c>
      <c r="F37" t="str">
        <f t="shared" ca="1" si="21"/>
        <v>&lt;--=E36+E28</v>
      </c>
      <c r="H37" s="27"/>
      <c r="I37" s="36"/>
      <c r="J37" s="36"/>
      <c r="K37" s="36"/>
      <c r="L37" s="36"/>
    </row>
    <row r="38" spans="1:12">
      <c r="A38" s="27" t="s">
        <v>90</v>
      </c>
      <c r="B38" t="b">
        <f>ROUND(B37,0)=ROUND(B16,0)</f>
        <v>1</v>
      </c>
      <c r="C38" t="b">
        <f t="shared" ref="C38:E38" si="23">ROUND(C37,0)=ROUND(C16,0)</f>
        <v>1</v>
      </c>
      <c r="D38" t="b">
        <f t="shared" si="23"/>
        <v>1</v>
      </c>
      <c r="E38" t="b">
        <f t="shared" si="23"/>
        <v>1</v>
      </c>
      <c r="F38" t="str">
        <f t="shared" ca="1" si="21"/>
        <v>&lt;--=ROUND(E37,0)=ROUND(E16,0)</v>
      </c>
      <c r="H38" s="27"/>
      <c r="I38" s="31"/>
      <c r="J38" s="31"/>
      <c r="K38" s="31"/>
      <c r="L38" s="31"/>
    </row>
    <row r="39" spans="1:12">
      <c r="A39" s="21"/>
      <c r="B39" s="21"/>
      <c r="C39" s="21"/>
      <c r="D39" s="21"/>
      <c r="E39" s="21"/>
      <c r="H39" s="27"/>
      <c r="I39" s="31"/>
      <c r="J39" s="31"/>
      <c r="K39" s="31"/>
    </row>
    <row r="40" spans="1:12">
      <c r="A40" s="21"/>
      <c r="B40" s="21"/>
      <c r="C40" s="32"/>
      <c r="D40" s="32"/>
      <c r="E40" s="32"/>
      <c r="I40" s="31"/>
      <c r="J40" s="31"/>
      <c r="K40" s="31"/>
      <c r="L40" s="31"/>
    </row>
    <row r="41" spans="1:12">
      <c r="A41" s="21"/>
      <c r="B41" s="21"/>
      <c r="C41" s="21"/>
      <c r="D41" s="21"/>
      <c r="E41" s="21"/>
      <c r="I41" s="31"/>
      <c r="J41" s="31"/>
      <c r="K41" s="31"/>
      <c r="L41" s="31"/>
    </row>
    <row r="42" spans="1:12">
      <c r="A42" s="21"/>
      <c r="B42" s="21"/>
      <c r="C42" s="21"/>
      <c r="D42" s="21"/>
      <c r="E42" s="21"/>
      <c r="I42" s="31"/>
      <c r="J42" s="31"/>
      <c r="K42" s="31"/>
      <c r="L42" s="31"/>
    </row>
    <row r="43" spans="1:12">
      <c r="A43" s="21"/>
      <c r="B43" s="21"/>
      <c r="C43" s="21"/>
      <c r="D43" s="21"/>
      <c r="E43" s="21"/>
      <c r="I43" s="31"/>
      <c r="J43" s="31"/>
      <c r="K43" s="31"/>
      <c r="L43" s="31"/>
    </row>
    <row r="44" spans="1:12">
      <c r="A44" s="21"/>
      <c r="B44" s="21"/>
      <c r="C44" s="21"/>
      <c r="D44" s="21"/>
      <c r="E44" s="21"/>
      <c r="I44" s="31"/>
      <c r="J44" s="31"/>
      <c r="K44" s="31"/>
      <c r="L44" s="31"/>
    </row>
    <row r="45" spans="1:12">
      <c r="A45" s="21"/>
      <c r="B45" s="21"/>
      <c r="C45" s="21"/>
      <c r="D45" s="21"/>
      <c r="E45" s="21"/>
      <c r="H45" s="27"/>
      <c r="I45" s="36"/>
      <c r="J45" s="36"/>
      <c r="K45" s="36"/>
      <c r="L45" s="36"/>
    </row>
    <row r="46" spans="1:12">
      <c r="A46" s="21"/>
      <c r="B46" s="21"/>
      <c r="C46" s="21"/>
      <c r="D46" s="21"/>
      <c r="E46" s="21"/>
    </row>
    <row r="47" spans="1:12">
      <c r="H47" s="27"/>
      <c r="I47" s="36"/>
      <c r="J47" s="36"/>
      <c r="K47" s="36"/>
      <c r="L47" s="36"/>
    </row>
    <row r="48" spans="1:12">
      <c r="H48" s="27"/>
      <c r="I48" s="36"/>
      <c r="J48" s="36"/>
      <c r="K48" s="36"/>
      <c r="L48" s="36"/>
    </row>
    <row r="49" spans="1:8">
      <c r="H49" s="27"/>
    </row>
    <row r="56" spans="1:8">
      <c r="A56" s="40"/>
      <c r="B56" s="40"/>
      <c r="C56" s="40"/>
      <c r="D56" s="40"/>
      <c r="E56" s="40"/>
      <c r="F56" s="40"/>
      <c r="G56" s="40"/>
      <c r="H56" s="40"/>
    </row>
    <row r="57" spans="1:8">
      <c r="A57" s="42"/>
      <c r="B57" s="42"/>
      <c r="C57" s="42"/>
      <c r="D57" s="42"/>
      <c r="E57" s="42"/>
      <c r="F57" s="42"/>
      <c r="G57" s="42"/>
      <c r="H57" s="42"/>
    </row>
    <row r="58" spans="1:8">
      <c r="A58" s="42"/>
      <c r="B58" s="42"/>
      <c r="C58" s="42"/>
      <c r="D58" s="42"/>
      <c r="E58" s="42"/>
      <c r="F58" s="42"/>
      <c r="G58" s="42"/>
      <c r="H58" s="42"/>
    </row>
    <row r="59" spans="1:8">
      <c r="A59" s="40"/>
      <c r="B59" s="40"/>
      <c r="C59" s="40"/>
      <c r="D59" s="40"/>
      <c r="E59" s="40"/>
      <c r="F59" s="40"/>
      <c r="G59" s="40"/>
      <c r="H59" s="40"/>
    </row>
    <row r="60" spans="1:8">
      <c r="A60" s="42"/>
      <c r="B60" s="43"/>
      <c r="C60" s="43"/>
      <c r="D60" s="43"/>
      <c r="E60" s="43"/>
      <c r="F60" s="43"/>
      <c r="G60" s="43"/>
      <c r="H60" s="43"/>
    </row>
    <row r="61" spans="1:8">
      <c r="A61" s="42"/>
      <c r="B61" s="44"/>
      <c r="C61" s="44"/>
      <c r="D61" s="44"/>
      <c r="E61" s="44"/>
      <c r="F61" s="44"/>
      <c r="G61" s="44"/>
      <c r="H61" s="44"/>
    </row>
    <row r="62" spans="1:8">
      <c r="A62" s="42"/>
      <c r="B62" s="42"/>
      <c r="C62" s="42"/>
      <c r="D62" s="42"/>
      <c r="E62" s="42"/>
      <c r="F62" s="42"/>
      <c r="G62" s="42"/>
      <c r="H62" s="42"/>
    </row>
    <row r="63" spans="1:8">
      <c r="A63" s="40"/>
      <c r="B63" s="41"/>
      <c r="C63" s="41"/>
      <c r="D63" s="41"/>
      <c r="E63" s="41"/>
      <c r="F63" s="41"/>
      <c r="G63" s="41"/>
      <c r="H63" s="41"/>
    </row>
    <row r="64" spans="1:8">
      <c r="A64" s="42"/>
      <c r="B64" s="42"/>
      <c r="C64" s="42"/>
      <c r="D64" s="42"/>
      <c r="E64" s="42"/>
      <c r="F64" s="42"/>
      <c r="G64" s="42"/>
      <c r="H64" s="42"/>
    </row>
    <row r="65" spans="1:8">
      <c r="A65" s="42"/>
      <c r="B65" s="44"/>
      <c r="C65" s="44"/>
      <c r="D65" s="44"/>
      <c r="E65" s="44"/>
      <c r="F65" s="44"/>
      <c r="G65" s="44"/>
      <c r="H65" s="44"/>
    </row>
    <row r="66" spans="1:8">
      <c r="A66" s="42"/>
      <c r="B66" s="42"/>
      <c r="C66" s="42"/>
      <c r="D66" s="42"/>
      <c r="E66" s="44"/>
      <c r="F66" s="42"/>
      <c r="G66" s="42"/>
      <c r="H66" s="44"/>
    </row>
    <row r="67" spans="1:8">
      <c r="A67" s="40"/>
      <c r="B67" s="41"/>
      <c r="C67" s="41"/>
      <c r="D67" s="41"/>
      <c r="E67" s="41"/>
      <c r="F67" s="41"/>
      <c r="G67" s="41"/>
      <c r="H67" s="41"/>
    </row>
    <row r="68" spans="1:8">
      <c r="A68" s="47"/>
      <c r="B68" s="46"/>
      <c r="C68" s="46"/>
      <c r="D68" s="46"/>
      <c r="E68" s="46"/>
      <c r="F68" s="46"/>
      <c r="G68" s="46"/>
      <c r="H68" s="46"/>
    </row>
    <row r="69" spans="1:8">
      <c r="A69" s="42"/>
      <c r="B69" s="42"/>
      <c r="C69" s="42"/>
      <c r="D69" s="42"/>
      <c r="E69" s="42"/>
      <c r="F69" s="42"/>
      <c r="G69" s="42"/>
      <c r="H69" s="42"/>
    </row>
    <row r="70" spans="1:8">
      <c r="A70" s="42"/>
      <c r="B70" s="42"/>
      <c r="C70" s="42"/>
      <c r="D70" s="42"/>
      <c r="E70" s="42"/>
      <c r="F70" s="42"/>
      <c r="G70" s="42"/>
      <c r="H70" s="42"/>
    </row>
    <row r="71" spans="1:8">
      <c r="A71" s="42"/>
      <c r="B71" s="42"/>
      <c r="C71" s="42"/>
      <c r="D71" s="42"/>
      <c r="E71" s="44"/>
      <c r="F71" s="42"/>
      <c r="G71" s="42"/>
      <c r="H71" s="44"/>
    </row>
    <row r="72" spans="1:8">
      <c r="A72" s="40"/>
      <c r="B72" s="41"/>
      <c r="C72" s="40"/>
      <c r="D72" s="41"/>
      <c r="E72" s="41"/>
      <c r="F72" s="40"/>
      <c r="G72" s="41"/>
      <c r="H72" s="41"/>
    </row>
    <row r="73" spans="1:8">
      <c r="A73" s="42"/>
      <c r="B73" s="44"/>
      <c r="C73" s="42"/>
      <c r="D73" s="44"/>
      <c r="E73" s="44"/>
      <c r="F73" s="42"/>
      <c r="G73" s="44"/>
      <c r="H73" s="44"/>
    </row>
    <row r="74" spans="1:8">
      <c r="A74" s="42"/>
      <c r="B74" s="42"/>
      <c r="C74" s="42"/>
      <c r="D74" s="42"/>
      <c r="E74" s="44"/>
      <c r="F74" s="42"/>
      <c r="G74" s="42"/>
      <c r="H74" s="44"/>
    </row>
    <row r="75" spans="1:8">
      <c r="A75" s="40"/>
      <c r="B75" s="41"/>
      <c r="C75" s="41"/>
      <c r="D75" s="41"/>
      <c r="E75" s="41"/>
      <c r="F75" s="41"/>
      <c r="G75" s="41"/>
      <c r="H75" s="41"/>
    </row>
    <row r="76" spans="1:8">
      <c r="A76" s="47"/>
      <c r="B76" s="46"/>
      <c r="C76" s="46"/>
      <c r="D76" s="46"/>
      <c r="E76" s="46"/>
      <c r="F76" s="46"/>
      <c r="G76" s="46"/>
      <c r="H76" s="46"/>
    </row>
    <row r="77" spans="1:8">
      <c r="A77" s="40"/>
      <c r="B77" s="41"/>
      <c r="C77" s="40"/>
      <c r="D77" s="41"/>
      <c r="E77" s="41"/>
      <c r="F77" s="40"/>
      <c r="G77" s="41"/>
      <c r="H77" s="41"/>
    </row>
    <row r="78" spans="1:8">
      <c r="A78" s="42"/>
      <c r="B78" s="43"/>
      <c r="C78" s="43"/>
      <c r="D78" s="43"/>
      <c r="E78" s="43"/>
      <c r="F78" s="43"/>
      <c r="G78" s="43"/>
      <c r="H78" s="43"/>
    </row>
    <row r="79" spans="1:8">
      <c r="A79" s="42"/>
      <c r="B79" s="44"/>
      <c r="C79" s="44"/>
      <c r="D79" s="44"/>
      <c r="E79" s="44"/>
      <c r="F79" s="44"/>
      <c r="G79" s="44"/>
      <c r="H79" s="44"/>
    </row>
    <row r="80" spans="1:8">
      <c r="A80" s="42"/>
      <c r="B80" s="42"/>
      <c r="C80" s="42"/>
      <c r="D80" s="42"/>
      <c r="E80" s="44"/>
      <c r="F80" s="42"/>
      <c r="G80" s="42"/>
      <c r="H80" s="44"/>
    </row>
    <row r="81" spans="1:8">
      <c r="A81" s="42"/>
      <c r="B81" s="42"/>
      <c r="C81" s="42"/>
      <c r="D81" s="42"/>
      <c r="E81" s="42"/>
      <c r="F81" s="42"/>
      <c r="G81" s="42"/>
      <c r="H81" s="42"/>
    </row>
    <row r="82" spans="1:8">
      <c r="A82" s="47"/>
      <c r="B82" s="46"/>
      <c r="C82" s="46"/>
      <c r="D82" s="46"/>
      <c r="E82" s="46"/>
      <c r="F82" s="46"/>
      <c r="G82" s="46"/>
      <c r="H82" s="46"/>
    </row>
  </sheetData>
  <mergeCells count="2">
    <mergeCell ref="H1:M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B09F5-D0FD-054E-A713-DDBC0EB40D74}">
  <dimension ref="A1:L72"/>
  <sheetViews>
    <sheetView workbookViewId="0">
      <selection activeCell="C19" sqref="C19"/>
    </sheetView>
  </sheetViews>
  <sheetFormatPr baseColWidth="10" defaultRowHeight="16"/>
  <cols>
    <col min="1" max="1" width="35.83203125" bestFit="1" customWidth="1"/>
    <col min="8" max="8" width="38.83203125" customWidth="1"/>
  </cols>
  <sheetData>
    <row r="1" spans="1:12" ht="55" customHeight="1">
      <c r="A1" s="123" t="s">
        <v>53</v>
      </c>
      <c r="B1" s="123"/>
      <c r="C1" s="123"/>
      <c r="D1" s="123"/>
      <c r="E1" s="123"/>
      <c r="F1" s="21"/>
      <c r="G1" s="21"/>
      <c r="H1" s="21"/>
      <c r="I1" s="21"/>
    </row>
    <row r="2" spans="1:12">
      <c r="A2" s="21"/>
      <c r="B2" s="23">
        <v>2020</v>
      </c>
      <c r="C2" s="23">
        <v>2021</v>
      </c>
      <c r="D2" s="23">
        <v>2022</v>
      </c>
      <c r="E2" s="23">
        <v>2023</v>
      </c>
      <c r="F2" s="30"/>
      <c r="H2" s="34"/>
      <c r="I2" s="34"/>
      <c r="J2" s="34"/>
      <c r="K2" s="34"/>
      <c r="L2" s="34"/>
    </row>
    <row r="3" spans="1:12">
      <c r="A3" s="27" t="s">
        <v>115</v>
      </c>
      <c r="B3" s="23"/>
      <c r="C3" s="23"/>
      <c r="D3" s="23"/>
      <c r="E3" s="23"/>
      <c r="F3" s="30"/>
      <c r="H3" s="34"/>
      <c r="I3" s="34"/>
      <c r="J3" s="34"/>
      <c r="K3" s="34"/>
      <c r="L3" s="34"/>
    </row>
    <row r="4" spans="1:12">
      <c r="A4" s="42" t="s">
        <v>16</v>
      </c>
      <c r="B4" s="42">
        <v>164.81</v>
      </c>
      <c r="C4" s="42">
        <v>405.58</v>
      </c>
      <c r="D4" s="42">
        <v>435.05</v>
      </c>
      <c r="E4" s="42">
        <v>313.83999999999997</v>
      </c>
      <c r="H4" s="27"/>
    </row>
    <row r="5" spans="1:12">
      <c r="A5" t="s">
        <v>116</v>
      </c>
      <c r="B5" s="40"/>
      <c r="C5" s="40"/>
      <c r="D5" s="40"/>
      <c r="E5" s="40"/>
      <c r="H5" s="27"/>
    </row>
    <row r="6" spans="1:12">
      <c r="A6" s="42" t="s">
        <v>117</v>
      </c>
      <c r="B6" s="42">
        <v>276.57</v>
      </c>
      <c r="C6" s="42">
        <v>277.18</v>
      </c>
      <c r="D6" s="42">
        <v>309.54000000000002</v>
      </c>
      <c r="E6" s="42">
        <v>388.3</v>
      </c>
      <c r="I6" s="31"/>
      <c r="J6" s="31"/>
      <c r="K6" s="31"/>
      <c r="L6" s="31"/>
    </row>
    <row r="7" spans="1:12">
      <c r="A7" s="42" t="s">
        <v>118</v>
      </c>
      <c r="B7" s="42">
        <v>15.57</v>
      </c>
      <c r="C7" s="42">
        <v>36.18</v>
      </c>
      <c r="D7" s="42">
        <v>47.14</v>
      </c>
      <c r="E7" s="42">
        <v>62.11</v>
      </c>
      <c r="I7" s="31"/>
      <c r="J7" s="31"/>
      <c r="K7" s="31"/>
      <c r="L7" s="31"/>
    </row>
    <row r="8" spans="1:12">
      <c r="A8" s="42" t="s">
        <v>119</v>
      </c>
      <c r="B8" s="42">
        <v>50.67</v>
      </c>
      <c r="C8" s="42">
        <v>-204.75</v>
      </c>
      <c r="D8" s="42">
        <v>-191.01</v>
      </c>
      <c r="E8" s="42">
        <v>-86.24</v>
      </c>
      <c r="I8" s="31"/>
      <c r="J8" s="31"/>
      <c r="K8" s="31"/>
      <c r="L8" s="31"/>
    </row>
    <row r="9" spans="1:12">
      <c r="A9" s="40" t="s">
        <v>129</v>
      </c>
      <c r="B9" s="40">
        <v>507.61</v>
      </c>
      <c r="C9" s="40">
        <v>514.17999999999995</v>
      </c>
      <c r="D9" s="40">
        <v>600.72</v>
      </c>
      <c r="E9" s="40">
        <v>678.01</v>
      </c>
      <c r="H9" s="35"/>
      <c r="I9" s="31"/>
      <c r="J9" s="31"/>
      <c r="K9" s="31"/>
      <c r="L9" s="31"/>
    </row>
    <row r="10" spans="1:12">
      <c r="A10" s="40"/>
      <c r="B10" s="40"/>
      <c r="C10" s="40"/>
      <c r="D10" s="40"/>
      <c r="E10" s="40"/>
      <c r="H10" s="35"/>
      <c r="I10" s="31"/>
      <c r="J10" s="31"/>
      <c r="K10" s="31"/>
      <c r="L10" s="31"/>
    </row>
    <row r="11" spans="1:12">
      <c r="A11" s="27" t="s">
        <v>130</v>
      </c>
      <c r="B11" s="43"/>
      <c r="C11" s="43"/>
      <c r="D11" s="43"/>
      <c r="E11" s="43"/>
      <c r="H11" s="35"/>
      <c r="I11" s="31"/>
      <c r="J11" s="31"/>
      <c r="K11" s="31"/>
      <c r="L11" s="31"/>
    </row>
    <row r="12" spans="1:12">
      <c r="A12" s="42" t="s">
        <v>39</v>
      </c>
      <c r="B12" s="42">
        <v>-171.33</v>
      </c>
      <c r="C12" s="42">
        <v>-149.08000000000001</v>
      </c>
      <c r="D12" s="42">
        <v>-140.02000000000001</v>
      </c>
      <c r="E12" s="42">
        <v>-180.53</v>
      </c>
      <c r="H12" s="69"/>
      <c r="I12" s="50"/>
      <c r="L12" s="51"/>
    </row>
    <row r="13" spans="1:12">
      <c r="A13" s="42" t="s">
        <v>120</v>
      </c>
      <c r="B13" s="42">
        <v>62.12</v>
      </c>
      <c r="C13" s="42">
        <v>70.430000000000007</v>
      </c>
      <c r="D13" s="52">
        <v>-1698.26</v>
      </c>
      <c r="E13" s="52">
        <v>-1914.08</v>
      </c>
      <c r="H13" s="69"/>
      <c r="L13" s="31"/>
    </row>
    <row r="14" spans="1:12">
      <c r="A14" s="42" t="s">
        <v>121</v>
      </c>
      <c r="B14" s="42">
        <v>0</v>
      </c>
      <c r="C14" s="42">
        <v>0</v>
      </c>
      <c r="D14" s="42">
        <v>-1</v>
      </c>
      <c r="E14" s="42">
        <v>-14.63</v>
      </c>
      <c r="H14" s="69"/>
      <c r="J14" s="31"/>
      <c r="L14" s="31"/>
    </row>
    <row r="15" spans="1:12">
      <c r="A15" s="40" t="s">
        <v>128</v>
      </c>
      <c r="B15" s="40">
        <v>-109.22</v>
      </c>
      <c r="C15" s="40">
        <v>-78.650000000000006</v>
      </c>
      <c r="D15" s="70">
        <v>-1839.28</v>
      </c>
      <c r="E15" s="70">
        <v>-2109.2399999999998</v>
      </c>
      <c r="H15" s="69"/>
      <c r="J15" s="31"/>
      <c r="K15" s="31"/>
    </row>
    <row r="16" spans="1:12">
      <c r="A16" s="40"/>
      <c r="B16" s="40"/>
      <c r="C16" s="40"/>
      <c r="D16" s="70"/>
      <c r="E16" s="70"/>
      <c r="H16" s="69"/>
      <c r="K16" s="31"/>
    </row>
    <row r="17" spans="1:12">
      <c r="A17" s="27" t="s">
        <v>131</v>
      </c>
      <c r="B17" s="40"/>
      <c r="C17" s="40"/>
      <c r="D17" s="70"/>
      <c r="E17" s="70"/>
      <c r="H17" s="69"/>
      <c r="K17" s="31"/>
      <c r="L17" s="31"/>
    </row>
    <row r="18" spans="1:12">
      <c r="A18" s="42" t="s">
        <v>122</v>
      </c>
      <c r="B18" s="42">
        <v>0</v>
      </c>
      <c r="C18" s="42">
        <v>-13.08</v>
      </c>
      <c r="D18" s="42">
        <v>-53.43</v>
      </c>
      <c r="E18" s="42">
        <v>-63.5</v>
      </c>
      <c r="H18" s="69"/>
      <c r="I18" s="31"/>
      <c r="J18" s="31"/>
      <c r="K18" s="31"/>
      <c r="L18" s="31"/>
    </row>
    <row r="19" spans="1:12">
      <c r="A19" s="42" t="s">
        <v>123</v>
      </c>
      <c r="B19" s="42">
        <v>0</v>
      </c>
      <c r="C19" s="42">
        <v>-43.79</v>
      </c>
      <c r="D19" s="42">
        <v>-123.71</v>
      </c>
      <c r="E19" s="42">
        <v>-73.989999999999995</v>
      </c>
      <c r="H19" s="27"/>
      <c r="I19" s="36"/>
      <c r="J19" s="36"/>
      <c r="K19" s="36"/>
      <c r="L19" s="36"/>
    </row>
    <row r="20" spans="1:12">
      <c r="A20" s="42" t="s">
        <v>124</v>
      </c>
      <c r="B20" s="42">
        <v>-335.22</v>
      </c>
      <c r="C20" s="42">
        <v>-345</v>
      </c>
      <c r="D20" s="44">
        <v>1417</v>
      </c>
      <c r="E20" s="44">
        <v>1953</v>
      </c>
      <c r="I20" s="31"/>
      <c r="J20" s="31"/>
      <c r="K20" s="31"/>
    </row>
    <row r="21" spans="1:12">
      <c r="A21" s="42" t="s">
        <v>125</v>
      </c>
      <c r="B21" s="42" t="s">
        <v>81</v>
      </c>
      <c r="C21" s="42" t="s">
        <v>81</v>
      </c>
      <c r="D21" s="42">
        <v>-2.5</v>
      </c>
      <c r="E21" s="42">
        <v>-13.31</v>
      </c>
      <c r="H21" s="27"/>
      <c r="I21" s="31"/>
      <c r="J21" s="31"/>
      <c r="K21" s="31"/>
    </row>
    <row r="22" spans="1:12">
      <c r="A22" s="40" t="s">
        <v>126</v>
      </c>
      <c r="B22" s="40">
        <v>-335.22</v>
      </c>
      <c r="C22" s="40">
        <v>-401.87</v>
      </c>
      <c r="D22" s="41">
        <v>1238</v>
      </c>
      <c r="E22" s="41">
        <v>1803</v>
      </c>
      <c r="I22" s="31"/>
      <c r="J22" s="31"/>
      <c r="K22" s="31"/>
      <c r="L22" s="31"/>
    </row>
    <row r="23" spans="1:12">
      <c r="A23" s="42" t="s">
        <v>40</v>
      </c>
      <c r="B23" s="42">
        <v>9.66</v>
      </c>
      <c r="C23" s="42">
        <v>-7</v>
      </c>
      <c r="D23" s="42">
        <v>-24.52</v>
      </c>
      <c r="E23" s="42">
        <v>-12.42</v>
      </c>
      <c r="I23" s="31"/>
      <c r="J23" s="31"/>
      <c r="K23" s="31"/>
      <c r="L23" s="31"/>
    </row>
    <row r="24" spans="1:12">
      <c r="A24" s="40" t="s">
        <v>127</v>
      </c>
      <c r="B24" s="40">
        <v>72.84</v>
      </c>
      <c r="C24" s="40">
        <v>26.66</v>
      </c>
      <c r="D24" s="40">
        <v>-25.55</v>
      </c>
      <c r="E24" s="40">
        <v>359.02</v>
      </c>
      <c r="I24" s="31"/>
      <c r="J24" s="31"/>
      <c r="K24" s="31"/>
      <c r="L24" s="31"/>
    </row>
    <row r="25" spans="1:12">
      <c r="A25" s="21"/>
      <c r="B25" s="21"/>
      <c r="C25" s="21"/>
      <c r="D25" s="21"/>
      <c r="E25" s="21"/>
      <c r="I25" s="31"/>
    </row>
    <row r="26" spans="1:12">
      <c r="A26" s="21"/>
      <c r="B26" s="21"/>
      <c r="C26" s="21"/>
      <c r="D26" s="21"/>
      <c r="E26" s="21"/>
      <c r="J26" s="31"/>
      <c r="K26" s="31"/>
    </row>
    <row r="27" spans="1:12">
      <c r="A27" s="21"/>
      <c r="B27" s="21"/>
      <c r="C27" s="21"/>
      <c r="D27" s="21"/>
      <c r="E27" s="21"/>
      <c r="H27" s="27"/>
      <c r="I27" s="36"/>
      <c r="J27" s="36"/>
      <c r="K27" s="36"/>
      <c r="L27" s="36"/>
    </row>
    <row r="28" spans="1:12">
      <c r="A28" s="21"/>
      <c r="B28" s="21"/>
      <c r="C28" s="22"/>
      <c r="D28" s="22"/>
      <c r="E28" s="22"/>
      <c r="J28" s="31"/>
      <c r="K28" s="31"/>
    </row>
    <row r="29" spans="1:12">
      <c r="A29" s="21"/>
      <c r="B29" s="21"/>
      <c r="C29" s="22"/>
      <c r="D29" s="22"/>
      <c r="E29" s="22"/>
      <c r="H29" s="27"/>
      <c r="J29" s="31"/>
      <c r="K29" s="31"/>
    </row>
    <row r="30" spans="1:12">
      <c r="A30" s="21"/>
      <c r="B30" s="21"/>
      <c r="C30" s="22"/>
      <c r="D30" s="22"/>
      <c r="E30" s="22"/>
      <c r="I30" s="51"/>
      <c r="J30" s="31"/>
      <c r="K30" s="31"/>
      <c r="L30" s="31"/>
    </row>
    <row r="31" spans="1:12">
      <c r="A31" s="21"/>
      <c r="B31" s="21"/>
      <c r="C31" s="22"/>
      <c r="D31" s="22"/>
      <c r="E31" s="22"/>
      <c r="I31" s="31"/>
      <c r="J31" s="31"/>
      <c r="K31" s="31"/>
      <c r="L31" s="31"/>
    </row>
    <row r="32" spans="1:12">
      <c r="A32" s="21"/>
      <c r="B32" s="21"/>
      <c r="C32" s="21"/>
      <c r="D32" s="21"/>
      <c r="E32" s="21"/>
      <c r="I32" s="31"/>
      <c r="J32" s="31"/>
      <c r="K32" s="31"/>
      <c r="L32" s="31"/>
    </row>
    <row r="33" spans="1:12">
      <c r="A33" s="21"/>
      <c r="B33" s="21"/>
      <c r="C33" s="21"/>
      <c r="D33" s="21"/>
      <c r="E33" s="21"/>
      <c r="I33" s="31"/>
      <c r="J33" s="31"/>
      <c r="K33" s="31"/>
      <c r="L33" s="31"/>
    </row>
    <row r="34" spans="1:12">
      <c r="A34" s="21"/>
      <c r="B34" s="21"/>
      <c r="C34" s="22"/>
      <c r="D34" s="22"/>
      <c r="E34" s="22"/>
      <c r="I34" s="31"/>
      <c r="J34" s="31"/>
      <c r="K34" s="31"/>
      <c r="L34" s="31"/>
    </row>
    <row r="35" spans="1:12">
      <c r="A35" s="21"/>
      <c r="B35" s="21"/>
      <c r="C35" s="21"/>
      <c r="D35" s="21"/>
      <c r="E35" s="21"/>
    </row>
    <row r="36" spans="1:12">
      <c r="A36" s="21"/>
      <c r="B36" s="21"/>
      <c r="C36" s="21"/>
      <c r="D36" s="21"/>
      <c r="E36" s="21"/>
      <c r="J36" s="31"/>
      <c r="K36" s="31"/>
    </row>
    <row r="37" spans="1:12">
      <c r="A37" s="21"/>
      <c r="B37" s="21"/>
      <c r="C37" s="21"/>
      <c r="D37" s="21"/>
      <c r="E37" s="21"/>
      <c r="H37" s="27"/>
      <c r="I37" s="36"/>
      <c r="J37" s="36"/>
      <c r="K37" s="36"/>
      <c r="L37" s="36"/>
    </row>
    <row r="38" spans="1:12">
      <c r="A38" s="21"/>
      <c r="B38" s="21"/>
      <c r="C38" s="21"/>
      <c r="D38" s="21"/>
      <c r="E38" s="21"/>
    </row>
    <row r="39" spans="1:12">
      <c r="A39" s="21"/>
      <c r="B39" s="21"/>
      <c r="C39" s="21"/>
      <c r="D39" s="21"/>
      <c r="E39" s="21"/>
      <c r="H39" s="27"/>
      <c r="I39" s="36"/>
      <c r="J39" s="36"/>
      <c r="K39" s="36"/>
      <c r="L39" s="36"/>
    </row>
    <row r="47" spans="1:12">
      <c r="A47" s="40"/>
      <c r="B47" s="40"/>
      <c r="C47" s="40"/>
      <c r="D47" s="40"/>
      <c r="E47" s="40"/>
      <c r="F47" s="40"/>
      <c r="G47" s="40"/>
      <c r="H47" s="40"/>
    </row>
    <row r="48" spans="1:12">
      <c r="A48" s="42"/>
      <c r="B48" s="42"/>
      <c r="C48" s="42"/>
      <c r="D48" s="42"/>
      <c r="E48" s="42"/>
      <c r="F48" s="40"/>
      <c r="G48" s="40"/>
      <c r="H48" s="40"/>
    </row>
    <row r="49" spans="1:8">
      <c r="B49" s="40"/>
      <c r="C49" s="40"/>
      <c r="D49" s="40"/>
      <c r="E49" s="40"/>
      <c r="F49" s="40"/>
      <c r="G49" s="40"/>
      <c r="H49" s="40"/>
    </row>
    <row r="50" spans="1:8">
      <c r="A50" s="42"/>
      <c r="B50" s="42"/>
      <c r="C50" s="42"/>
      <c r="D50" s="42"/>
      <c r="E50" s="42"/>
      <c r="F50" s="42"/>
      <c r="G50" s="42"/>
      <c r="H50" s="42"/>
    </row>
    <row r="51" spans="1:8">
      <c r="A51" s="42"/>
      <c r="B51" s="42"/>
      <c r="C51" s="42"/>
      <c r="D51" s="42"/>
      <c r="E51" s="42"/>
      <c r="F51" s="42"/>
      <c r="G51" s="42"/>
      <c r="H51" s="42"/>
    </row>
    <row r="52" spans="1:8">
      <c r="A52" s="42"/>
      <c r="B52" s="42"/>
      <c r="C52" s="42"/>
      <c r="D52" s="42"/>
      <c r="E52" s="42"/>
      <c r="F52" s="42"/>
      <c r="G52" s="42"/>
      <c r="H52" s="42"/>
    </row>
    <row r="53" spans="1:8">
      <c r="A53" s="40"/>
      <c r="B53" s="40"/>
      <c r="C53" s="40"/>
      <c r="D53" s="40"/>
      <c r="E53" s="40"/>
      <c r="F53" s="40"/>
      <c r="G53" s="40"/>
      <c r="H53" s="40"/>
    </row>
    <row r="54" spans="1:8">
      <c r="A54" s="40"/>
      <c r="B54" s="40"/>
      <c r="C54" s="40"/>
      <c r="D54" s="40"/>
      <c r="E54" s="40"/>
      <c r="F54" s="40"/>
      <c r="G54" s="40"/>
      <c r="H54" s="40"/>
    </row>
    <row r="55" spans="1:8">
      <c r="A55" s="27"/>
      <c r="B55" s="43"/>
      <c r="C55" s="43"/>
      <c r="D55" s="43"/>
      <c r="E55" s="43"/>
      <c r="F55" s="43"/>
      <c r="G55" s="43"/>
      <c r="H55" s="43"/>
    </row>
    <row r="56" spans="1:8">
      <c r="A56" s="42"/>
      <c r="B56" s="42"/>
      <c r="C56" s="42"/>
      <c r="D56" s="42"/>
      <c r="E56" s="42"/>
      <c r="F56" s="42"/>
      <c r="G56" s="42"/>
      <c r="H56" s="42"/>
    </row>
    <row r="57" spans="1:8">
      <c r="A57" s="42"/>
      <c r="B57" s="42"/>
      <c r="C57" s="42"/>
      <c r="D57" s="52"/>
      <c r="E57" s="52"/>
      <c r="F57" s="42"/>
      <c r="G57" s="52"/>
      <c r="H57" s="52"/>
    </row>
    <row r="58" spans="1:8">
      <c r="A58" s="42"/>
      <c r="B58" s="42"/>
      <c r="C58" s="42"/>
      <c r="D58" s="42"/>
      <c r="E58" s="42"/>
      <c r="F58" s="42"/>
      <c r="G58" s="42"/>
      <c r="H58" s="42"/>
    </row>
    <row r="59" spans="1:8">
      <c r="A59" s="40"/>
      <c r="B59" s="40"/>
      <c r="C59" s="40"/>
      <c r="D59" s="70"/>
      <c r="E59" s="70"/>
      <c r="F59" s="40"/>
      <c r="G59" s="70"/>
      <c r="H59" s="70"/>
    </row>
    <row r="60" spans="1:8">
      <c r="A60" s="40"/>
      <c r="B60" s="40"/>
      <c r="C60" s="40"/>
      <c r="D60" s="70"/>
      <c r="E60" s="70"/>
      <c r="F60" s="40"/>
      <c r="G60" s="70"/>
      <c r="H60" s="70"/>
    </row>
    <row r="61" spans="1:8">
      <c r="A61" s="27"/>
      <c r="B61" s="40"/>
      <c r="C61" s="40"/>
      <c r="D61" s="70"/>
      <c r="E61" s="70"/>
      <c r="F61" s="40"/>
      <c r="G61" s="70"/>
      <c r="H61" s="70"/>
    </row>
    <row r="62" spans="1:8">
      <c r="A62" s="42"/>
      <c r="B62" s="42"/>
      <c r="C62" s="42"/>
      <c r="D62" s="42"/>
      <c r="E62" s="42"/>
      <c r="F62" s="42"/>
      <c r="G62" s="42"/>
      <c r="H62" s="42"/>
    </row>
    <row r="63" spans="1:8">
      <c r="A63" s="42"/>
      <c r="B63" s="42"/>
      <c r="C63" s="42"/>
      <c r="D63" s="42"/>
      <c r="E63" s="42"/>
      <c r="F63" s="42"/>
      <c r="G63" s="42"/>
      <c r="H63" s="42"/>
    </row>
    <row r="64" spans="1:8">
      <c r="A64" s="42"/>
      <c r="B64" s="42"/>
      <c r="C64" s="42"/>
      <c r="D64" s="44"/>
      <c r="E64" s="44"/>
      <c r="F64" s="42"/>
      <c r="G64" s="44"/>
      <c r="H64" s="44"/>
    </row>
    <row r="65" spans="1:8">
      <c r="A65" s="42"/>
      <c r="B65" s="42"/>
      <c r="C65" s="42"/>
      <c r="D65" s="42"/>
      <c r="E65" s="42"/>
      <c r="F65" s="42"/>
      <c r="G65" s="42"/>
      <c r="H65" s="42"/>
    </row>
    <row r="66" spans="1:8">
      <c r="A66" s="40"/>
      <c r="B66" s="40"/>
      <c r="C66" s="40"/>
      <c r="D66" s="41"/>
      <c r="E66" s="41"/>
      <c r="F66" s="40"/>
      <c r="G66" s="41"/>
      <c r="H66" s="41"/>
    </row>
    <row r="67" spans="1:8">
      <c r="A67" s="42"/>
      <c r="B67" s="42"/>
      <c r="C67" s="42"/>
      <c r="D67" s="42"/>
      <c r="E67" s="42"/>
      <c r="F67" s="42"/>
      <c r="G67" s="42"/>
      <c r="H67" s="42"/>
    </row>
    <row r="68" spans="1:8">
      <c r="A68" s="40"/>
      <c r="B68" s="40"/>
      <c r="C68" s="40"/>
      <c r="D68" s="40"/>
      <c r="E68" s="40"/>
      <c r="F68" s="40"/>
      <c r="G68" s="40"/>
      <c r="H68" s="40"/>
    </row>
    <row r="69" spans="1:8">
      <c r="A69" s="42"/>
      <c r="B69" s="42"/>
      <c r="C69" s="42"/>
      <c r="D69" s="42"/>
      <c r="E69" s="42"/>
      <c r="F69" s="42"/>
      <c r="G69" s="42"/>
      <c r="H69" s="42"/>
    </row>
    <row r="70" spans="1:8">
      <c r="A70" s="42"/>
      <c r="B70" s="43"/>
      <c r="C70" s="43"/>
      <c r="D70" s="43"/>
      <c r="E70" s="43"/>
      <c r="F70" s="43"/>
      <c r="G70" s="43"/>
      <c r="H70" s="43"/>
    </row>
    <row r="71" spans="1:8">
      <c r="A71" s="42"/>
      <c r="B71" s="43"/>
      <c r="C71" s="43"/>
      <c r="D71" s="43"/>
      <c r="E71" s="43"/>
      <c r="F71" s="43"/>
      <c r="G71" s="43"/>
      <c r="H71" s="43"/>
    </row>
    <row r="72" spans="1:8">
      <c r="A72" s="42"/>
    </row>
  </sheetData>
  <mergeCells count="1">
    <mergeCell ref="A1:E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136BD-07BC-D440-AEE5-4D10DF0A31C4}">
  <sheetPr codeName="Sheet4"/>
  <dimension ref="A1:J14"/>
  <sheetViews>
    <sheetView workbookViewId="0">
      <selection activeCell="A15" sqref="A15"/>
    </sheetView>
  </sheetViews>
  <sheetFormatPr baseColWidth="10" defaultColWidth="8.83203125" defaultRowHeight="15"/>
  <cols>
    <col min="1" max="1" width="15.1640625" style="59" bestFit="1" customWidth="1"/>
    <col min="2" max="2" width="16.5" style="59" customWidth="1"/>
    <col min="3" max="3" width="18.1640625" style="59" bestFit="1" customWidth="1"/>
    <col min="4" max="4" width="12.1640625" style="59" bestFit="1" customWidth="1"/>
    <col min="5" max="16384" width="8.83203125" style="59"/>
  </cols>
  <sheetData>
    <row r="1" spans="1:10" ht="19">
      <c r="A1" s="124" t="s">
        <v>112</v>
      </c>
      <c r="B1" s="124"/>
      <c r="C1" s="124"/>
      <c r="D1" s="124"/>
      <c r="E1" s="124"/>
      <c r="F1" s="124"/>
      <c r="G1" s="124"/>
      <c r="H1" s="124"/>
      <c r="I1" s="124"/>
      <c r="J1" s="124"/>
    </row>
    <row r="2" spans="1:10">
      <c r="A2" s="60" t="s">
        <v>79</v>
      </c>
      <c r="B2" s="60" t="s">
        <v>110</v>
      </c>
      <c r="C2" s="60" t="s">
        <v>111</v>
      </c>
    </row>
    <row r="3" spans="1:10">
      <c r="A3" s="59">
        <v>2023</v>
      </c>
      <c r="B3" s="67">
        <v>7115</v>
      </c>
      <c r="C3" s="62">
        <f>LN(B3/B4)</f>
        <v>0.11785331219459004</v>
      </c>
      <c r="D3" s="59" t="str">
        <f ca="1">"&lt;--"&amp;_xlfn.FORMULATEXT(C3)</f>
        <v>&lt;--=LN(B3/B4)</v>
      </c>
    </row>
    <row r="4" spans="1:10">
      <c r="A4" s="59">
        <v>2022</v>
      </c>
      <c r="B4" s="67">
        <v>6324</v>
      </c>
      <c r="C4" s="62">
        <f t="shared" ref="C4:C8" si="0">LN(B4/B5)</f>
        <v>0.12390944887021384</v>
      </c>
      <c r="D4" s="59" t="str">
        <f ca="1">"&lt;--"&amp;_xlfn.FORMULATEXT(C4)</f>
        <v>&lt;--=LN(B4/B5)</v>
      </c>
    </row>
    <row r="5" spans="1:10">
      <c r="A5" s="59">
        <v>2021</v>
      </c>
      <c r="B5" s="67">
        <v>5587</v>
      </c>
      <c r="C5" s="62">
        <f t="shared" si="0"/>
        <v>0.16863367087954773</v>
      </c>
    </row>
    <row r="6" spans="1:10">
      <c r="A6" s="59">
        <v>2020</v>
      </c>
      <c r="B6" s="67">
        <v>4720</v>
      </c>
      <c r="C6" s="62">
        <f t="shared" si="0"/>
        <v>2.5456101994338178E-3</v>
      </c>
    </row>
    <row r="7" spans="1:10">
      <c r="A7" s="59">
        <v>2019</v>
      </c>
      <c r="B7" s="67">
        <v>4708</v>
      </c>
      <c r="C7" s="62">
        <f t="shared" si="0"/>
        <v>0.64788307025962943</v>
      </c>
    </row>
    <row r="8" spans="1:10">
      <c r="A8" s="59">
        <v>2018</v>
      </c>
      <c r="B8" s="67">
        <v>2463</v>
      </c>
      <c r="C8" s="62">
        <f t="shared" si="0"/>
        <v>0.21324548040199978</v>
      </c>
    </row>
    <row r="9" spans="1:10">
      <c r="A9" s="59">
        <v>2017</v>
      </c>
      <c r="B9" s="67">
        <v>1990</v>
      </c>
      <c r="C9" s="62"/>
    </row>
    <row r="10" spans="1:10">
      <c r="B10" s="61"/>
      <c r="C10" s="62"/>
    </row>
    <row r="11" spans="1:10">
      <c r="B11" s="61"/>
      <c r="C11" s="62"/>
    </row>
    <row r="12" spans="1:10">
      <c r="B12" s="61"/>
      <c r="C12" s="62"/>
    </row>
    <row r="14" spans="1:10">
      <c r="A14" s="63" t="s">
        <v>627</v>
      </c>
      <c r="B14" s="64">
        <f>(B3/B6)^(1/3)-1</f>
        <v>0.14659744211709058</v>
      </c>
      <c r="C14" s="59" t="str">
        <f ca="1">"&lt;--"&amp;_xlfn.FORMULATEXT(B14)</f>
        <v>&lt;--=(B3/B6)^(1/3)-1</v>
      </c>
    </row>
  </sheetData>
  <mergeCells count="1">
    <mergeCell ref="A1:J1"/>
  </mergeCells>
  <printOptions headings="1" gridLines="1"/>
  <pageMargins left="0.70866141732283505" right="0.70866141732283505" top="0.74803149606299202" bottom="0.74803149606299202" header="0.31496062992126" footer="0.31496062992126"/>
  <pageSetup orientation="portrait" cellComments="atEnd"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BE92E-C58F-5644-9C97-29E8A2AE2176}">
  <sheetPr codeName="Sheet11"/>
  <dimension ref="A1:F9"/>
  <sheetViews>
    <sheetView workbookViewId="0">
      <selection activeCell="B2" sqref="B2:E2"/>
    </sheetView>
  </sheetViews>
  <sheetFormatPr baseColWidth="10" defaultColWidth="8.83203125" defaultRowHeight="15"/>
  <cols>
    <col min="1" max="1" width="19.1640625" style="59" customWidth="1"/>
    <col min="2" max="5" width="8.33203125" style="59" customWidth="1"/>
    <col min="6" max="16384" width="8.83203125" style="59"/>
  </cols>
  <sheetData>
    <row r="1" spans="1:6" ht="19">
      <c r="A1" s="124" t="s">
        <v>626</v>
      </c>
      <c r="B1" s="124"/>
      <c r="C1" s="124"/>
      <c r="D1" s="124"/>
      <c r="E1" s="124"/>
      <c r="F1" s="124"/>
    </row>
    <row r="2" spans="1:6" ht="16">
      <c r="B2" s="23">
        <v>2020</v>
      </c>
      <c r="C2" s="23">
        <v>2021</v>
      </c>
      <c r="D2" s="23">
        <v>2022</v>
      </c>
      <c r="E2" s="23">
        <v>2023</v>
      </c>
    </row>
    <row r="3" spans="1:6">
      <c r="A3" s="59" t="str">
        <f>'[1]Merck Income Statement'!A14</f>
        <v>Income before taxes</v>
      </c>
      <c r="B3" s="65">
        <f>'Income Statement'!B13</f>
        <v>268.1400000000001</v>
      </c>
      <c r="C3" s="65">
        <f>'Income Statement'!C13</f>
        <v>555.29999999999995</v>
      </c>
      <c r="D3" s="65">
        <f>'Income Statement'!D13</f>
        <v>604.22</v>
      </c>
      <c r="E3" s="65">
        <f>'Income Statement'!E13</f>
        <v>407.90000000000009</v>
      </c>
    </row>
    <row r="4" spans="1:6">
      <c r="A4" s="59" t="str">
        <f>'[1]Merck Income Statement'!A15</f>
        <v>Taxes on income</v>
      </c>
      <c r="B4" s="65">
        <f>'Income Statement'!B14</f>
        <v>103.08</v>
      </c>
      <c r="C4" s="65">
        <f>'Income Statement'!C14</f>
        <v>150.12</v>
      </c>
      <c r="D4" s="65">
        <f>'Income Statement'!D14</f>
        <v>169.36</v>
      </c>
      <c r="E4" s="65">
        <f>'Income Statement'!E14</f>
        <v>94.39</v>
      </c>
    </row>
    <row r="5" spans="1:6">
      <c r="A5" s="59" t="s">
        <v>132</v>
      </c>
      <c r="B5" s="66">
        <f>B4/B3</f>
        <v>0.38442604609532322</v>
      </c>
      <c r="C5" s="66">
        <f t="shared" ref="C5:E5" si="0">C4/C3</f>
        <v>0.2703403565640195</v>
      </c>
      <c r="D5" s="66">
        <f t="shared" si="0"/>
        <v>0.28029525669458144</v>
      </c>
      <c r="E5" s="66">
        <f t="shared" si="0"/>
        <v>0.23140475606766359</v>
      </c>
      <c r="F5" s="59" t="str">
        <f ca="1">"&lt;--"&amp;_xlfn.FORMULATEXT(E5)</f>
        <v>&lt;--=E4/E3</v>
      </c>
    </row>
    <row r="7" spans="1:6">
      <c r="A7" s="59" t="s">
        <v>133</v>
      </c>
    </row>
    <row r="8" spans="1:6">
      <c r="A8" s="71" t="s">
        <v>134</v>
      </c>
      <c r="B8" s="66">
        <f>AVERAGE(B5:E5)</f>
        <v>0.29161660385539695</v>
      </c>
      <c r="C8" s="59" t="str">
        <f ca="1">"&lt;--"&amp;_xlfn.FORMULATEXT(B8)</f>
        <v>&lt;--=AVERAGE(B5:E5)</v>
      </c>
    </row>
    <row r="9" spans="1:6">
      <c r="A9" s="71" t="s">
        <v>135</v>
      </c>
      <c r="B9" s="66">
        <f>SUM(B4:E4)/SUM(B3:E3)</f>
        <v>0.28163067401773845</v>
      </c>
      <c r="C9" s="59" t="str">
        <f ca="1">"&lt;--"&amp;_xlfn.FORMULATEXT(B9)</f>
        <v>&lt;--=SUM(B4:E4)/SUM(B3:E3)</v>
      </c>
    </row>
  </sheetData>
  <mergeCells count="1">
    <mergeCell ref="A1:F1"/>
  </mergeCells>
  <printOptions headings="1" gridLines="1"/>
  <pageMargins left="0.70866141732283505" right="0.70866141732283505" top="0.74803149606299202" bottom="0.74803149606299202" header="0.31496062992126" footer="0.31496062992126"/>
  <pageSetup orientation="portrait" cellComments="atEnd"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Trading Multiples Valuation</vt:lpstr>
      <vt:lpstr>Valuation output</vt:lpstr>
      <vt:lpstr>Stories to Numbers</vt:lpstr>
      <vt:lpstr>Valuation as picture</vt:lpstr>
      <vt:lpstr>Income Statement</vt:lpstr>
      <vt:lpstr>Balance Sheet</vt:lpstr>
      <vt:lpstr>Cashflow Statement</vt:lpstr>
      <vt:lpstr>YoY sales growth</vt:lpstr>
      <vt:lpstr>Tax rate analysis</vt:lpstr>
      <vt:lpstr>WACC</vt:lpstr>
      <vt:lpstr>Synthetic rating</vt:lpstr>
      <vt:lpstr>Industry Averages(US)</vt:lpstr>
      <vt:lpstr>Country equity risk premiums</vt:lpstr>
      <vt:lpstr>Failure Rate worksheet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Amoah, Kobena A.</dc:creator>
  <cp:lastModifiedBy>Amoah, Kobena A.</cp:lastModifiedBy>
  <dcterms:created xsi:type="dcterms:W3CDTF">2024-02-17T22:10:14Z</dcterms:created>
  <dcterms:modified xsi:type="dcterms:W3CDTF">2024-02-19T20:17:18Z</dcterms:modified>
</cp:coreProperties>
</file>