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NYU\Syllabus\CPP 6883\Week1\"/>
    </mc:Choice>
  </mc:AlternateContent>
  <xr:revisionPtr revIDLastSave="0" documentId="13_ncr:1_{4328855B-74BB-4299-8A0C-3AEE704724FC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BSOPM" sheetId="1" r:id="rId1"/>
    <sheet name="Binomial European" sheetId="3" r:id="rId2"/>
    <sheet name="Binomial American" sheetId="4" r:id="rId3"/>
    <sheet name="Sheet1" sheetId="5" r:id="rId4"/>
  </sheets>
  <definedNames>
    <definedName name="_vd1">BSOPM!$E$2</definedName>
    <definedName name="_vd2">BSOPM!$E$3</definedName>
    <definedName name="bstar">'Binomial European'!$B$7</definedName>
    <definedName name="junk">'Binomial American'!$C$13</definedName>
    <definedName name="lheader">BSOPM!$H$11</definedName>
    <definedName name="period">'Binomial European'!$B$3</definedName>
    <definedName name="rstar">'Binomial European'!$B$6</definedName>
    <definedName name="sigma">BSOPM!$B$7</definedName>
    <definedName name="vb">BSOPM!$B$16</definedName>
    <definedName name="vcall">BSOPM!$I$2</definedName>
    <definedName name="vcallamerican">'Binomial American'!$A$23</definedName>
    <definedName name="vcalldelta">BSOPM!$I$5</definedName>
    <definedName name="vd">'Binomial European'!$B$5</definedName>
    <definedName name="vl">'Binomial European'!$B$5</definedName>
    <definedName name="vn">'Binomial European'!$B$2</definedName>
    <definedName name="vnormd1">BSOPM!$E$6</definedName>
    <definedName name="vnormd1minus">BSOPM!$F$6</definedName>
    <definedName name="vnormd2">BSOPM!$E$7</definedName>
    <definedName name="vnormd2minus">BSOPM!$F$7</definedName>
    <definedName name="vput">BSOPM!$I$3</definedName>
    <definedName name="vputamerican">'Binomial American'!$A$35</definedName>
    <definedName name="vputdelta">BSOPM!$I$6</definedName>
    <definedName name="vq">'Binomial European'!$B$8</definedName>
    <definedName name="vr">BSOPM!$B$11</definedName>
    <definedName name="vrd">BSOPM!$B$13</definedName>
    <definedName name="vrf">BSOPM!$B$14</definedName>
    <definedName name="vs">BSOPM!$B$2</definedName>
    <definedName name="vsigma">BSOPM!$B$7</definedName>
    <definedName name="vt">BSOPM!$B$6</definedName>
    <definedName name="vu">'Binomial European'!$B$4</definedName>
    <definedName name="vx">BSOPM!$B$3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3" i="4" l="1"/>
  <c r="R18" i="5"/>
  <c r="R19" i="5"/>
  <c r="Q18" i="5"/>
  <c r="R20" i="5"/>
  <c r="Q19" i="5"/>
  <c r="P18" i="5"/>
  <c r="R21" i="5"/>
  <c r="Q20" i="5"/>
  <c r="P19" i="5"/>
  <c r="O18" i="5"/>
  <c r="R22" i="5"/>
  <c r="Q21" i="5"/>
  <c r="P20" i="5"/>
  <c r="O19" i="5"/>
  <c r="N18" i="5"/>
  <c r="R23" i="5"/>
  <c r="Q22" i="5"/>
  <c r="P21" i="5"/>
  <c r="O20" i="5"/>
  <c r="N19" i="5"/>
  <c r="M18" i="5"/>
  <c r="R24" i="5"/>
  <c r="Q23" i="5"/>
  <c r="P22" i="5"/>
  <c r="O21" i="5"/>
  <c r="N20" i="5"/>
  <c r="M19" i="5"/>
  <c r="L18" i="5"/>
  <c r="R25" i="5"/>
  <c r="Q24" i="5"/>
  <c r="P23" i="5"/>
  <c r="O22" i="5"/>
  <c r="N21" i="5"/>
  <c r="M20" i="5"/>
  <c r="L19" i="5"/>
  <c r="R26" i="5"/>
  <c r="Q25" i="5"/>
  <c r="P24" i="5"/>
  <c r="O23" i="5"/>
  <c r="N22" i="5"/>
  <c r="M21" i="5"/>
  <c r="L20" i="5"/>
  <c r="Q26" i="5"/>
  <c r="P25" i="5"/>
  <c r="O24" i="5"/>
  <c r="N23" i="5"/>
  <c r="M22" i="5"/>
  <c r="L21" i="5"/>
  <c r="P26" i="5"/>
  <c r="O25" i="5"/>
  <c r="N24" i="5"/>
  <c r="M23" i="5"/>
  <c r="L22" i="5"/>
  <c r="O26" i="5"/>
  <c r="N25" i="5"/>
  <c r="M24" i="5"/>
  <c r="L23" i="5"/>
  <c r="N26" i="5"/>
  <c r="M25" i="5"/>
  <c r="L24" i="5"/>
  <c r="M26" i="5"/>
  <c r="L25" i="5"/>
  <c r="L26" i="5"/>
  <c r="S19" i="5"/>
  <c r="S20" i="5"/>
  <c r="S21" i="5"/>
  <c r="S22" i="5"/>
  <c r="S23" i="5"/>
  <c r="S24" i="5"/>
  <c r="S25" i="5"/>
  <c r="S26" i="5"/>
  <c r="S18" i="5"/>
  <c r="G24" i="5"/>
  <c r="G23" i="5"/>
  <c r="F23" i="5"/>
  <c r="G22" i="5"/>
  <c r="F22" i="5"/>
  <c r="E22" i="5"/>
  <c r="G21" i="5"/>
  <c r="F21" i="5"/>
  <c r="E21" i="5"/>
  <c r="D21" i="5"/>
  <c r="G20" i="5"/>
  <c r="F20" i="5"/>
  <c r="E20" i="5"/>
  <c r="D20" i="5"/>
  <c r="C20" i="5"/>
  <c r="G19" i="5"/>
  <c r="F19" i="5"/>
  <c r="E19" i="5"/>
  <c r="D19" i="5"/>
  <c r="C19" i="5"/>
  <c r="B19" i="5"/>
  <c r="G18" i="5"/>
  <c r="F18" i="5"/>
  <c r="E18" i="5"/>
  <c r="D18" i="5"/>
  <c r="C18" i="5"/>
  <c r="B18" i="5"/>
  <c r="A18" i="5"/>
  <c r="H19" i="5"/>
  <c r="H20" i="5"/>
  <c r="H21" i="5"/>
  <c r="H22" i="5"/>
  <c r="H23" i="5"/>
  <c r="H24" i="5"/>
  <c r="H25" i="5"/>
  <c r="H18" i="5"/>
  <c r="B2" i="5"/>
  <c r="B1" i="5"/>
  <c r="B6" i="3"/>
  <c r="B11" i="3"/>
  <c r="B2" i="4"/>
  <c r="A11" i="4"/>
  <c r="A11" i="3"/>
  <c r="B4" i="1"/>
  <c r="B5" i="1"/>
  <c r="B6" i="1"/>
  <c r="K9" i="1"/>
  <c r="B13" i="1"/>
  <c r="F19" i="1"/>
  <c r="B3" i="3"/>
  <c r="B3" i="4"/>
  <c r="B4" i="3"/>
  <c r="E2" i="1"/>
  <c r="B7" i="3"/>
  <c r="B7" i="4"/>
  <c r="E13" i="1"/>
  <c r="E6" i="1"/>
  <c r="F20" i="1"/>
  <c r="E3" i="1"/>
  <c r="E7" i="1"/>
  <c r="F7" i="1"/>
  <c r="B5" i="3"/>
  <c r="B4" i="4"/>
  <c r="B11" i="4"/>
  <c r="B6" i="4"/>
  <c r="B8" i="3"/>
  <c r="B8" i="4"/>
  <c r="I2" i="1"/>
  <c r="F22" i="1"/>
  <c r="F6" i="1"/>
  <c r="I6" i="1"/>
  <c r="I5" i="1"/>
  <c r="C12" i="4"/>
  <c r="D13" i="4"/>
  <c r="E14" i="4"/>
  <c r="F15" i="4"/>
  <c r="G16" i="4"/>
  <c r="H17" i="4"/>
  <c r="I18" i="4"/>
  <c r="C11" i="4"/>
  <c r="C11" i="3"/>
  <c r="C12" i="3"/>
  <c r="D13" i="3"/>
  <c r="E14" i="3"/>
  <c r="F15" i="3"/>
  <c r="G16" i="3"/>
  <c r="H17" i="3"/>
  <c r="I18" i="3"/>
  <c r="B5" i="4"/>
  <c r="B12" i="3"/>
  <c r="C13" i="3"/>
  <c r="D14" i="3"/>
  <c r="E15" i="3"/>
  <c r="F16" i="3"/>
  <c r="G17" i="3"/>
  <c r="H18" i="3"/>
  <c r="I19" i="3"/>
  <c r="B12" i="4"/>
  <c r="C13" i="4"/>
  <c r="D14" i="4"/>
  <c r="E15" i="4"/>
  <c r="F16" i="4"/>
  <c r="G17" i="4"/>
  <c r="H18" i="4"/>
  <c r="I19" i="4"/>
  <c r="F23" i="1"/>
  <c r="I3" i="1"/>
  <c r="I30" i="3"/>
  <c r="I45" i="3"/>
  <c r="I31" i="4"/>
  <c r="I43" i="4"/>
  <c r="D12" i="3"/>
  <c r="E13" i="3"/>
  <c r="F14" i="3"/>
  <c r="G15" i="3"/>
  <c r="H16" i="3"/>
  <c r="I17" i="3"/>
  <c r="D11" i="3"/>
  <c r="I46" i="3"/>
  <c r="I31" i="3"/>
  <c r="D12" i="4"/>
  <c r="E13" i="4"/>
  <c r="F14" i="4"/>
  <c r="G15" i="4"/>
  <c r="H16" i="4"/>
  <c r="I17" i="4"/>
  <c r="D11" i="4"/>
  <c r="I42" i="4"/>
  <c r="H42" i="4"/>
  <c r="I30" i="4"/>
  <c r="H30" i="4"/>
  <c r="D13" i="1"/>
  <c r="E12" i="4"/>
  <c r="F13" i="4"/>
  <c r="G14" i="4"/>
  <c r="H15" i="4"/>
  <c r="I16" i="4"/>
  <c r="E11" i="4"/>
  <c r="E11" i="3"/>
  <c r="E12" i="3"/>
  <c r="F13" i="3"/>
  <c r="G14" i="3"/>
  <c r="H15" i="3"/>
  <c r="I16" i="3"/>
  <c r="H45" i="3"/>
  <c r="I41" i="4"/>
  <c r="H41" i="4"/>
  <c r="G41" i="4"/>
  <c r="I29" i="4"/>
  <c r="H29" i="4"/>
  <c r="G29" i="4"/>
  <c r="I29" i="3"/>
  <c r="H29" i="3"/>
  <c r="H30" i="3"/>
  <c r="G29" i="3"/>
  <c r="I44" i="3"/>
  <c r="H44" i="3"/>
  <c r="G44" i="3"/>
  <c r="I28" i="3"/>
  <c r="H28" i="3"/>
  <c r="G28" i="3"/>
  <c r="F28" i="3"/>
  <c r="I43" i="3"/>
  <c r="H43" i="3"/>
  <c r="G43" i="3"/>
  <c r="F43" i="3"/>
  <c r="F12" i="3"/>
  <c r="G13" i="3"/>
  <c r="H14" i="3"/>
  <c r="I15" i="3"/>
  <c r="F11" i="3"/>
  <c r="F11" i="4"/>
  <c r="F12" i="4"/>
  <c r="G13" i="4"/>
  <c r="H14" i="4"/>
  <c r="I15" i="4"/>
  <c r="I28" i="4"/>
  <c r="H28" i="4"/>
  <c r="G28" i="4"/>
  <c r="F28" i="4"/>
  <c r="I40" i="4"/>
  <c r="H40" i="4"/>
  <c r="G40" i="4"/>
  <c r="F40" i="4"/>
  <c r="I42" i="3"/>
  <c r="H42" i="3"/>
  <c r="G42" i="3"/>
  <c r="F42" i="3"/>
  <c r="E42" i="3"/>
  <c r="I27" i="3"/>
  <c r="H27" i="3"/>
  <c r="G27" i="3"/>
  <c r="F27" i="3"/>
  <c r="E27" i="3"/>
  <c r="I27" i="4"/>
  <c r="H27" i="4"/>
  <c r="G27" i="4"/>
  <c r="F27" i="4"/>
  <c r="E27" i="4"/>
  <c r="I39" i="4"/>
  <c r="H39" i="4"/>
  <c r="G39" i="4"/>
  <c r="F39" i="4"/>
  <c r="E39" i="4"/>
  <c r="G12" i="4"/>
  <c r="H13" i="4"/>
  <c r="I14" i="4"/>
  <c r="G11" i="4"/>
  <c r="G12" i="3"/>
  <c r="H13" i="3"/>
  <c r="I14" i="3"/>
  <c r="G11" i="3"/>
  <c r="H12" i="4"/>
  <c r="I13" i="4"/>
  <c r="H11" i="4"/>
  <c r="H12" i="3"/>
  <c r="I13" i="3"/>
  <c r="H11" i="3"/>
  <c r="I26" i="3"/>
  <c r="H26" i="3"/>
  <c r="G26" i="3"/>
  <c r="F26" i="3"/>
  <c r="E26" i="3"/>
  <c r="D26" i="3"/>
  <c r="I41" i="3"/>
  <c r="H41" i="3"/>
  <c r="G41" i="3"/>
  <c r="F41" i="3"/>
  <c r="E41" i="3"/>
  <c r="D41" i="3"/>
  <c r="I38" i="4"/>
  <c r="H38" i="4"/>
  <c r="G38" i="4"/>
  <c r="F38" i="4"/>
  <c r="E38" i="4"/>
  <c r="D38" i="4"/>
  <c r="I26" i="4"/>
  <c r="H26" i="4"/>
  <c r="G26" i="4"/>
  <c r="F26" i="4"/>
  <c r="E26" i="4"/>
  <c r="D26" i="4"/>
  <c r="I12" i="3"/>
  <c r="I11" i="3"/>
  <c r="I40" i="3"/>
  <c r="H40" i="3"/>
  <c r="G40" i="3"/>
  <c r="F40" i="3"/>
  <c r="E40" i="3"/>
  <c r="D40" i="3"/>
  <c r="C40" i="3"/>
  <c r="I25" i="3"/>
  <c r="H25" i="3"/>
  <c r="G25" i="3"/>
  <c r="F25" i="3"/>
  <c r="E25" i="3"/>
  <c r="D25" i="3"/>
  <c r="C25" i="3"/>
  <c r="I11" i="4"/>
  <c r="I12" i="4"/>
  <c r="I37" i="4"/>
  <c r="H37" i="4"/>
  <c r="G37" i="4"/>
  <c r="F37" i="4"/>
  <c r="E37" i="4"/>
  <c r="D37" i="4"/>
  <c r="C37" i="4"/>
  <c r="I25" i="4"/>
  <c r="H25" i="4"/>
  <c r="G25" i="4"/>
  <c r="F25" i="4"/>
  <c r="E25" i="4"/>
  <c r="D25" i="4"/>
  <c r="C25" i="4"/>
  <c r="I24" i="4"/>
  <c r="H24" i="4"/>
  <c r="G24" i="4"/>
  <c r="F24" i="4"/>
  <c r="E24" i="4"/>
  <c r="D24" i="4"/>
  <c r="C24" i="4"/>
  <c r="B24" i="4"/>
  <c r="I36" i="4"/>
  <c r="H36" i="4"/>
  <c r="G36" i="4"/>
  <c r="F36" i="4"/>
  <c r="E36" i="4"/>
  <c r="D36" i="4"/>
  <c r="C36" i="4"/>
  <c r="B36" i="4"/>
  <c r="I35" i="4"/>
  <c r="H35" i="4"/>
  <c r="G35" i="4"/>
  <c r="F35" i="4"/>
  <c r="E35" i="4"/>
  <c r="D35" i="4"/>
  <c r="C35" i="4"/>
  <c r="B35" i="4"/>
  <c r="A35" i="4"/>
  <c r="F8" i="3"/>
  <c r="I23" i="4"/>
  <c r="G23" i="4"/>
  <c r="F23" i="4"/>
  <c r="E23" i="4"/>
  <c r="D23" i="4"/>
  <c r="C23" i="4"/>
  <c r="B23" i="4"/>
  <c r="A23" i="4"/>
  <c r="F7" i="3"/>
  <c r="I38" i="3"/>
  <c r="I23" i="3"/>
  <c r="I24" i="3"/>
  <c r="H23" i="3"/>
  <c r="H24" i="3"/>
  <c r="G23" i="3"/>
  <c r="G24" i="3"/>
  <c r="F23" i="3"/>
  <c r="F24" i="3"/>
  <c r="E23" i="3"/>
  <c r="E24" i="3"/>
  <c r="D23" i="3"/>
  <c r="D24" i="3"/>
  <c r="C23" i="3"/>
  <c r="C24" i="3"/>
  <c r="B23" i="3"/>
  <c r="B24" i="3"/>
  <c r="A23" i="3"/>
  <c r="F4" i="3"/>
  <c r="I39" i="3"/>
  <c r="H39" i="3"/>
  <c r="G39" i="3"/>
  <c r="F39" i="3"/>
  <c r="E39" i="3"/>
  <c r="D39" i="3"/>
  <c r="C39" i="3"/>
  <c r="B39" i="3"/>
  <c r="H38" i="3"/>
  <c r="G38" i="3"/>
  <c r="F38" i="3"/>
  <c r="E38" i="3"/>
  <c r="D38" i="3"/>
  <c r="C38" i="3"/>
  <c r="B38" i="3"/>
  <c r="A38" i="3"/>
  <c r="F5" i="3"/>
</calcChain>
</file>

<file path=xl/sharedStrings.xml><?xml version="1.0" encoding="utf-8"?>
<sst xmlns="http://schemas.openxmlformats.org/spreadsheetml/2006/main" count="146" uniqueCount="76">
  <si>
    <t xml:space="preserve">Input </t>
  </si>
  <si>
    <t>Computations</t>
  </si>
  <si>
    <t>Option Values</t>
  </si>
  <si>
    <t>S</t>
  </si>
  <si>
    <t>d1</t>
  </si>
  <si>
    <t>Call Price</t>
  </si>
  <si>
    <t>X</t>
  </si>
  <si>
    <t>d2</t>
  </si>
  <si>
    <t>Put Price</t>
  </si>
  <si>
    <t>r</t>
  </si>
  <si>
    <t>b</t>
  </si>
  <si>
    <t>Call Delta</t>
  </si>
  <si>
    <t>T</t>
  </si>
  <si>
    <t>Norm(d1)</t>
  </si>
  <si>
    <t>Put Delta</t>
  </si>
  <si>
    <t>sigma</t>
  </si>
  <si>
    <t>Norm(d2)</t>
  </si>
  <si>
    <t>Put-Call Parity  (C-P)=S-PV(X)</t>
  </si>
  <si>
    <t>Coupon bond</t>
  </si>
  <si>
    <t>r-c</t>
  </si>
  <si>
    <t>Currency</t>
  </si>
  <si>
    <t>rd-rf</t>
  </si>
  <si>
    <t>Commodity</t>
  </si>
  <si>
    <t>r+s</t>
  </si>
  <si>
    <t>Lattice Settings</t>
  </si>
  <si>
    <t>N</t>
  </si>
  <si>
    <t>T/N</t>
  </si>
  <si>
    <t>u</t>
  </si>
  <si>
    <t>d</t>
  </si>
  <si>
    <t>r*</t>
  </si>
  <si>
    <t>b*</t>
  </si>
  <si>
    <t>q</t>
  </si>
  <si>
    <t>ASSET PRICE</t>
  </si>
  <si>
    <t>N=2</t>
  </si>
  <si>
    <t>N=3</t>
  </si>
  <si>
    <t>N=4</t>
  </si>
  <si>
    <t>N=5</t>
  </si>
  <si>
    <t>N=6</t>
  </si>
  <si>
    <t>N=7</t>
  </si>
  <si>
    <t>N=8</t>
  </si>
  <si>
    <t>CALL VALUE</t>
  </si>
  <si>
    <t>European</t>
  </si>
  <si>
    <t>PUT VALUE</t>
  </si>
  <si>
    <t>Call Value:</t>
  </si>
  <si>
    <t>Put Value:</t>
  </si>
  <si>
    <t>Binomial</t>
  </si>
  <si>
    <t>Results and Comparison</t>
  </si>
  <si>
    <t>American</t>
  </si>
  <si>
    <t>Lattice Settings (Copy)</t>
  </si>
  <si>
    <t>c</t>
  </si>
  <si>
    <t>rd</t>
  </si>
  <si>
    <t>rf</t>
  </si>
  <si>
    <t>s</t>
  </si>
  <si>
    <t>Cost Carry Data</t>
  </si>
  <si>
    <t>;current choice (enter formula)</t>
  </si>
  <si>
    <t>=+H11*vu</t>
  </si>
  <si>
    <t>=MAX(+(I23*vq+I24*(1-vq))/rstar, H11-Vx)</t>
  </si>
  <si>
    <t>=MAX(0,I12-Vx)</t>
  </si>
  <si>
    <t>Amer Call</t>
  </si>
  <si>
    <t>Amer Put</t>
  </si>
  <si>
    <t>Binomial Model American Style</t>
  </si>
  <si>
    <t xml:space="preserve">           (C-P)     =    S - PV(X)</t>
  </si>
  <si>
    <t>Header</t>
  </si>
  <si>
    <t>Currency Option Valuation</t>
  </si>
  <si>
    <t>Stock</t>
  </si>
  <si>
    <t>r-d</t>
  </si>
  <si>
    <t>Futures</t>
  </si>
  <si>
    <t>CC= b =</t>
  </si>
  <si>
    <t>Asset</t>
  </si>
  <si>
    <t>=(LN(vs/vx)+(vb+0.5*sigma^2)*vt)/(sigma*SQRT(vt))</t>
  </si>
  <si>
    <t>=vd1-sigma*SQRT(vt)</t>
  </si>
  <si>
    <t>=(vs*EXP((vb-vr)*vt)*vnormd1)-vx*EXP(-vr*vt)*vnormd2</t>
  </si>
  <si>
    <t>=vx*EXP(-vr*vt)*vnormd2minus-vs*EXP((vb-vr)*vt)*vnormd1minus</t>
  </si>
  <si>
    <t>Call</t>
  </si>
  <si>
    <t>Put</t>
  </si>
  <si>
    <t>='Binomial European'!C12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</si>
</sst>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"/>
    <numFmt numFmtId="166" formatCode="0.0000_)"/>
    <numFmt numFmtId="167" formatCode="0.00000_)"/>
    <numFmt numFmtId="168" formatCode="0.00000"/>
    <numFmt numFmtId="169" formatCode="0.000"/>
  </numFmts>
  <fonts count="5" x14ac:knownFonts="1">
    <font>
      <sz val="10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b/>
      <u/>
      <sz val="10"/>
      <name val="MS Sans Serif"/>
      <family val="2"/>
    </font>
    <font>
      <b/>
      <sz val="12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double">
        <color indexed="8"/>
      </right>
      <top/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6" xfId="0" applyFont="1" applyBorder="1"/>
    <xf numFmtId="0" fontId="2" fillId="0" borderId="7" xfId="0" applyFont="1" applyBorder="1"/>
    <xf numFmtId="0" fontId="3" fillId="0" borderId="0" xfId="0" applyFont="1"/>
    <xf numFmtId="169" fontId="2" fillId="0" borderId="0" xfId="0" applyNumberFormat="1" applyFont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169" fontId="2" fillId="0" borderId="0" xfId="0" applyNumberFormat="1" applyFont="1" applyBorder="1"/>
    <xf numFmtId="169" fontId="2" fillId="0" borderId="10" xfId="0" applyNumberFormat="1" applyFont="1" applyBorder="1"/>
    <xf numFmtId="0" fontId="2" fillId="0" borderId="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2" borderId="17" xfId="0" applyFont="1" applyFill="1" applyBorder="1"/>
    <xf numFmtId="167" fontId="2" fillId="2" borderId="17" xfId="0" applyNumberFormat="1" applyFont="1" applyFill="1" applyBorder="1" applyProtection="1"/>
    <xf numFmtId="168" fontId="2" fillId="2" borderId="17" xfId="0" applyNumberFormat="1" applyFont="1" applyFill="1" applyBorder="1"/>
    <xf numFmtId="168" fontId="2" fillId="2" borderId="18" xfId="0" applyNumberFormat="1" applyFont="1" applyFill="1" applyBorder="1"/>
    <xf numFmtId="0" fontId="2" fillId="3" borderId="17" xfId="0" applyFont="1" applyFill="1" applyBorder="1"/>
    <xf numFmtId="0" fontId="1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3" borderId="24" xfId="0" applyFont="1" applyFill="1" applyBorder="1"/>
    <xf numFmtId="0" fontId="2" fillId="3" borderId="25" xfId="0" applyFont="1" applyFill="1" applyBorder="1"/>
    <xf numFmtId="0" fontId="2" fillId="2" borderId="24" xfId="0" applyFont="1" applyFill="1" applyBorder="1"/>
    <xf numFmtId="0" fontId="2" fillId="3" borderId="18" xfId="0" applyFont="1" applyFill="1" applyBorder="1"/>
    <xf numFmtId="0" fontId="2" fillId="0" borderId="0" xfId="0" quotePrefix="1" applyFont="1"/>
    <xf numFmtId="169" fontId="2" fillId="0" borderId="0" xfId="0" quotePrefix="1" applyNumberFormat="1" applyFont="1"/>
    <xf numFmtId="0" fontId="4" fillId="0" borderId="0" xfId="0" applyFont="1"/>
    <xf numFmtId="164" fontId="2" fillId="2" borderId="0" xfId="0" applyNumberFormat="1" applyFont="1" applyFill="1"/>
    <xf numFmtId="164" fontId="2" fillId="2" borderId="17" xfId="0" applyNumberFormat="1" applyFont="1" applyFill="1" applyBorder="1"/>
    <xf numFmtId="164" fontId="2" fillId="2" borderId="26" xfId="0" applyNumberFormat="1" applyFont="1" applyFill="1" applyBorder="1"/>
    <xf numFmtId="164" fontId="2" fillId="2" borderId="18" xfId="0" applyNumberFormat="1" applyFont="1" applyFill="1" applyBorder="1"/>
    <xf numFmtId="165" fontId="2" fillId="2" borderId="17" xfId="0" applyNumberFormat="1" applyFont="1" applyFill="1" applyBorder="1"/>
    <xf numFmtId="166" fontId="2" fillId="2" borderId="17" xfId="0" applyNumberFormat="1" applyFont="1" applyFill="1" applyBorder="1" applyProtection="1"/>
    <xf numFmtId="0" fontId="2" fillId="2" borderId="18" xfId="0" applyFont="1" applyFill="1" applyBorder="1"/>
    <xf numFmtId="165" fontId="2" fillId="0" borderId="0" xfId="0" applyNumberFormat="1" applyFont="1"/>
    <xf numFmtId="16" fontId="2" fillId="0" borderId="0" xfId="0" applyNumberFormat="1" applyFont="1"/>
    <xf numFmtId="169" fontId="2" fillId="3" borderId="17" xfId="0" applyNumberFormat="1" applyFont="1" applyFill="1" applyBorder="1"/>
    <xf numFmtId="0" fontId="1" fillId="0" borderId="8" xfId="0" applyFont="1" applyBorder="1"/>
    <xf numFmtId="0" fontId="2" fillId="0" borderId="27" xfId="0" applyFont="1" applyBorder="1"/>
    <xf numFmtId="0" fontId="2" fillId="0" borderId="27" xfId="0" quotePrefix="1" applyFont="1" applyBorder="1"/>
    <xf numFmtId="0" fontId="2" fillId="0" borderId="28" xfId="0" applyFont="1" applyBorder="1"/>
    <xf numFmtId="0" fontId="2" fillId="0" borderId="8" xfId="0" quotePrefix="1" applyFont="1" applyBorder="1"/>
    <xf numFmtId="0" fontId="2" fillId="0" borderId="25" xfId="0" applyFont="1" applyBorder="1"/>
    <xf numFmtId="168" fontId="2" fillId="0" borderId="29" xfId="0" applyNumberFormat="1" applyFont="1" applyBorder="1"/>
    <xf numFmtId="165" fontId="2" fillId="2" borderId="17" xfId="0" quotePrefix="1" applyNumberFormat="1" applyFont="1" applyFill="1" applyBorder="1"/>
    <xf numFmtId="0" fontId="2" fillId="0" borderId="24" xfId="0" applyFont="1" applyBorder="1"/>
    <xf numFmtId="0" fontId="2" fillId="0" borderId="30" xfId="0" applyFont="1" applyBorder="1"/>
    <xf numFmtId="0" fontId="2" fillId="0" borderId="30" xfId="0" quotePrefix="1" applyFont="1" applyBorder="1"/>
    <xf numFmtId="0" fontId="2" fillId="0" borderId="0" xfId="0" quotePrefix="1" applyFont="1" applyBorder="1"/>
    <xf numFmtId="0" fontId="2" fillId="0" borderId="31" xfId="0" quotePrefix="1" applyFont="1" applyBorder="1"/>
    <xf numFmtId="168" fontId="2" fillId="0" borderId="30" xfId="0" applyNumberFormat="1" applyFont="1" applyBorder="1"/>
    <xf numFmtId="169" fontId="2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showGridLines="0" tabSelected="1" workbookViewId="0">
      <selection activeCell="F18" sqref="F18"/>
    </sheetView>
  </sheetViews>
  <sheetFormatPr defaultColWidth="9.109375" defaultRowHeight="12.1" x14ac:dyDescent="0.25"/>
  <cols>
    <col min="1" max="1" width="7.33203125" style="2" customWidth="1"/>
    <col min="2" max="2" width="9" style="2" customWidth="1"/>
    <col min="3" max="3" width="5" style="2" customWidth="1"/>
    <col min="4" max="4" width="9.44140625" style="2" customWidth="1"/>
    <col min="5" max="5" width="10" style="2" customWidth="1"/>
    <col min="6" max="6" width="10.109375" style="2" customWidth="1"/>
    <col min="7" max="7" width="4.44140625" style="2" customWidth="1"/>
    <col min="8" max="8" width="13" style="2" customWidth="1"/>
    <col min="9" max="16384" width="9.109375" style="2"/>
  </cols>
  <sheetData>
    <row r="1" spans="1:11" ht="13.25" thickTop="1" thickBot="1" x14ac:dyDescent="0.3">
      <c r="A1" s="7" t="s">
        <v>0</v>
      </c>
      <c r="B1" s="8"/>
      <c r="D1" s="7" t="s">
        <v>1</v>
      </c>
      <c r="E1" s="9"/>
      <c r="F1" s="8"/>
      <c r="H1" s="7" t="s">
        <v>2</v>
      </c>
      <c r="I1" s="8"/>
    </row>
    <row r="2" spans="1:11" ht="12.7" thickTop="1" x14ac:dyDescent="0.25">
      <c r="A2" s="5" t="s">
        <v>3</v>
      </c>
      <c r="B2" s="31">
        <v>106</v>
      </c>
      <c r="D2" s="5" t="s">
        <v>4</v>
      </c>
      <c r="E2" s="44">
        <f>(LN(vs/vx)+(vb+0.5*sigma^2)*vt)/(sigma*SQRT(vt))</f>
        <v>0.34545353761286879</v>
      </c>
      <c r="F2" s="45"/>
      <c r="H2" s="10" t="s">
        <v>5</v>
      </c>
      <c r="I2" s="61">
        <f>(B2*EXP((B5-B4)*B6)*E6)-B3*EXP(-B4*B6)*E7</f>
        <v>18.605989565586619</v>
      </c>
    </row>
    <row r="3" spans="1:11" x14ac:dyDescent="0.25">
      <c r="A3" s="5" t="s">
        <v>6</v>
      </c>
      <c r="B3" s="31">
        <v>100</v>
      </c>
      <c r="D3" s="5" t="s">
        <v>7</v>
      </c>
      <c r="E3" s="44">
        <f>_vd1-sigma*SQRT(vt)</f>
        <v>-5.2918148127972964E-2</v>
      </c>
      <c r="F3" s="45"/>
      <c r="H3" s="10" t="s">
        <v>8</v>
      </c>
      <c r="I3" s="61">
        <f>B3*EXP(-B4*B6)*F7-B2*EXP((B5-B4)*B6)*F6</f>
        <v>12.861394241040806</v>
      </c>
    </row>
    <row r="4" spans="1:11" x14ac:dyDescent="0.25">
      <c r="A4" s="5" t="s">
        <v>9</v>
      </c>
      <c r="B4" s="27">
        <f>+vr</f>
        <v>5.8000000000000003E-2</v>
      </c>
      <c r="D4" s="5"/>
      <c r="E4" s="44"/>
      <c r="F4" s="45"/>
      <c r="H4" s="10"/>
      <c r="I4" s="48"/>
    </row>
    <row r="5" spans="1:11" x14ac:dyDescent="0.25">
      <c r="A5" s="5" t="s">
        <v>10</v>
      </c>
      <c r="B5" s="27">
        <f>+vb</f>
        <v>0</v>
      </c>
      <c r="D5" s="5"/>
      <c r="E5" s="44"/>
      <c r="F5" s="45"/>
      <c r="H5" s="10" t="s">
        <v>11</v>
      </c>
      <c r="I5" s="49">
        <f>EXP((B5-B4)*B6)*E6</f>
        <v>0.60808770686852487</v>
      </c>
    </row>
    <row r="6" spans="1:11" x14ac:dyDescent="0.25">
      <c r="A6" s="5" t="s">
        <v>12</v>
      </c>
      <c r="B6" s="53">
        <f>9/12</f>
        <v>0.75</v>
      </c>
      <c r="D6" s="5" t="s">
        <v>13</v>
      </c>
      <c r="E6" s="44">
        <f>NORMSDIST(E2)</f>
        <v>0.6351232828571125</v>
      </c>
      <c r="F6" s="45">
        <f>1-E6</f>
        <v>0.3648767171428875</v>
      </c>
      <c r="H6" s="10" t="s">
        <v>14</v>
      </c>
      <c r="I6" s="49">
        <f>-EXP((B5-B4)*B6)*F6</f>
        <v>-0.34934484722244208</v>
      </c>
    </row>
    <row r="7" spans="1:11" ht="12.7" thickBot="1" x14ac:dyDescent="0.3">
      <c r="A7" s="6" t="s">
        <v>15</v>
      </c>
      <c r="B7" s="40">
        <v>0.46</v>
      </c>
      <c r="D7" s="6" t="s">
        <v>16</v>
      </c>
      <c r="E7" s="46">
        <f>NORMSDIST(E3)</f>
        <v>0.47889856227011712</v>
      </c>
      <c r="F7" s="47">
        <f>1-E7</f>
        <v>0.52110143772988282</v>
      </c>
      <c r="H7" s="11"/>
      <c r="I7" s="50"/>
    </row>
    <row r="8" spans="1:11" ht="12.7" thickTop="1" x14ac:dyDescent="0.25">
      <c r="K8" s="52"/>
    </row>
    <row r="9" spans="1:11" x14ac:dyDescent="0.25">
      <c r="K9" s="2">
        <f>2/12</f>
        <v>0.16666666666666666</v>
      </c>
    </row>
    <row r="10" spans="1:11" x14ac:dyDescent="0.25">
      <c r="A10" s="32" t="s">
        <v>53</v>
      </c>
      <c r="B10" s="33"/>
      <c r="D10" s="1" t="s">
        <v>17</v>
      </c>
      <c r="H10" s="2" t="s">
        <v>62</v>
      </c>
    </row>
    <row r="11" spans="1:11" x14ac:dyDescent="0.25">
      <c r="A11" s="34" t="s">
        <v>9</v>
      </c>
      <c r="B11" s="37">
        <v>5.8000000000000003E-2</v>
      </c>
      <c r="H11" s="2" t="s">
        <v>63</v>
      </c>
    </row>
    <row r="12" spans="1:11" x14ac:dyDescent="0.25">
      <c r="A12" s="35" t="s">
        <v>49</v>
      </c>
      <c r="B12" s="37">
        <v>0</v>
      </c>
      <c r="D12" s="2" t="s">
        <v>61</v>
      </c>
    </row>
    <row r="13" spans="1:11" x14ac:dyDescent="0.25">
      <c r="A13" s="35" t="s">
        <v>50</v>
      </c>
      <c r="B13" s="39">
        <f>+vr</f>
        <v>5.8000000000000003E-2</v>
      </c>
      <c r="D13" s="51">
        <f>+vcall-vput</f>
        <v>5.7445953245458128</v>
      </c>
      <c r="E13" s="51">
        <f>+vs-vx/bstar</f>
        <v>6</v>
      </c>
    </row>
    <row r="14" spans="1:11" x14ac:dyDescent="0.25">
      <c r="A14" s="35" t="s">
        <v>51</v>
      </c>
      <c r="B14" s="37">
        <v>3.9E-2</v>
      </c>
      <c r="H14" s="41" t="s">
        <v>75</v>
      </c>
    </row>
    <row r="15" spans="1:11" x14ac:dyDescent="0.25">
      <c r="A15" s="36" t="s">
        <v>52</v>
      </c>
      <c r="B15" s="37">
        <v>0</v>
      </c>
    </row>
    <row r="16" spans="1:11" x14ac:dyDescent="0.25">
      <c r="A16" s="36" t="s">
        <v>10</v>
      </c>
      <c r="B16" s="38">
        <v>0</v>
      </c>
      <c r="D16" s="41" t="s">
        <v>54</v>
      </c>
    </row>
    <row r="19" spans="1:13" x14ac:dyDescent="0.25">
      <c r="A19" s="54" t="s">
        <v>68</v>
      </c>
      <c r="B19" s="15"/>
      <c r="C19" s="54" t="s">
        <v>67</v>
      </c>
      <c r="F19" s="60">
        <f>(LN(vs/vx)+(vb+0.5*sigma^2)*vt)/(sigma*SQRT(vt))</f>
        <v>0.34545353761286879</v>
      </c>
      <c r="G19" s="55" t="s">
        <v>4</v>
      </c>
      <c r="H19" s="56" t="s">
        <v>69</v>
      </c>
      <c r="I19" s="55"/>
      <c r="J19" s="55"/>
      <c r="K19" s="55"/>
      <c r="L19" s="55"/>
      <c r="M19" s="57"/>
    </row>
    <row r="20" spans="1:13" x14ac:dyDescent="0.25">
      <c r="A20" s="2" t="s">
        <v>64</v>
      </c>
      <c r="C20" s="2" t="s">
        <v>65</v>
      </c>
      <c r="F20" s="67">
        <f>_vd1-sigma*SQRT(vt)</f>
        <v>-5.2918148127972964E-2</v>
      </c>
      <c r="G20" s="20" t="s">
        <v>7</v>
      </c>
      <c r="H20" s="65" t="s">
        <v>70</v>
      </c>
      <c r="I20" s="20"/>
      <c r="J20" s="20"/>
      <c r="K20" s="20"/>
      <c r="L20" s="20"/>
      <c r="M20" s="62"/>
    </row>
    <row r="21" spans="1:13" x14ac:dyDescent="0.25">
      <c r="A21" s="2" t="s">
        <v>18</v>
      </c>
      <c r="C21" s="2" t="s">
        <v>19</v>
      </c>
      <c r="F21" s="63"/>
      <c r="G21" s="20"/>
      <c r="H21" s="20"/>
      <c r="I21" s="20"/>
      <c r="J21" s="20"/>
      <c r="K21" s="20"/>
      <c r="L21" s="20"/>
      <c r="M21" s="62"/>
    </row>
    <row r="22" spans="1:13" x14ac:dyDescent="0.25">
      <c r="A22" s="2" t="s">
        <v>20</v>
      </c>
      <c r="C22" s="2" t="s">
        <v>21</v>
      </c>
      <c r="F22" s="64">
        <f>(vs*EXP((vb-vr)*vt)*vnormd1)-vx*EXP(-vr*vt)*vnormd2</f>
        <v>18.605989565586619</v>
      </c>
      <c r="G22" s="20" t="s">
        <v>73</v>
      </c>
      <c r="H22" s="65" t="s">
        <v>71</v>
      </c>
      <c r="I22" s="20"/>
      <c r="J22" s="20"/>
      <c r="K22" s="20"/>
      <c r="L22" s="20"/>
      <c r="M22" s="62"/>
    </row>
    <row r="23" spans="1:13" x14ac:dyDescent="0.25">
      <c r="A23" s="2" t="s">
        <v>22</v>
      </c>
      <c r="C23" s="2" t="s">
        <v>23</v>
      </c>
      <c r="F23" s="66">
        <f>vx*EXP(-vr*vt)*vnormd2minus-vs*EXP((vb-vr)*vt)*vnormd1minus</f>
        <v>12.861394241040806</v>
      </c>
      <c r="G23" s="15" t="s">
        <v>74</v>
      </c>
      <c r="H23" s="58" t="s">
        <v>72</v>
      </c>
      <c r="I23" s="15"/>
      <c r="J23" s="15"/>
      <c r="K23" s="15"/>
      <c r="L23" s="15"/>
      <c r="M23" s="59"/>
    </row>
    <row r="24" spans="1:13" x14ac:dyDescent="0.25">
      <c r="A24" s="2" t="s">
        <v>66</v>
      </c>
      <c r="C24" s="2">
        <v>0</v>
      </c>
    </row>
  </sheetData>
  <pageMargins left="0.75" right="0.5" top="1" bottom="1" header="0.5" footer="0.5"/>
  <pageSetup orientation="landscape" horizontalDpi="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showGridLines="0" workbookViewId="0">
      <pane ySplit="8" topLeftCell="A9" activePane="bottomLeft" state="frozen"/>
      <selection pane="bottomLeft" activeCell="M21" sqref="M21"/>
    </sheetView>
  </sheetViews>
  <sheetFormatPr defaultColWidth="9.109375" defaultRowHeight="12.1" x14ac:dyDescent="0.25"/>
  <cols>
    <col min="1" max="1" width="7.44140625" style="2" customWidth="1"/>
    <col min="2" max="2" width="9.88671875" style="2" customWidth="1"/>
    <col min="3" max="3" width="8.88671875" style="2" customWidth="1"/>
    <col min="4" max="16384" width="9.109375" style="2"/>
  </cols>
  <sheetData>
    <row r="1" spans="1:11" ht="13.25" thickTop="1" thickBot="1" x14ac:dyDescent="0.3">
      <c r="A1" s="3" t="s">
        <v>24</v>
      </c>
      <c r="B1" s="4"/>
      <c r="E1" s="24" t="s">
        <v>46</v>
      </c>
      <c r="F1" s="25"/>
      <c r="G1" s="25"/>
      <c r="H1" s="26"/>
    </row>
    <row r="2" spans="1:11" ht="12.7" thickTop="1" x14ac:dyDescent="0.25">
      <c r="A2" s="5" t="s">
        <v>25</v>
      </c>
      <c r="B2" s="31">
        <v>8</v>
      </c>
      <c r="E2" s="16"/>
      <c r="F2" s="20"/>
      <c r="G2" s="20"/>
      <c r="H2" s="17"/>
    </row>
    <row r="3" spans="1:11" x14ac:dyDescent="0.25">
      <c r="A3" s="5" t="s">
        <v>26</v>
      </c>
      <c r="B3" s="28">
        <f>+vt/vn</f>
        <v>9.375E-2</v>
      </c>
      <c r="E3" s="16"/>
      <c r="F3" s="15" t="s">
        <v>45</v>
      </c>
      <c r="G3" s="20"/>
      <c r="H3" s="17"/>
    </row>
    <row r="4" spans="1:11" x14ac:dyDescent="0.25">
      <c r="A4" s="5" t="s">
        <v>27</v>
      </c>
      <c r="B4" s="29">
        <f>EXP(vsigma*SQRT(vt/vn))</f>
        <v>1.1512469510596168</v>
      </c>
      <c r="E4" s="16" t="s">
        <v>43</v>
      </c>
      <c r="F4" s="18">
        <f>+A23</f>
        <v>21.681707865597623</v>
      </c>
      <c r="G4" s="18"/>
      <c r="H4" s="19"/>
    </row>
    <row r="5" spans="1:11" x14ac:dyDescent="0.25">
      <c r="A5" s="5" t="s">
        <v>28</v>
      </c>
      <c r="B5" s="29">
        <f>1/B4</f>
        <v>0.86862336450019872</v>
      </c>
      <c r="E5" s="16" t="s">
        <v>44</v>
      </c>
      <c r="F5" s="18">
        <f>+A38</f>
        <v>11.424963274694319</v>
      </c>
      <c r="G5" s="18"/>
      <c r="H5" s="19"/>
    </row>
    <row r="6" spans="1:11" x14ac:dyDescent="0.25">
      <c r="A6" s="5" t="s">
        <v>29</v>
      </c>
      <c r="B6" s="29">
        <f>EXP(vr*period)</f>
        <v>1.0054523100341441</v>
      </c>
      <c r="E6" s="16"/>
      <c r="F6" s="18"/>
      <c r="G6" s="20"/>
      <c r="H6" s="17"/>
    </row>
    <row r="7" spans="1:11" x14ac:dyDescent="0.25">
      <c r="A7" s="5" t="s">
        <v>30</v>
      </c>
      <c r="B7" s="29">
        <f>EXP(vb*period)</f>
        <v>1</v>
      </c>
      <c r="E7" s="16" t="s">
        <v>58</v>
      </c>
      <c r="F7" s="68">
        <f>+vcallamerican</f>
        <v>21.681707865597623</v>
      </c>
      <c r="G7" s="20"/>
      <c r="H7" s="17"/>
    </row>
    <row r="8" spans="1:11" ht="12.7" thickBot="1" x14ac:dyDescent="0.3">
      <c r="A8" s="6" t="s">
        <v>31</v>
      </c>
      <c r="B8" s="30">
        <f>+(rstar-vd)/(vu-vd)</f>
        <v>0.4841384514281466</v>
      </c>
      <c r="E8" s="21" t="s">
        <v>59</v>
      </c>
      <c r="F8" s="68">
        <f>+vputamerican</f>
        <v>11.722940289761409</v>
      </c>
      <c r="G8" s="22"/>
      <c r="H8" s="23"/>
    </row>
    <row r="9" spans="1:11" ht="12.7" thickTop="1" x14ac:dyDescent="0.25"/>
    <row r="10" spans="1:11" x14ac:dyDescent="0.25">
      <c r="A10" s="12" t="s">
        <v>32</v>
      </c>
      <c r="C10" s="14" t="s">
        <v>33</v>
      </c>
      <c r="D10" s="14" t="s">
        <v>34</v>
      </c>
      <c r="E10" s="14" t="s">
        <v>35</v>
      </c>
      <c r="F10" s="14" t="s">
        <v>36</v>
      </c>
      <c r="G10" s="14" t="s">
        <v>37</v>
      </c>
      <c r="H10" s="14" t="s">
        <v>38</v>
      </c>
      <c r="I10" s="14" t="s">
        <v>39</v>
      </c>
      <c r="J10" s="14"/>
      <c r="K10" s="14"/>
    </row>
    <row r="11" spans="1:11" x14ac:dyDescent="0.25">
      <c r="A11" s="13">
        <f>+vs</f>
        <v>106</v>
      </c>
      <c r="B11" s="13">
        <f>+A11*vu</f>
        <v>122.03217681231938</v>
      </c>
      <c r="C11" s="13">
        <f>+B11*vu</f>
        <v>140.48917148635076</v>
      </c>
      <c r="D11" s="13">
        <f t="shared" ref="D11:I11" si="0">+C11*vu</f>
        <v>161.73773033055298</v>
      </c>
      <c r="E11" s="13">
        <f t="shared" si="0"/>
        <v>186.20006891435162</v>
      </c>
      <c r="F11" s="13">
        <f t="shared" si="0"/>
        <v>214.36226162473784</v>
      </c>
      <c r="G11" s="13">
        <f t="shared" si="0"/>
        <v>246.78390011772333</v>
      </c>
      <c r="H11" s="13">
        <f t="shared" si="0"/>
        <v>284.10921258113001</v>
      </c>
      <c r="I11" s="13">
        <f t="shared" si="0"/>
        <v>327.07986475197447</v>
      </c>
      <c r="J11" s="13"/>
    </row>
    <row r="12" spans="1:11" x14ac:dyDescent="0.25">
      <c r="A12" s="13"/>
      <c r="B12" s="13">
        <f>+A11*vd</f>
        <v>92.074076637021065</v>
      </c>
      <c r="C12" s="13">
        <f>+B11*vd</f>
        <v>106</v>
      </c>
      <c r="D12" s="13">
        <f>+C11*vd</f>
        <v>122.03217681231938</v>
      </c>
      <c r="E12" s="13">
        <f>+D11*vd</f>
        <v>140.48917148635076</v>
      </c>
      <c r="F12" s="13">
        <f t="shared" ref="F12:I17" si="1">+E11*vd</f>
        <v>161.73773033055298</v>
      </c>
      <c r="G12" s="13">
        <f t="shared" si="1"/>
        <v>186.20006891435162</v>
      </c>
      <c r="H12" s="13">
        <f t="shared" si="1"/>
        <v>214.36226162473784</v>
      </c>
      <c r="I12" s="13">
        <f t="shared" si="1"/>
        <v>246.78390011772333</v>
      </c>
      <c r="J12" s="13"/>
    </row>
    <row r="13" spans="1:11" x14ac:dyDescent="0.25">
      <c r="A13" s="13"/>
      <c r="B13" s="13"/>
      <c r="C13" s="13">
        <f>+B12*vd</f>
        <v>79.977694231698379</v>
      </c>
      <c r="D13" s="13">
        <f>+C12*vd</f>
        <v>92.074076637021065</v>
      </c>
      <c r="E13" s="13">
        <f>+D12*vd</f>
        <v>106</v>
      </c>
      <c r="F13" s="13">
        <f t="shared" si="1"/>
        <v>122.03217681231938</v>
      </c>
      <c r="G13" s="13">
        <f t="shared" si="1"/>
        <v>140.48917148635076</v>
      </c>
      <c r="H13" s="13">
        <f t="shared" si="1"/>
        <v>161.73773033055298</v>
      </c>
      <c r="I13" s="13">
        <f t="shared" si="1"/>
        <v>186.20006891435162</v>
      </c>
      <c r="J13" s="13"/>
    </row>
    <row r="14" spans="1:11" x14ac:dyDescent="0.25">
      <c r="A14" s="13"/>
      <c r="B14" s="13"/>
      <c r="C14" s="13"/>
      <c r="D14" s="13">
        <f>+C13*vd</f>
        <v>69.470493848505981</v>
      </c>
      <c r="E14" s="13">
        <f>+D13*vd</f>
        <v>79.977694231698379</v>
      </c>
      <c r="F14" s="13">
        <f t="shared" si="1"/>
        <v>92.074076637021065</v>
      </c>
      <c r="G14" s="13">
        <f t="shared" si="1"/>
        <v>106</v>
      </c>
      <c r="H14" s="13">
        <f t="shared" si="1"/>
        <v>122.03217681231938</v>
      </c>
      <c r="I14" s="13">
        <f t="shared" si="1"/>
        <v>140.48917148635076</v>
      </c>
      <c r="J14" s="13"/>
    </row>
    <row r="15" spans="1:11" x14ac:dyDescent="0.25">
      <c r="A15" s="13"/>
      <c r="B15" s="13"/>
      <c r="C15" s="13"/>
      <c r="D15" s="13"/>
      <c r="E15" s="13">
        <f>+D14*vd</f>
        <v>60.343694100179626</v>
      </c>
      <c r="F15" s="13">
        <f t="shared" si="1"/>
        <v>69.470493848505981</v>
      </c>
      <c r="G15" s="13">
        <f t="shared" si="1"/>
        <v>79.977694231698379</v>
      </c>
      <c r="H15" s="13">
        <f t="shared" si="1"/>
        <v>92.074076637021065</v>
      </c>
      <c r="I15" s="13">
        <f t="shared" si="1"/>
        <v>106</v>
      </c>
      <c r="J15" s="13"/>
    </row>
    <row r="16" spans="1:11" x14ac:dyDescent="0.25">
      <c r="A16" s="13"/>
      <c r="B16" s="13"/>
      <c r="C16" s="13"/>
      <c r="D16" s="13"/>
      <c r="E16" s="13"/>
      <c r="F16" s="13">
        <f>+E15*vd</f>
        <v>52.415942595668817</v>
      </c>
      <c r="G16" s="13">
        <f t="shared" si="1"/>
        <v>60.343694100179626</v>
      </c>
      <c r="H16" s="13">
        <f t="shared" si="1"/>
        <v>69.470493848505981</v>
      </c>
      <c r="I16" s="13">
        <f t="shared" si="1"/>
        <v>79.977694231698379</v>
      </c>
      <c r="J16" s="13"/>
    </row>
    <row r="17" spans="1:11" x14ac:dyDescent="0.25">
      <c r="A17" s="13"/>
      <c r="B17" s="13"/>
      <c r="C17" s="13"/>
      <c r="D17" s="13"/>
      <c r="E17" s="13"/>
      <c r="F17" s="13"/>
      <c r="G17" s="13">
        <f>+F16*vd</f>
        <v>45.52971241089913</v>
      </c>
      <c r="H17" s="13">
        <f t="shared" si="1"/>
        <v>52.415942595668817</v>
      </c>
      <c r="I17" s="13">
        <f t="shared" si="1"/>
        <v>60.343694100179626</v>
      </c>
      <c r="J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>
        <f>+G17*vd</f>
        <v>39.548171979081658</v>
      </c>
      <c r="I18" s="13">
        <f>+H17*vd</f>
        <v>45.52971241089913</v>
      </c>
      <c r="J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>
        <f>+H18*vd</f>
        <v>34.352466204302395</v>
      </c>
      <c r="J19" s="13"/>
    </row>
    <row r="21" spans="1:11" x14ac:dyDescent="0.25">
      <c r="A21" s="1" t="s">
        <v>41</v>
      </c>
    </row>
    <row r="22" spans="1:11" x14ac:dyDescent="0.25">
      <c r="A22" s="12" t="s">
        <v>40</v>
      </c>
      <c r="C22" s="14" t="s">
        <v>33</v>
      </c>
      <c r="D22" s="14" t="s">
        <v>34</v>
      </c>
      <c r="E22" s="14" t="s">
        <v>35</v>
      </c>
      <c r="F22" s="14" t="s">
        <v>36</v>
      </c>
      <c r="G22" s="14" t="s">
        <v>37</v>
      </c>
      <c r="H22" s="14" t="s">
        <v>38</v>
      </c>
      <c r="I22" s="14" t="s">
        <v>39</v>
      </c>
      <c r="J22" s="14"/>
      <c r="K22" s="14"/>
    </row>
    <row r="23" spans="1:11" x14ac:dyDescent="0.25">
      <c r="A23" s="13">
        <f t="shared" ref="A23:C24" si="2">+(B23*vq+B24*(1-vq))/rstar</f>
        <v>21.681707865597623</v>
      </c>
      <c r="B23" s="13">
        <f t="shared" si="2"/>
        <v>32.180573275482097</v>
      </c>
      <c r="C23" s="13">
        <f t="shared" si="2"/>
        <v>46.478880631825653</v>
      </c>
      <c r="D23" s="13">
        <f t="shared" ref="D23:E27" si="3">+(E23*vq+E24*(1-vq))/rstar</f>
        <v>65.131678775909961</v>
      </c>
      <c r="E23" s="13">
        <f t="shared" si="3"/>
        <v>88.351586346098841</v>
      </c>
      <c r="F23" s="13">
        <f>+(G23*vq+G24*(1-vq))/rstar</f>
        <v>115.98027879315239</v>
      </c>
      <c r="G23" s="13">
        <f>+(H23*vq+H24*(1-vq))/rstar</f>
        <v>147.86550821396625</v>
      </c>
      <c r="H23" s="13">
        <f>+(I23*vq+I24*(1-vq))/rstar</f>
        <v>184.65148693663465</v>
      </c>
      <c r="I23" s="13">
        <f>MAX(0,I11-vx)</f>
        <v>227.07986475197447</v>
      </c>
    </row>
    <row r="24" spans="1:11" x14ac:dyDescent="0.25">
      <c r="A24" s="13"/>
      <c r="B24" s="13">
        <f t="shared" si="2"/>
        <v>12.057635162978846</v>
      </c>
      <c r="C24" s="13">
        <f>+(D24*vq+D25*(1-vq))/rstar</f>
        <v>19.101672671922838</v>
      </c>
      <c r="D24" s="13">
        <f t="shared" si="3"/>
        <v>29.464393769346234</v>
      </c>
      <c r="E24" s="13">
        <f t="shared" si="3"/>
        <v>44.028086120585279</v>
      </c>
      <c r="F24" s="13">
        <f>+(G24*vq+G25*(1-vq))/rstar</f>
        <v>63.355747498967517</v>
      </c>
      <c r="G24" s="13">
        <f t="shared" ref="G24:G29" si="4">+(H24*vq+H25*(1-vq))/rstar</f>
        <v>87.281677010594507</v>
      </c>
      <c r="H24" s="13">
        <f t="shared" ref="H24:H30" si="5">+(I24*vq+I25*(1-vq))/rstar</f>
        <v>114.90453598024247</v>
      </c>
      <c r="I24" s="13">
        <f t="shared" ref="I24:I31" si="6">MAX(0,I12-vx)</f>
        <v>146.78390011772333</v>
      </c>
    </row>
    <row r="25" spans="1:11" x14ac:dyDescent="0.25">
      <c r="A25" s="13"/>
      <c r="B25" s="13"/>
      <c r="C25" s="13">
        <f>+(D25*vq+D26*(1-vq))/rstar</f>
        <v>5.5742144555156914</v>
      </c>
      <c r="D25" s="13">
        <f t="shared" si="3"/>
        <v>9.5781027979685991</v>
      </c>
      <c r="E25" s="13">
        <f t="shared" si="3"/>
        <v>16.107719926758961</v>
      </c>
      <c r="F25" s="13">
        <f>+(G25*vq+G26*(1-vq))/rstar</f>
        <v>26.354333736910139</v>
      </c>
      <c r="G25" s="13">
        <f t="shared" si="4"/>
        <v>41.570779582593651</v>
      </c>
      <c r="H25" s="13">
        <f t="shared" si="5"/>
        <v>62.280004686057602</v>
      </c>
      <c r="I25" s="13">
        <f t="shared" si="6"/>
        <v>86.200068914351618</v>
      </c>
    </row>
    <row r="26" spans="1:11" x14ac:dyDescent="0.25">
      <c r="A26" s="13"/>
      <c r="B26" s="13"/>
      <c r="C26" s="13"/>
      <c r="D26" s="13">
        <f t="shared" si="3"/>
        <v>1.8754624130724435</v>
      </c>
      <c r="E26" s="13">
        <f t="shared" si="3"/>
        <v>3.5512610072496509</v>
      </c>
      <c r="F26" s="13">
        <f>+(G26*vq+G27*(1-vq))/rstar</f>
        <v>6.6614732101048029</v>
      </c>
      <c r="G26" s="13">
        <f t="shared" si="4"/>
        <v>12.352176472640943</v>
      </c>
      <c r="H26" s="13">
        <f t="shared" si="5"/>
        <v>22.574451167824019</v>
      </c>
      <c r="I26" s="13">
        <f t="shared" si="6"/>
        <v>40.489171486350756</v>
      </c>
    </row>
    <row r="27" spans="1:11" x14ac:dyDescent="0.25">
      <c r="A27" s="13"/>
      <c r="B27" s="13"/>
      <c r="C27" s="13"/>
      <c r="D27" s="13"/>
      <c r="E27" s="13">
        <f t="shared" si="3"/>
        <v>0.32254005246083384</v>
      </c>
      <c r="F27" s="13">
        <f>+(G27*vq+G28*(1-vq))/rstar</f>
        <v>0.6698468999283983</v>
      </c>
      <c r="G27" s="13">
        <f t="shared" si="4"/>
        <v>1.3911291510010861</v>
      </c>
      <c r="H27" s="13">
        <f t="shared" si="5"/>
        <v>2.8890785565654871</v>
      </c>
      <c r="I27" s="13">
        <f t="shared" si="6"/>
        <v>6</v>
      </c>
    </row>
    <row r="28" spans="1:11" x14ac:dyDescent="0.25">
      <c r="A28" s="13"/>
      <c r="B28" s="13"/>
      <c r="C28" s="13"/>
      <c r="D28" s="13"/>
      <c r="E28" s="13"/>
      <c r="F28" s="13">
        <f>+(G28*vq+G29*(1-vq))/rstar</f>
        <v>0</v>
      </c>
      <c r="G28" s="13">
        <f t="shared" si="4"/>
        <v>0</v>
      </c>
      <c r="H28" s="13">
        <f t="shared" si="5"/>
        <v>0</v>
      </c>
      <c r="I28" s="13">
        <f t="shared" si="6"/>
        <v>0</v>
      </c>
    </row>
    <row r="29" spans="1:11" x14ac:dyDescent="0.25">
      <c r="A29" s="13"/>
      <c r="B29" s="13"/>
      <c r="C29" s="13"/>
      <c r="D29" s="13"/>
      <c r="E29" s="13"/>
      <c r="F29" s="13"/>
      <c r="G29" s="13">
        <f t="shared" si="4"/>
        <v>0</v>
      </c>
      <c r="H29" s="13">
        <f t="shared" si="5"/>
        <v>0</v>
      </c>
      <c r="I29" s="13">
        <f t="shared" si="6"/>
        <v>0</v>
      </c>
    </row>
    <row r="30" spans="1:11" x14ac:dyDescent="0.25">
      <c r="A30" s="13"/>
      <c r="B30" s="13"/>
      <c r="C30" s="13"/>
      <c r="D30" s="13"/>
      <c r="E30" s="13"/>
      <c r="F30" s="13"/>
      <c r="G30" s="13"/>
      <c r="H30" s="13">
        <f t="shared" si="5"/>
        <v>0</v>
      </c>
      <c r="I30" s="13">
        <f t="shared" si="6"/>
        <v>0</v>
      </c>
    </row>
    <row r="31" spans="1:11" x14ac:dyDescent="0.25">
      <c r="I31" s="13">
        <f t="shared" si="6"/>
        <v>0</v>
      </c>
    </row>
    <row r="32" spans="1:11" x14ac:dyDescent="0.25">
      <c r="I32" s="13"/>
    </row>
    <row r="33" spans="1:9" x14ac:dyDescent="0.25">
      <c r="I33" s="13"/>
    </row>
    <row r="34" spans="1:9" x14ac:dyDescent="0.25">
      <c r="I34" s="13"/>
    </row>
    <row r="36" spans="1:9" x14ac:dyDescent="0.25">
      <c r="A36" s="1" t="s">
        <v>41</v>
      </c>
    </row>
    <row r="37" spans="1:9" x14ac:dyDescent="0.25">
      <c r="A37" s="12" t="s">
        <v>42</v>
      </c>
      <c r="C37" s="14" t="s">
        <v>33</v>
      </c>
      <c r="D37" s="14" t="s">
        <v>34</v>
      </c>
      <c r="E37" s="14" t="s">
        <v>35</v>
      </c>
      <c r="F37" s="14" t="s">
        <v>36</v>
      </c>
      <c r="G37" s="14" t="s">
        <v>37</v>
      </c>
      <c r="H37" s="14" t="s">
        <v>38</v>
      </c>
      <c r="I37" s="14" t="s">
        <v>39</v>
      </c>
    </row>
    <row r="38" spans="1:9" x14ac:dyDescent="0.25">
      <c r="A38" s="13">
        <f t="shared" ref="A38:C39" si="7">+(B38*vq+B39*(1-vq))/rstar</f>
        <v>11.424963274694319</v>
      </c>
      <c r="B38" s="13">
        <f t="shared" si="7"/>
        <v>6.4136737844280534</v>
      </c>
      <c r="C38" s="13">
        <f t="shared" si="7"/>
        <v>2.7798546042186447</v>
      </c>
      <c r="D38" s="13">
        <f t="shared" ref="D38:E41" si="8">+(E38*vq+E39*(1-vq))/rstar</f>
        <v>0.71182378539172619</v>
      </c>
      <c r="E38" s="13">
        <f t="shared" si="8"/>
        <v>0</v>
      </c>
      <c r="F38" s="13">
        <f t="shared" ref="F38:G44" si="9">+(G38*vq+G39*(1-vq))/rstar</f>
        <v>0</v>
      </c>
      <c r="G38" s="13">
        <f t="shared" si="9"/>
        <v>0</v>
      </c>
      <c r="H38" s="13">
        <f>+(I38*vq+I39*(1-vq))/rstar</f>
        <v>0</v>
      </c>
      <c r="I38" s="13">
        <f>MAX(0,-(I11-vx))</f>
        <v>0</v>
      </c>
    </row>
    <row r="39" spans="1:9" x14ac:dyDescent="0.25">
      <c r="A39" s="13"/>
      <c r="B39" s="13">
        <f t="shared" si="7"/>
        <v>16.248835847223123</v>
      </c>
      <c r="C39" s="13">
        <f>+(D39*vq+D40*(1-vq))/rstar</f>
        <v>9.891818130666584</v>
      </c>
      <c r="D39" s="13">
        <f t="shared" si="8"/>
        <v>4.7500922970615749</v>
      </c>
      <c r="E39" s="13">
        <f>+(F39*vq+F40*(1-vq))/rstar</f>
        <v>1.387397202487308</v>
      </c>
      <c r="F39" s="13">
        <f t="shared" si="9"/>
        <v>0</v>
      </c>
      <c r="G39" s="13">
        <f t="shared" si="9"/>
        <v>0</v>
      </c>
      <c r="H39" s="13">
        <f t="shared" ref="H39:H45" si="10">+(I39*vq+I40*(1-vq))/rstar</f>
        <v>0</v>
      </c>
      <c r="I39" s="13">
        <f t="shared" ref="I39:I46" si="11">MAX(0,-(I12-vx))</f>
        <v>0</v>
      </c>
    </row>
    <row r="40" spans="1:9" x14ac:dyDescent="0.25">
      <c r="A40" s="13"/>
      <c r="B40" s="13"/>
      <c r="C40" s="13">
        <f>+(D40*vq+D41*(1-vq))/rstar</f>
        <v>22.386665682561055</v>
      </c>
      <c r="D40" s="13">
        <f t="shared" si="8"/>
        <v>14.821901500982262</v>
      </c>
      <c r="E40" s="13">
        <f>+(F40*vq+F41*(1-vq))/rstar</f>
        <v>7.9562024950117518</v>
      </c>
      <c r="F40" s="13">
        <f t="shared" si="9"/>
        <v>2.7041397561762088</v>
      </c>
      <c r="G40" s="13">
        <f t="shared" si="9"/>
        <v>0</v>
      </c>
      <c r="H40" s="13">
        <f t="shared" si="10"/>
        <v>0</v>
      </c>
      <c r="I40" s="13">
        <f t="shared" si="11"/>
        <v>0</v>
      </c>
    </row>
    <row r="41" spans="1:9" x14ac:dyDescent="0.25">
      <c r="A41" s="13"/>
      <c r="B41" s="13"/>
      <c r="C41" s="13"/>
      <c r="D41" s="13">
        <f t="shared" si="8"/>
        <v>29.722843904601181</v>
      </c>
      <c r="E41" s="13">
        <f>+(F41*vq+F42*(1-vq))/rstar</f>
        <v>21.422049343804058</v>
      </c>
      <c r="F41" s="13">
        <f t="shared" si="9"/>
        <v>12.969379404669192</v>
      </c>
      <c r="G41" s="13">
        <f t="shared" si="9"/>
        <v>5.2705683763980486</v>
      </c>
      <c r="H41" s="13">
        <f t="shared" si="10"/>
        <v>0</v>
      </c>
      <c r="I41" s="13">
        <f t="shared" si="11"/>
        <v>0</v>
      </c>
    </row>
    <row r="42" spans="1:9" x14ac:dyDescent="0.25">
      <c r="A42" s="13"/>
      <c r="B42" s="13"/>
      <c r="C42" s="13"/>
      <c r="D42" s="13"/>
      <c r="E42" s="13">
        <f>+(F42*vq+F43*(1-vq))/rstar</f>
        <v>37.827328520533989</v>
      </c>
      <c r="F42" s="13">
        <f t="shared" si="9"/>
        <v>29.581335883007863</v>
      </c>
      <c r="G42" s="13">
        <f t="shared" si="9"/>
        <v>20.33182682305981</v>
      </c>
      <c r="H42" s="13">
        <f t="shared" si="10"/>
        <v>10.272727564039783</v>
      </c>
      <c r="I42" s="13">
        <f t="shared" si="11"/>
        <v>0</v>
      </c>
    </row>
    <row r="43" spans="1:9" x14ac:dyDescent="0.25">
      <c r="A43" s="13"/>
      <c r="B43" s="13"/>
      <c r="C43" s="13"/>
      <c r="D43" s="13"/>
      <c r="E43" s="13"/>
      <c r="F43" s="13">
        <f t="shared" si="9"/>
        <v>45.96604023591663</v>
      </c>
      <c r="G43" s="13">
        <f t="shared" si="9"/>
        <v>38.574697803577472</v>
      </c>
      <c r="H43" s="13">
        <f t="shared" si="10"/>
        <v>29.987231795989381</v>
      </c>
      <c r="I43" s="13">
        <f t="shared" si="11"/>
        <v>20.022305768301621</v>
      </c>
    </row>
    <row r="44" spans="1:9" x14ac:dyDescent="0.25">
      <c r="A44" s="13"/>
      <c r="B44" s="13"/>
      <c r="C44" s="13"/>
      <c r="D44" s="13"/>
      <c r="E44" s="13"/>
      <c r="F44" s="13"/>
      <c r="G44" s="13">
        <f t="shared" si="9"/>
        <v>53.388679492857968</v>
      </c>
      <c r="H44" s="13">
        <f t="shared" si="10"/>
        <v>47.041783048826538</v>
      </c>
      <c r="I44" s="13">
        <f t="shared" si="11"/>
        <v>39.656305899820374</v>
      </c>
    </row>
    <row r="45" spans="1:9" x14ac:dyDescent="0.25">
      <c r="A45" s="13"/>
      <c r="B45" s="13"/>
      <c r="C45" s="13"/>
      <c r="D45" s="13"/>
      <c r="E45" s="13"/>
      <c r="F45" s="13"/>
      <c r="G45" s="13"/>
      <c r="H45" s="13">
        <f t="shared" si="10"/>
        <v>59.909553665413704</v>
      </c>
      <c r="I45" s="13">
        <f t="shared" si="11"/>
        <v>54.47028758910087</v>
      </c>
    </row>
    <row r="46" spans="1:9" x14ac:dyDescent="0.25">
      <c r="I46" s="13">
        <f t="shared" si="11"/>
        <v>65.647533795697598</v>
      </c>
    </row>
  </sheetData>
  <pageMargins left="0.75" right="0.5" top="1" bottom="1" header="0.5" footer="0.5"/>
  <pageSetup orientation="landscape" horizontalDpi="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showGridLines="0" workbookViewId="0">
      <pane ySplit="8" topLeftCell="A18" activePane="bottomLeft" state="frozen"/>
      <selection pane="bottomLeft" activeCell="H35" sqref="H35"/>
    </sheetView>
  </sheetViews>
  <sheetFormatPr defaultColWidth="8.6640625" defaultRowHeight="12.1" x14ac:dyDescent="0.25"/>
  <sheetData>
    <row r="1" spans="1:10" ht="16.149999999999999" thickTop="1" thickBot="1" x14ac:dyDescent="0.35">
      <c r="A1" s="3" t="s">
        <v>48</v>
      </c>
      <c r="B1" s="4"/>
      <c r="D1" s="43" t="s">
        <v>60</v>
      </c>
    </row>
    <row r="2" spans="1:10" ht="12.7" thickTop="1" x14ac:dyDescent="0.25">
      <c r="A2" s="5" t="s">
        <v>25</v>
      </c>
      <c r="B2" s="27">
        <f>+vn</f>
        <v>8</v>
      </c>
    </row>
    <row r="3" spans="1:10" x14ac:dyDescent="0.25">
      <c r="A3" s="5" t="s">
        <v>26</v>
      </c>
      <c r="B3" s="28">
        <f>+period</f>
        <v>9.375E-2</v>
      </c>
    </row>
    <row r="4" spans="1:10" x14ac:dyDescent="0.25">
      <c r="A4" s="5" t="s">
        <v>27</v>
      </c>
      <c r="B4" s="29">
        <f>+vu</f>
        <v>1.1512469510596168</v>
      </c>
    </row>
    <row r="5" spans="1:10" x14ac:dyDescent="0.25">
      <c r="A5" s="5" t="s">
        <v>28</v>
      </c>
      <c r="B5" s="29">
        <f>+vd</f>
        <v>0.86862336450019872</v>
      </c>
    </row>
    <row r="6" spans="1:10" x14ac:dyDescent="0.25">
      <c r="A6" s="5" t="s">
        <v>29</v>
      </c>
      <c r="B6" s="29">
        <f>+rstar</f>
        <v>1.0054523100341441</v>
      </c>
    </row>
    <row r="7" spans="1:10" x14ac:dyDescent="0.25">
      <c r="A7" s="5" t="s">
        <v>30</v>
      </c>
      <c r="B7" s="29">
        <f>+bstar</f>
        <v>1</v>
      </c>
    </row>
    <row r="8" spans="1:10" ht="12.7" thickBot="1" x14ac:dyDescent="0.3">
      <c r="A8" s="6" t="s">
        <v>31</v>
      </c>
      <c r="B8" s="30">
        <f>+vq</f>
        <v>0.4841384514281466</v>
      </c>
    </row>
    <row r="9" spans="1:10" ht="12.7" thickTop="1" x14ac:dyDescent="0.25"/>
    <row r="10" spans="1:10" x14ac:dyDescent="0.25">
      <c r="A10" s="12" t="s">
        <v>32</v>
      </c>
      <c r="B10" s="2"/>
      <c r="C10" s="14" t="s">
        <v>33</v>
      </c>
      <c r="D10" s="14" t="s">
        <v>34</v>
      </c>
      <c r="E10" s="14" t="s">
        <v>35</v>
      </c>
      <c r="F10" s="14" t="s">
        <v>36</v>
      </c>
      <c r="G10" s="14" t="s">
        <v>37</v>
      </c>
      <c r="H10" s="14" t="s">
        <v>38</v>
      </c>
      <c r="I10" s="14" t="s">
        <v>39</v>
      </c>
    </row>
    <row r="11" spans="1:10" x14ac:dyDescent="0.25">
      <c r="A11" s="13">
        <f>+vs</f>
        <v>106</v>
      </c>
      <c r="B11" s="13">
        <f t="shared" ref="B11:I11" si="0">+A11*vu</f>
        <v>122.03217681231938</v>
      </c>
      <c r="C11" s="13">
        <f t="shared" si="0"/>
        <v>140.48917148635076</v>
      </c>
      <c r="D11" s="13">
        <f t="shared" si="0"/>
        <v>161.73773033055298</v>
      </c>
      <c r="E11" s="13">
        <f t="shared" si="0"/>
        <v>186.20006891435162</v>
      </c>
      <c r="F11" s="13">
        <f t="shared" si="0"/>
        <v>214.36226162473784</v>
      </c>
      <c r="G11" s="13">
        <f t="shared" si="0"/>
        <v>246.78390011772333</v>
      </c>
      <c r="H11" s="13">
        <f t="shared" si="0"/>
        <v>284.10921258113001</v>
      </c>
      <c r="I11" s="42">
        <f t="shared" si="0"/>
        <v>327.07986475197447</v>
      </c>
      <c r="J11" s="42" t="s">
        <v>55</v>
      </c>
    </row>
    <row r="12" spans="1:10" x14ac:dyDescent="0.25">
      <c r="A12" s="13"/>
      <c r="B12" s="13">
        <f>+A11*vd</f>
        <v>92.074076637021065</v>
      </c>
      <c r="C12" s="13">
        <f>+B11*vd</f>
        <v>106</v>
      </c>
      <c r="D12" s="13">
        <f>+C11*vd</f>
        <v>122.03217681231938</v>
      </c>
      <c r="E12" s="13">
        <f>+D11*vd</f>
        <v>140.48917148635076</v>
      </c>
      <c r="F12" s="13">
        <f t="shared" ref="F12:I17" si="1">+E11*vd</f>
        <v>161.73773033055298</v>
      </c>
      <c r="G12" s="13">
        <f t="shared" si="1"/>
        <v>186.20006891435162</v>
      </c>
      <c r="H12" s="13">
        <f t="shared" si="1"/>
        <v>214.36226162473784</v>
      </c>
      <c r="I12" s="13">
        <f t="shared" si="1"/>
        <v>246.78390011772333</v>
      </c>
    </row>
    <row r="13" spans="1:10" x14ac:dyDescent="0.25">
      <c r="A13" s="13"/>
      <c r="B13" s="13"/>
      <c r="C13" s="13">
        <f>+B12*vd</f>
        <v>79.977694231698379</v>
      </c>
      <c r="D13" s="13">
        <f>+C12*vd</f>
        <v>92.074076637021065</v>
      </c>
      <c r="E13" s="13">
        <f>+D12*vd</f>
        <v>106</v>
      </c>
      <c r="F13" s="13">
        <f t="shared" si="1"/>
        <v>122.03217681231938</v>
      </c>
      <c r="G13" s="13">
        <f t="shared" si="1"/>
        <v>140.48917148635076</v>
      </c>
      <c r="H13" s="13">
        <f t="shared" si="1"/>
        <v>161.73773033055298</v>
      </c>
      <c r="I13" s="13">
        <f t="shared" si="1"/>
        <v>186.20006891435162</v>
      </c>
    </row>
    <row r="14" spans="1:10" x14ac:dyDescent="0.25">
      <c r="A14" s="13"/>
      <c r="B14" s="13"/>
      <c r="C14" s="13"/>
      <c r="D14" s="13">
        <f>+C13*vd</f>
        <v>69.470493848505981</v>
      </c>
      <c r="E14" s="13">
        <f>+D13*vd</f>
        <v>79.977694231698379</v>
      </c>
      <c r="F14" s="13">
        <f t="shared" si="1"/>
        <v>92.074076637021065</v>
      </c>
      <c r="G14" s="13">
        <f t="shared" si="1"/>
        <v>106</v>
      </c>
      <c r="H14" s="13">
        <f t="shared" si="1"/>
        <v>122.03217681231938</v>
      </c>
      <c r="I14" s="13">
        <f t="shared" si="1"/>
        <v>140.48917148635076</v>
      </c>
    </row>
    <row r="15" spans="1:10" x14ac:dyDescent="0.25">
      <c r="A15" s="13"/>
      <c r="B15" s="13"/>
      <c r="C15" s="13"/>
      <c r="D15" s="13"/>
      <c r="E15" s="13">
        <f>+D14*vd</f>
        <v>60.343694100179626</v>
      </c>
      <c r="F15" s="13">
        <f t="shared" si="1"/>
        <v>69.470493848505981</v>
      </c>
      <c r="G15" s="13">
        <f t="shared" si="1"/>
        <v>79.977694231698379</v>
      </c>
      <c r="H15" s="13">
        <f t="shared" si="1"/>
        <v>92.074076637021065</v>
      </c>
      <c r="I15" s="13">
        <f t="shared" si="1"/>
        <v>106</v>
      </c>
    </row>
    <row r="16" spans="1:10" x14ac:dyDescent="0.25">
      <c r="A16" s="13"/>
      <c r="B16" s="13"/>
      <c r="C16" s="13"/>
      <c r="D16" s="13"/>
      <c r="E16" s="13"/>
      <c r="F16" s="13">
        <f>+E15*vd</f>
        <v>52.415942595668817</v>
      </c>
      <c r="G16" s="13">
        <f t="shared" si="1"/>
        <v>60.343694100179626</v>
      </c>
      <c r="H16" s="13">
        <f t="shared" si="1"/>
        <v>69.470493848505981</v>
      </c>
      <c r="I16" s="13">
        <f t="shared" si="1"/>
        <v>79.977694231698379</v>
      </c>
    </row>
    <row r="17" spans="1:10" x14ac:dyDescent="0.25">
      <c r="A17" s="13"/>
      <c r="B17" s="13"/>
      <c r="C17" s="13"/>
      <c r="D17" s="13"/>
      <c r="E17" s="13"/>
      <c r="F17" s="13"/>
      <c r="G17" s="13">
        <f>+F16*vd</f>
        <v>45.52971241089913</v>
      </c>
      <c r="H17" s="13">
        <f t="shared" si="1"/>
        <v>52.415942595668817</v>
      </c>
      <c r="I17" s="13">
        <f t="shared" si="1"/>
        <v>60.343694100179626</v>
      </c>
    </row>
    <row r="18" spans="1:10" x14ac:dyDescent="0.25">
      <c r="A18" s="13"/>
      <c r="B18" s="13"/>
      <c r="C18" s="13"/>
      <c r="D18" s="13"/>
      <c r="E18" s="13"/>
      <c r="F18" s="13"/>
      <c r="G18" s="13"/>
      <c r="H18" s="13">
        <f>+G17*vd</f>
        <v>39.548171979081658</v>
      </c>
      <c r="I18" s="13">
        <f>+H17*vd</f>
        <v>45.52971241089913</v>
      </c>
    </row>
    <row r="19" spans="1:10" x14ac:dyDescent="0.25">
      <c r="A19" s="13"/>
      <c r="B19" s="13"/>
      <c r="C19" s="13"/>
      <c r="D19" s="13"/>
      <c r="E19" s="13"/>
      <c r="F19" s="13"/>
      <c r="G19" s="13"/>
      <c r="H19" s="13"/>
      <c r="I19" s="13">
        <f>+H18*vd</f>
        <v>34.352466204302395</v>
      </c>
    </row>
    <row r="21" spans="1:10" x14ac:dyDescent="0.25">
      <c r="A21" s="1" t="s">
        <v>47</v>
      </c>
      <c r="B21" s="2"/>
      <c r="C21" s="2"/>
      <c r="D21" s="2"/>
      <c r="E21" s="2"/>
      <c r="F21" s="2"/>
      <c r="G21" s="2"/>
      <c r="H21" s="2"/>
      <c r="I21" s="2"/>
    </row>
    <row r="22" spans="1:10" x14ac:dyDescent="0.25">
      <c r="A22" s="12" t="s">
        <v>40</v>
      </c>
      <c r="B22" s="2"/>
      <c r="C22" s="14" t="s">
        <v>33</v>
      </c>
      <c r="D22" s="14" t="s">
        <v>34</v>
      </c>
      <c r="E22" s="14" t="s">
        <v>35</v>
      </c>
      <c r="F22" s="14" t="s">
        <v>36</v>
      </c>
      <c r="G22" s="14" t="s">
        <v>37</v>
      </c>
      <c r="H22" s="14" t="s">
        <v>38</v>
      </c>
      <c r="I22" s="14" t="s">
        <v>39</v>
      </c>
      <c r="J22" t="s">
        <v>38</v>
      </c>
    </row>
    <row r="23" spans="1:10" x14ac:dyDescent="0.25">
      <c r="A23" s="13">
        <f t="shared" ref="A23:C24" si="2">MAX(+(B23*vq+B24*(1-vq))/rstar, A11-vx)</f>
        <v>21.681707865597623</v>
      </c>
      <c r="B23" s="13">
        <f t="shared" si="2"/>
        <v>32.180573275482097</v>
      </c>
      <c r="C23" s="13">
        <f t="shared" si="2"/>
        <v>46.478880631825653</v>
      </c>
      <c r="D23" s="13">
        <f t="shared" ref="D23:E26" si="3">MAX(+(E23*vq+E24*(1-vq))/rstar, D11-vx)</f>
        <v>65.131678775909961</v>
      </c>
      <c r="E23" s="13">
        <f t="shared" si="3"/>
        <v>88.351586346098841</v>
      </c>
      <c r="F23" s="13">
        <f t="shared" ref="F23:G29" si="4">MAX(+(G23*vq+G24*(1-vq))/rstar, F11-vx)</f>
        <v>115.98027879315239</v>
      </c>
      <c r="G23" s="13">
        <f t="shared" si="4"/>
        <v>147.86550821396625</v>
      </c>
      <c r="H23" s="42">
        <f>MAX(+(I23*vq+I24*(1-vq))/rstar, H11-vx)</f>
        <v>184.65148693663465</v>
      </c>
      <c r="I23" s="13">
        <f>MAX(0,I11-vx)</f>
        <v>227.07986475197447</v>
      </c>
      <c r="J23" s="42" t="s">
        <v>56</v>
      </c>
    </row>
    <row r="24" spans="1:10" x14ac:dyDescent="0.25">
      <c r="A24" s="13"/>
      <c r="B24" s="13">
        <f t="shared" si="2"/>
        <v>12.057635162978846</v>
      </c>
      <c r="C24" s="13">
        <f>MAX(+(D24*vq+D25*(1-vq))/rstar, C12-vx)</f>
        <v>19.101672671922838</v>
      </c>
      <c r="D24" s="13">
        <f t="shared" si="3"/>
        <v>29.464393769346234</v>
      </c>
      <c r="E24" s="13">
        <f>MAX(+(F24*vq+F25*(1-vq))/rstar, E12-vx)</f>
        <v>44.028086120585279</v>
      </c>
      <c r="F24" s="13">
        <f t="shared" si="4"/>
        <v>63.355747498967517</v>
      </c>
      <c r="G24" s="13">
        <f t="shared" si="4"/>
        <v>87.281677010594507</v>
      </c>
      <c r="H24" s="13">
        <f t="shared" ref="H24:H30" si="5">MAX(+(I24*vq+I25*(1-vq))/rstar, H12-vx)</f>
        <v>114.90453598024247</v>
      </c>
      <c r="I24" s="42">
        <f>MAX(0,I12-vx)</f>
        <v>146.78390011772333</v>
      </c>
      <c r="J24" s="42" t="s">
        <v>57</v>
      </c>
    </row>
    <row r="25" spans="1:10" x14ac:dyDescent="0.25">
      <c r="A25" s="13"/>
      <c r="B25" s="13"/>
      <c r="C25" s="13">
        <f>MAX(+(D25*vq+D26*(1-vq))/rstar, C13-vx)</f>
        <v>5.5742144555156914</v>
      </c>
      <c r="D25" s="13">
        <f t="shared" si="3"/>
        <v>9.5781027979685991</v>
      </c>
      <c r="E25" s="13">
        <f>MAX(+(F25*vq+F26*(1-vq))/rstar, E13-vx)</f>
        <v>16.107719926758961</v>
      </c>
      <c r="F25" s="13">
        <f t="shared" si="4"/>
        <v>26.354333736910139</v>
      </c>
      <c r="G25" s="13">
        <f t="shared" si="4"/>
        <v>41.570779582593651</v>
      </c>
      <c r="H25" s="13">
        <f t="shared" si="5"/>
        <v>62.280004686057602</v>
      </c>
      <c r="I25" s="13">
        <f t="shared" ref="I25:I31" si="6">MAX(0,I13-vx)</f>
        <v>86.200068914351618</v>
      </c>
    </row>
    <row r="26" spans="1:10" x14ac:dyDescent="0.25">
      <c r="A26" s="13"/>
      <c r="B26" s="13"/>
      <c r="C26" s="13"/>
      <c r="D26" s="13">
        <f t="shared" si="3"/>
        <v>1.8754624130724435</v>
      </c>
      <c r="E26" s="13">
        <f>MAX(+(F26*vq+F27*(1-vq))/rstar, E14-vx)</f>
        <v>3.5512610072496509</v>
      </c>
      <c r="F26" s="13">
        <f t="shared" si="4"/>
        <v>6.6614732101048029</v>
      </c>
      <c r="G26" s="13">
        <f t="shared" si="4"/>
        <v>12.352176472640943</v>
      </c>
      <c r="H26" s="13">
        <f t="shared" si="5"/>
        <v>22.574451167824019</v>
      </c>
      <c r="I26" s="13">
        <f t="shared" si="6"/>
        <v>40.489171486350756</v>
      </c>
    </row>
    <row r="27" spans="1:10" x14ac:dyDescent="0.25">
      <c r="A27" s="13"/>
      <c r="B27" s="13"/>
      <c r="C27" s="13"/>
      <c r="D27" s="13"/>
      <c r="E27" s="13">
        <f>MAX(+(F27*vq+F28*(1-vq))/rstar, E15-vx)</f>
        <v>0.32254005246083384</v>
      </c>
      <c r="F27" s="13">
        <f t="shared" si="4"/>
        <v>0.6698468999283983</v>
      </c>
      <c r="G27" s="13">
        <f t="shared" si="4"/>
        <v>1.3911291510010861</v>
      </c>
      <c r="H27" s="13">
        <f t="shared" si="5"/>
        <v>2.8890785565654871</v>
      </c>
      <c r="I27" s="13">
        <f t="shared" si="6"/>
        <v>6</v>
      </c>
    </row>
    <row r="28" spans="1:10" x14ac:dyDescent="0.25">
      <c r="A28" s="13"/>
      <c r="B28" s="13"/>
      <c r="C28" s="13"/>
      <c r="D28" s="13"/>
      <c r="E28" s="13"/>
      <c r="F28" s="13">
        <f t="shared" si="4"/>
        <v>0</v>
      </c>
      <c r="G28" s="13">
        <f t="shared" si="4"/>
        <v>0</v>
      </c>
      <c r="H28" s="13">
        <f t="shared" si="5"/>
        <v>0</v>
      </c>
      <c r="I28" s="13">
        <f t="shared" si="6"/>
        <v>0</v>
      </c>
    </row>
    <row r="29" spans="1:10" x14ac:dyDescent="0.25">
      <c r="A29" s="13"/>
      <c r="B29" s="13"/>
      <c r="C29" s="13"/>
      <c r="D29" s="13"/>
      <c r="E29" s="13"/>
      <c r="F29" s="13"/>
      <c r="G29" s="13">
        <f t="shared" si="4"/>
        <v>0</v>
      </c>
      <c r="H29" s="13">
        <f t="shared" si="5"/>
        <v>0</v>
      </c>
      <c r="I29" s="13">
        <f t="shared" si="6"/>
        <v>0</v>
      </c>
    </row>
    <row r="30" spans="1:10" x14ac:dyDescent="0.25">
      <c r="A30" s="13"/>
      <c r="B30" s="13"/>
      <c r="C30" s="13"/>
      <c r="D30" s="13"/>
      <c r="E30" s="13"/>
      <c r="F30" s="13"/>
      <c r="G30" s="13"/>
      <c r="H30" s="13">
        <f t="shared" si="5"/>
        <v>0</v>
      </c>
      <c r="I30" s="13">
        <f t="shared" si="6"/>
        <v>0</v>
      </c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13">
        <f t="shared" si="6"/>
        <v>0</v>
      </c>
    </row>
    <row r="33" spans="1:9" x14ac:dyDescent="0.25">
      <c r="A33" s="1" t="s">
        <v>47</v>
      </c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12" t="s">
        <v>42</v>
      </c>
      <c r="B34" s="2"/>
      <c r="C34" s="14" t="s">
        <v>33</v>
      </c>
      <c r="D34" s="14" t="s">
        <v>34</v>
      </c>
      <c r="E34" s="14" t="s">
        <v>35</v>
      </c>
      <c r="F34" s="14" t="s">
        <v>36</v>
      </c>
      <c r="G34" s="14" t="s">
        <v>37</v>
      </c>
      <c r="H34" s="14" t="s">
        <v>38</v>
      </c>
      <c r="I34" s="14" t="s">
        <v>39</v>
      </c>
    </row>
    <row r="35" spans="1:9" x14ac:dyDescent="0.25">
      <c r="A35" s="13">
        <f t="shared" ref="A35:C36" si="7">MAX((B35*vq+B36*(1-vq))/rstar, vx-A11)</f>
        <v>11.722940289761409</v>
      </c>
      <c r="B35" s="13">
        <f t="shared" si="7"/>
        <v>6.5165067101704324</v>
      </c>
      <c r="C35" s="13">
        <f t="shared" si="7"/>
        <v>2.7991332921441523</v>
      </c>
      <c r="D35" s="13">
        <f t="shared" ref="D35:E38" si="8">MAX((E35*vq+E36*(1-vq))/rstar, vx-D11)</f>
        <v>0.71182378539172619</v>
      </c>
      <c r="E35" s="13">
        <f t="shared" si="8"/>
        <v>0</v>
      </c>
      <c r="F35" s="13">
        <f t="shared" ref="F35:G41" si="9">MAX((G35*vq+G36*(1-vq))/rstar, vx-F11)</f>
        <v>0</v>
      </c>
      <c r="G35" s="13">
        <f t="shared" si="9"/>
        <v>0</v>
      </c>
      <c r="H35" s="13">
        <f>MAX((I35*vq+I36*(1-vq))/rstar, vx-H11)</f>
        <v>0</v>
      </c>
      <c r="I35" s="13">
        <f>MAX(0,-(I11-vx))</f>
        <v>0</v>
      </c>
    </row>
    <row r="36" spans="1:9" x14ac:dyDescent="0.25">
      <c r="A36" s="13"/>
      <c r="B36" s="13">
        <f t="shared" si="7"/>
        <v>16.733105910388627</v>
      </c>
      <c r="C36" s="13">
        <f>MAX((D36*vq+D37*(1-vq))/rstar, vx-C12)</f>
        <v>10.074153970346485</v>
      </c>
      <c r="D36" s="13">
        <f t="shared" si="8"/>
        <v>4.787667885633339</v>
      </c>
      <c r="E36" s="13">
        <f>MAX((F36*vq+F37*(1-vq))/rstar, vx-E12)</f>
        <v>1.387397202487308</v>
      </c>
      <c r="F36" s="13">
        <f t="shared" si="9"/>
        <v>0</v>
      </c>
      <c r="G36" s="13">
        <f t="shared" si="9"/>
        <v>0</v>
      </c>
      <c r="H36" s="13">
        <f t="shared" ref="H36:H42" si="10">MAX((I36*vq+I37*(1-vq))/rstar, vx-H12)</f>
        <v>0</v>
      </c>
      <c r="I36" s="13">
        <f t="shared" ref="I36:I43" si="11">MAX(0,-(I12-vx))</f>
        <v>0</v>
      </c>
    </row>
    <row r="37" spans="1:9" x14ac:dyDescent="0.25">
      <c r="A37" s="13"/>
      <c r="B37" s="13"/>
      <c r="C37" s="13">
        <f>MAX((D37*vq+D38*(1-vq))/rstar, vx-C13)</f>
        <v>23.159420821476264</v>
      </c>
      <c r="D37" s="13">
        <f t="shared" si="8"/>
        <v>15.142022673809965</v>
      </c>
      <c r="E37" s="13">
        <f>MAX((F37*vq+F38*(1-vq))/rstar, vx-E13)</f>
        <v>8.0294400961374155</v>
      </c>
      <c r="F37" s="13">
        <f t="shared" si="9"/>
        <v>2.7041397561762088</v>
      </c>
      <c r="G37" s="13">
        <f t="shared" si="9"/>
        <v>0</v>
      </c>
      <c r="H37" s="13">
        <f t="shared" si="10"/>
        <v>0</v>
      </c>
      <c r="I37" s="13">
        <f t="shared" si="11"/>
        <v>0</v>
      </c>
    </row>
    <row r="38" spans="1:9" x14ac:dyDescent="0.25">
      <c r="A38" s="13"/>
      <c r="B38" s="13"/>
      <c r="C38" s="13"/>
      <c r="D38" s="13">
        <f t="shared" si="8"/>
        <v>30.928565618795297</v>
      </c>
      <c r="E38" s="13">
        <f>MAX((F38*vq+F39*(1-vq))/rstar, vx-E14)</f>
        <v>21.977255357332453</v>
      </c>
      <c r="F38" s="13">
        <f t="shared" si="9"/>
        <v>13.112124905738265</v>
      </c>
      <c r="G38" s="13">
        <f t="shared" si="9"/>
        <v>5.2705683763980486</v>
      </c>
      <c r="H38" s="13">
        <f t="shared" si="10"/>
        <v>0</v>
      </c>
      <c r="I38" s="13">
        <f t="shared" si="11"/>
        <v>0</v>
      </c>
    </row>
    <row r="39" spans="1:9" x14ac:dyDescent="0.25">
      <c r="A39" s="13"/>
      <c r="B39" s="13"/>
      <c r="C39" s="13"/>
      <c r="D39" s="13"/>
      <c r="E39" s="13">
        <f>MAX((F39*vq+F40*(1-vq))/rstar, vx-E15)</f>
        <v>39.656305899820374</v>
      </c>
      <c r="F39" s="13">
        <f t="shared" si="9"/>
        <v>30.529506151494019</v>
      </c>
      <c r="G39" s="13">
        <f t="shared" si="9"/>
        <v>20.610048361754099</v>
      </c>
      <c r="H39" s="13">
        <f t="shared" si="10"/>
        <v>10.272727564039783</v>
      </c>
      <c r="I39" s="13">
        <f t="shared" si="11"/>
        <v>0</v>
      </c>
    </row>
    <row r="40" spans="1:9" x14ac:dyDescent="0.25">
      <c r="A40" s="13"/>
      <c r="B40" s="13"/>
      <c r="C40" s="13"/>
      <c r="D40" s="13"/>
      <c r="E40" s="13"/>
      <c r="F40" s="13">
        <f t="shared" si="9"/>
        <v>47.584057404331183</v>
      </c>
      <c r="G40" s="13">
        <f t="shared" si="9"/>
        <v>39.656305899820374</v>
      </c>
      <c r="H40" s="13">
        <f t="shared" si="10"/>
        <v>30.529506151494019</v>
      </c>
      <c r="I40" s="13">
        <f t="shared" si="11"/>
        <v>20.022305768301621</v>
      </c>
    </row>
    <row r="41" spans="1:9" x14ac:dyDescent="0.25">
      <c r="A41" s="13"/>
      <c r="B41" s="13"/>
      <c r="C41" s="13"/>
      <c r="D41" s="13"/>
      <c r="E41" s="13"/>
      <c r="F41" s="13"/>
      <c r="G41" s="13">
        <f t="shared" si="9"/>
        <v>54.47028758910087</v>
      </c>
      <c r="H41" s="13">
        <f t="shared" si="10"/>
        <v>47.584057404331183</v>
      </c>
      <c r="I41" s="13">
        <f t="shared" si="11"/>
        <v>39.656305899820374</v>
      </c>
    </row>
    <row r="42" spans="1:9" x14ac:dyDescent="0.25">
      <c r="A42" s="13"/>
      <c r="B42" s="13"/>
      <c r="C42" s="13"/>
      <c r="D42" s="13"/>
      <c r="E42" s="13"/>
      <c r="F42" s="13"/>
      <c r="G42" s="13"/>
      <c r="H42" s="13">
        <f t="shared" si="10"/>
        <v>60.451828020918342</v>
      </c>
      <c r="I42" s="13">
        <f t="shared" si="11"/>
        <v>54.47028758910087</v>
      </c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13">
        <f t="shared" si="11"/>
        <v>65.647533795697598</v>
      </c>
    </row>
  </sheetData>
  <pageMargins left="0.75" right="0.5" top="1" bottom="1" header="0.5" footer="0.5"/>
  <pageSetup orientation="portrait" horizontalDpi="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6A8D-0230-41B1-9D43-D0A1839F0CDE}">
  <dimension ref="A1:T26"/>
  <sheetViews>
    <sheetView topLeftCell="A6" workbookViewId="0">
      <selection activeCell="P28" sqref="P28"/>
    </sheetView>
  </sheetViews>
  <sheetFormatPr defaultRowHeight="12.1" x14ac:dyDescent="0.25"/>
  <sheetData>
    <row r="1" spans="1:20" ht="12.7" thickBot="1" x14ac:dyDescent="0.3">
      <c r="A1" s="6" t="s">
        <v>31</v>
      </c>
      <c r="B1" s="30">
        <f>+(rstar-vd)/(vu-vd)</f>
        <v>0.4841384514281466</v>
      </c>
    </row>
    <row r="2" spans="1:20" ht="12.7" thickTop="1" x14ac:dyDescent="0.25">
      <c r="A2" s="5" t="s">
        <v>29</v>
      </c>
      <c r="B2" s="29">
        <f>EXP(vr*period)</f>
        <v>1.0054523100341441</v>
      </c>
    </row>
    <row r="5" spans="1:20" x14ac:dyDescent="0.25">
      <c r="A5" t="s">
        <v>40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L5" t="s">
        <v>40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</row>
    <row r="6" spans="1:20" x14ac:dyDescent="0.25">
      <c r="A6">
        <v>21.681707865597623</v>
      </c>
      <c r="B6">
        <v>32.180573275482097</v>
      </c>
      <c r="C6">
        <v>46.478880631825653</v>
      </c>
      <c r="D6">
        <v>65.131678775909961</v>
      </c>
      <c r="E6">
        <v>88.351586346098841</v>
      </c>
      <c r="F6">
        <v>115.98027879315239</v>
      </c>
      <c r="G6">
        <v>147.86550821396625</v>
      </c>
      <c r="H6">
        <v>184.65148693663465</v>
      </c>
      <c r="I6">
        <v>227.07986475197447</v>
      </c>
      <c r="L6">
        <v>21.681707865597623</v>
      </c>
      <c r="M6">
        <v>32.180573275482097</v>
      </c>
      <c r="N6">
        <v>46.478880631825653</v>
      </c>
      <c r="O6">
        <v>65.131678775909961</v>
      </c>
      <c r="P6">
        <v>88.351586346098841</v>
      </c>
      <c r="Q6">
        <v>115.98027879315239</v>
      </c>
      <c r="R6">
        <v>147.86550821396625</v>
      </c>
      <c r="S6">
        <v>184.65148693663465</v>
      </c>
      <c r="T6">
        <v>227.07986475197447</v>
      </c>
    </row>
    <row r="7" spans="1:20" x14ac:dyDescent="0.25">
      <c r="B7">
        <v>12.057635162978846</v>
      </c>
      <c r="C7">
        <v>19.101672671922838</v>
      </c>
      <c r="D7">
        <v>29.464393769346234</v>
      </c>
      <c r="E7">
        <v>44.028086120585279</v>
      </c>
      <c r="F7">
        <v>63.355747498967517</v>
      </c>
      <c r="G7">
        <v>87.281677010594507</v>
      </c>
      <c r="H7">
        <v>114.90453598024247</v>
      </c>
      <c r="I7">
        <v>146.78390011772333</v>
      </c>
      <c r="M7">
        <v>12.057635162978846</v>
      </c>
      <c r="N7">
        <v>19.101672671922838</v>
      </c>
      <c r="O7">
        <v>29.464393769346234</v>
      </c>
      <c r="P7">
        <v>44.028086120585279</v>
      </c>
      <c r="Q7">
        <v>63.355747498967517</v>
      </c>
      <c r="R7">
        <v>87.281677010594507</v>
      </c>
      <c r="S7">
        <v>114.90453598024247</v>
      </c>
      <c r="T7">
        <v>146.78390011772333</v>
      </c>
    </row>
    <row r="8" spans="1:20" x14ac:dyDescent="0.25">
      <c r="C8">
        <v>5.5742144555156914</v>
      </c>
      <c r="D8">
        <v>9.5781027979685991</v>
      </c>
      <c r="E8">
        <v>16.107719926758961</v>
      </c>
      <c r="F8">
        <v>26.354333736910139</v>
      </c>
      <c r="G8">
        <v>41.570779582593651</v>
      </c>
      <c r="H8">
        <v>62.280004686057602</v>
      </c>
      <c r="I8">
        <v>86.200068914351618</v>
      </c>
      <c r="N8">
        <v>5.5742144555156914</v>
      </c>
      <c r="O8">
        <v>9.5781027979685991</v>
      </c>
      <c r="P8">
        <v>16.107719926758961</v>
      </c>
      <c r="Q8">
        <v>26.354333736910139</v>
      </c>
      <c r="R8">
        <v>41.570779582593651</v>
      </c>
      <c r="S8">
        <v>62.280004686057602</v>
      </c>
      <c r="T8">
        <v>86.200068914351618</v>
      </c>
    </row>
    <row r="9" spans="1:20" x14ac:dyDescent="0.25">
      <c r="D9">
        <v>1.8754624130724435</v>
      </c>
      <c r="E9">
        <v>3.5512610072496509</v>
      </c>
      <c r="F9">
        <v>6.6614732101048029</v>
      </c>
      <c r="G9">
        <v>12.352176472640943</v>
      </c>
      <c r="H9">
        <v>22.574451167824019</v>
      </c>
      <c r="I9">
        <v>40.489171486350756</v>
      </c>
      <c r="O9">
        <v>1.8754624130724435</v>
      </c>
      <c r="P9">
        <v>3.5512610072496509</v>
      </c>
      <c r="Q9">
        <v>6.6614732101048029</v>
      </c>
      <c r="R9">
        <v>12.352176472640943</v>
      </c>
      <c r="S9">
        <v>22.574451167824019</v>
      </c>
      <c r="T9">
        <v>40.489171486350756</v>
      </c>
    </row>
    <row r="10" spans="1:20" x14ac:dyDescent="0.25">
      <c r="E10">
        <v>0.32254005246083384</v>
      </c>
      <c r="F10">
        <v>0.6698468999283983</v>
      </c>
      <c r="G10">
        <v>1.3911291510010861</v>
      </c>
      <c r="H10">
        <v>2.8890785565654871</v>
      </c>
      <c r="I10">
        <v>6</v>
      </c>
      <c r="P10">
        <v>0.32254005246083384</v>
      </c>
      <c r="Q10">
        <v>0.6698468999283983</v>
      </c>
      <c r="R10">
        <v>1.3911291510010861</v>
      </c>
      <c r="S10">
        <v>2.8890785565654871</v>
      </c>
      <c r="T10">
        <v>6</v>
      </c>
    </row>
    <row r="11" spans="1:20" x14ac:dyDescent="0.25">
      <c r="F11">
        <v>0</v>
      </c>
      <c r="G11">
        <v>0</v>
      </c>
      <c r="H11">
        <v>0</v>
      </c>
      <c r="I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G12">
        <v>0</v>
      </c>
      <c r="H12">
        <v>0</v>
      </c>
      <c r="I12">
        <v>0</v>
      </c>
      <c r="R12">
        <v>0</v>
      </c>
      <c r="S12">
        <v>0</v>
      </c>
      <c r="T12">
        <v>0</v>
      </c>
    </row>
    <row r="13" spans="1:20" x14ac:dyDescent="0.25">
      <c r="H13">
        <v>0</v>
      </c>
      <c r="I13">
        <v>0</v>
      </c>
      <c r="S13">
        <v>0</v>
      </c>
      <c r="T13">
        <v>0</v>
      </c>
    </row>
    <row r="14" spans="1:20" x14ac:dyDescent="0.25">
      <c r="I14">
        <v>0</v>
      </c>
      <c r="T14">
        <v>0</v>
      </c>
    </row>
    <row r="18" spans="1:20" x14ac:dyDescent="0.25">
      <c r="A18">
        <f t="shared" ref="A18:H18" si="0">(vq*B19+(1-vq)*B18)/($B$2)</f>
        <v>21.681707865597623</v>
      </c>
      <c r="B18">
        <f t="shared" si="0"/>
        <v>12.057635162978846</v>
      </c>
      <c r="C18">
        <f t="shared" si="0"/>
        <v>5.5742144555156914</v>
      </c>
      <c r="D18">
        <f t="shared" si="0"/>
        <v>1.8754624130724435</v>
      </c>
      <c r="E18">
        <f t="shared" si="0"/>
        <v>0.32254005246083384</v>
      </c>
      <c r="F18">
        <f t="shared" si="0"/>
        <v>0</v>
      </c>
      <c r="G18">
        <f t="shared" si="0"/>
        <v>0</v>
      </c>
      <c r="H18">
        <f t="shared" si="0"/>
        <v>0</v>
      </c>
      <c r="I18">
        <v>0</v>
      </c>
      <c r="L18">
        <f>(vq*M18+(1-vq)*M19)/rstar</f>
        <v>21.681707865597623</v>
      </c>
      <c r="M18">
        <f>(vq*N18+(1-vq)*N19)/rstar</f>
        <v>32.180573275482097</v>
      </c>
      <c r="N18">
        <f>(vq*O18+(1-vq)*O19)/rstar</f>
        <v>46.478880631825653</v>
      </c>
      <c r="O18">
        <f>(vq*P18+(1-vq)*P19)/rstar</f>
        <v>65.131678775909961</v>
      </c>
      <c r="P18">
        <f>(vq*Q18+(1-vq)*Q19)/rstar</f>
        <v>88.351586346098841</v>
      </c>
      <c r="Q18">
        <f>(vq*R18+(1-vq)*R19)/rstar</f>
        <v>115.98027879315239</v>
      </c>
      <c r="R18">
        <f>(vq*S18+(1-vq)*S19)/rstar</f>
        <v>147.86550821396625</v>
      </c>
      <c r="S18">
        <f>(vq*T18+(1-vq)*T19)/rstar</f>
        <v>184.65148693663465</v>
      </c>
      <c r="T18">
        <v>227.07986475197447</v>
      </c>
    </row>
    <row r="19" spans="1:20" x14ac:dyDescent="0.25">
      <c r="B19">
        <f t="shared" ref="B19:H19" si="1">(vq*C20+(1-vq)*C19)/($B$2)</f>
        <v>32.180573275482097</v>
      </c>
      <c r="C19">
        <f t="shared" si="1"/>
        <v>19.101672671922838</v>
      </c>
      <c r="D19">
        <f t="shared" si="1"/>
        <v>9.5781027979685991</v>
      </c>
      <c r="E19">
        <f t="shared" si="1"/>
        <v>3.5512610072496509</v>
      </c>
      <c r="F19">
        <f t="shared" si="1"/>
        <v>0.6698468999283983</v>
      </c>
      <c r="G19">
        <f t="shared" si="1"/>
        <v>0</v>
      </c>
      <c r="H19">
        <f t="shared" si="1"/>
        <v>0</v>
      </c>
      <c r="I19">
        <v>0</v>
      </c>
      <c r="L19">
        <f>(vq*M19+(1-vq)*M20)/rstar</f>
        <v>7.4416947899722983</v>
      </c>
      <c r="M19">
        <f>(vq*N19+(1-vq)*N20)/rstar</f>
        <v>12.057635162978846</v>
      </c>
      <c r="N19">
        <f>(vq*O19+(1-vq)*O20)/rstar</f>
        <v>19.101672671922838</v>
      </c>
      <c r="O19">
        <f>(vq*P19+(1-vq)*P20)/rstar</f>
        <v>29.464393769346234</v>
      </c>
      <c r="P19">
        <f>(vq*Q19+(1-vq)*Q20)/rstar</f>
        <v>44.028086120585279</v>
      </c>
      <c r="Q19">
        <f>(vq*R19+(1-vq)*R20)/rstar</f>
        <v>63.355747498967517</v>
      </c>
      <c r="R19">
        <f>(vq*S19+(1-vq)*S20)/rstar</f>
        <v>87.281677010594507</v>
      </c>
      <c r="S19">
        <f>(vq*T19+(1-vq)*T20)/rstar</f>
        <v>114.90453598024247</v>
      </c>
      <c r="T19">
        <v>146.78390011772333</v>
      </c>
    </row>
    <row r="20" spans="1:20" x14ac:dyDescent="0.25">
      <c r="C20">
        <f t="shared" ref="C20:H20" si="2">(vq*D21+(1-vq)*D20)/($B$2)</f>
        <v>46.478880631825653</v>
      </c>
      <c r="D20">
        <f t="shared" si="2"/>
        <v>29.464393769346234</v>
      </c>
      <c r="E20">
        <f t="shared" si="2"/>
        <v>16.107719926758961</v>
      </c>
      <c r="F20">
        <f t="shared" si="2"/>
        <v>6.6614732101048029</v>
      </c>
      <c r="G20">
        <f t="shared" si="2"/>
        <v>1.3911291510010861</v>
      </c>
      <c r="H20">
        <f t="shared" si="2"/>
        <v>0</v>
      </c>
      <c r="I20">
        <v>0</v>
      </c>
      <c r="L20">
        <f>(vq*M20+(1-vq)*M21)/rstar</f>
        <v>1.797661349547109</v>
      </c>
      <c r="M20">
        <f>(vq*N20+(1-vq)*N21)/rstar</f>
        <v>3.1882670961033432</v>
      </c>
      <c r="N20">
        <f>(vq*O20+(1-vq)*O21)/rstar</f>
        <v>5.5742144555156914</v>
      </c>
      <c r="O20">
        <f>(vq*P20+(1-vq)*P21)/rstar</f>
        <v>9.5781027979685991</v>
      </c>
      <c r="P20">
        <f>(vq*Q20+(1-vq)*Q21)/rstar</f>
        <v>16.107719926758961</v>
      </c>
      <c r="Q20">
        <f>(vq*R20+(1-vq)*R21)/rstar</f>
        <v>26.354333736910139</v>
      </c>
      <c r="R20">
        <f>(vq*S20+(1-vq)*S21)/rstar</f>
        <v>41.570779582593651</v>
      </c>
      <c r="S20">
        <f>(vq*T20+(1-vq)*T21)/rstar</f>
        <v>62.280004686057602</v>
      </c>
      <c r="T20">
        <v>86.200068914351618</v>
      </c>
    </row>
    <row r="21" spans="1:20" x14ac:dyDescent="0.25">
      <c r="D21">
        <f>(vq*E22+(1-vq)*E21)/($B$2)</f>
        <v>65.131678775909961</v>
      </c>
      <c r="E21">
        <f>(vq*F22+(1-vq)*F21)/($B$2)</f>
        <v>44.028086120585279</v>
      </c>
      <c r="F21">
        <f>(vq*G22+(1-vq)*G21)/($B$2)</f>
        <v>26.354333736910139</v>
      </c>
      <c r="G21">
        <f>(vq*H22+(1-vq)*H21)/($B$2)</f>
        <v>12.352176472640943</v>
      </c>
      <c r="H21">
        <f>(vq*I22+(1-vq)*I21)/($B$2)</f>
        <v>2.8890785565654871</v>
      </c>
      <c r="I21">
        <v>0</v>
      </c>
      <c r="L21">
        <f>(vq*M21+(1-vq)*M22)/rstar</f>
        <v>0.26480316642899826</v>
      </c>
      <c r="M21">
        <f>(vq*N21+(1-vq)*N22)/rstar</f>
        <v>0.51157149170169858</v>
      </c>
      <c r="N21">
        <f>(vq*O21+(1-vq)*O22)/rstar</f>
        <v>0.98274229541764191</v>
      </c>
      <c r="O21">
        <f>(vq*P21+(1-vq)*P22)/rstar</f>
        <v>1.8754624130724435</v>
      </c>
      <c r="P21">
        <f>(vq*Q21+(1-vq)*Q22)/rstar</f>
        <v>3.5512610072496509</v>
      </c>
      <c r="Q21">
        <f>(vq*R21+(1-vq)*R22)/rstar</f>
        <v>6.6614732101048029</v>
      </c>
      <c r="R21">
        <f>(vq*S21+(1-vq)*S22)/rstar</f>
        <v>12.352176472640943</v>
      </c>
      <c r="S21">
        <f>(vq*T21+(1-vq)*T22)/rstar</f>
        <v>22.574451167824019</v>
      </c>
      <c r="T21">
        <v>40.489171486350756</v>
      </c>
    </row>
    <row r="22" spans="1:20" x14ac:dyDescent="0.25">
      <c r="E22">
        <f>(vq*F23+(1-vq)*F22)/($B$2)</f>
        <v>88.351586346098841</v>
      </c>
      <c r="F22">
        <f>(vq*G23+(1-vq)*G22)/($B$2)</f>
        <v>63.355747498967517</v>
      </c>
      <c r="G22">
        <f>(vq*H23+(1-vq)*H22)/($B$2)</f>
        <v>41.570779582593651</v>
      </c>
      <c r="H22">
        <f>(vq*I23+(1-vq)*I22)/($B$2)</f>
        <v>22.574451167824019</v>
      </c>
      <c r="I22">
        <v>6</v>
      </c>
      <c r="L22">
        <f>(vq*M22+(1-vq)*M23)/rstar</f>
        <v>1.733868090690624E-2</v>
      </c>
      <c r="M22">
        <f>(vq*N22+(1-vq)*N23)/rstar</f>
        <v>3.6008742373938744E-2</v>
      </c>
      <c r="N22">
        <f>(vq*O22+(1-vq)*O23)/rstar</f>
        <v>7.4782478223947596E-2</v>
      </c>
      <c r="O22">
        <f>(vq*P22+(1-vq)*P23)/rstar</f>
        <v>0.15530725819968372</v>
      </c>
      <c r="P22">
        <f>(vq*Q22+(1-vq)*Q23)/rstar</f>
        <v>0.32254005246083384</v>
      </c>
      <c r="Q22">
        <f>(vq*R22+(1-vq)*R23)/rstar</f>
        <v>0.6698468999283983</v>
      </c>
      <c r="R22">
        <f>(vq*S22+(1-vq)*S23)/rstar</f>
        <v>1.3911291510010861</v>
      </c>
      <c r="S22">
        <f>(vq*T22+(1-vq)*T23)/rstar</f>
        <v>2.8890785565654871</v>
      </c>
      <c r="T22">
        <v>6</v>
      </c>
    </row>
    <row r="23" spans="1:20" x14ac:dyDescent="0.25">
      <c r="F23">
        <f>(vq*G24+(1-vq)*G23)/($B$2)</f>
        <v>115.98027879315239</v>
      </c>
      <c r="G23">
        <f>(vq*H24+(1-vq)*H23)/($B$2)</f>
        <v>87.281677010594507</v>
      </c>
      <c r="H23">
        <f>(vq*I24+(1-vq)*I23)/($B$2)</f>
        <v>62.280004686057602</v>
      </c>
      <c r="I23">
        <v>40.489171486350756</v>
      </c>
      <c r="L23">
        <f>(vq*M23+(1-vq)*M24)/rstar</f>
        <v>0</v>
      </c>
      <c r="M23">
        <f>(vq*N23+(1-vq)*N24)/rstar</f>
        <v>0</v>
      </c>
      <c r="N23">
        <f>(vq*O23+(1-vq)*O24)/rstar</f>
        <v>0</v>
      </c>
      <c r="O23">
        <f>(vq*P23+(1-vq)*P24)/rstar</f>
        <v>0</v>
      </c>
      <c r="P23">
        <f>(vq*Q23+(1-vq)*Q24)/rstar</f>
        <v>0</v>
      </c>
      <c r="Q23">
        <f>(vq*R23+(1-vq)*R24)/rstar</f>
        <v>0</v>
      </c>
      <c r="R23">
        <f>(vq*S23+(1-vq)*S24)/rstar</f>
        <v>0</v>
      </c>
      <c r="S23">
        <f>(vq*T23+(1-vq)*T24)/rstar</f>
        <v>0</v>
      </c>
      <c r="T23">
        <v>0</v>
      </c>
    </row>
    <row r="24" spans="1:20" x14ac:dyDescent="0.25">
      <c r="G24">
        <f>(vq*H25+(1-vq)*H24)/($B$2)</f>
        <v>147.86550821396625</v>
      </c>
      <c r="H24">
        <f>(vq*I25+(1-vq)*I24)/($B$2)</f>
        <v>114.90453598024247</v>
      </c>
      <c r="I24">
        <v>86.200068914351618</v>
      </c>
      <c r="L24">
        <f>(vq*M24+(1-vq)*M25)/rstar</f>
        <v>0</v>
      </c>
      <c r="M24">
        <f>(vq*N24+(1-vq)*N25)/rstar</f>
        <v>0</v>
      </c>
      <c r="N24">
        <f>(vq*O24+(1-vq)*O25)/rstar</f>
        <v>0</v>
      </c>
      <c r="O24">
        <f>(vq*P24+(1-vq)*P25)/rstar</f>
        <v>0</v>
      </c>
      <c r="P24">
        <f>(vq*Q24+(1-vq)*Q25)/rstar</f>
        <v>0</v>
      </c>
      <c r="Q24">
        <f>(vq*R24+(1-vq)*R25)/rstar</f>
        <v>0</v>
      </c>
      <c r="R24">
        <f>(vq*S24+(1-vq)*S25)/rstar</f>
        <v>0</v>
      </c>
      <c r="S24">
        <f>(vq*T24+(1-vq)*T25)/rstar</f>
        <v>0</v>
      </c>
      <c r="T24">
        <v>0</v>
      </c>
    </row>
    <row r="25" spans="1:20" x14ac:dyDescent="0.25">
      <c r="H25">
        <f>(vq*I26+(1-vq)*I25)/($B$2)</f>
        <v>184.65148693663465</v>
      </c>
      <c r="I25">
        <v>146.78390011772333</v>
      </c>
      <c r="L25">
        <f>(vq*M25+(1-vq)*M26)/rstar</f>
        <v>0</v>
      </c>
      <c r="M25">
        <f>(vq*N25+(1-vq)*N26)/rstar</f>
        <v>0</v>
      </c>
      <c r="N25">
        <f>(vq*O25+(1-vq)*O26)/rstar</f>
        <v>0</v>
      </c>
      <c r="O25">
        <f>(vq*P25+(1-vq)*P26)/rstar</f>
        <v>0</v>
      </c>
      <c r="P25">
        <f>(vq*Q25+(1-vq)*Q26)/rstar</f>
        <v>0</v>
      </c>
      <c r="Q25">
        <f>(vq*R25+(1-vq)*R26)/rstar</f>
        <v>0</v>
      </c>
      <c r="R25">
        <f>(vq*S25+(1-vq)*S26)/rstar</f>
        <v>0</v>
      </c>
      <c r="S25">
        <f>(vq*T25+(1-vq)*T26)/rstar</f>
        <v>0</v>
      </c>
      <c r="T25">
        <v>0</v>
      </c>
    </row>
    <row r="26" spans="1:20" x14ac:dyDescent="0.25">
      <c r="I26">
        <v>227.07986475197447</v>
      </c>
      <c r="L26">
        <f>(vq*M26+(1-vq)*M27)/rstar</f>
        <v>0</v>
      </c>
      <c r="M26">
        <f>(vq*N26+(1-vq)*N27)/rstar</f>
        <v>0</v>
      </c>
      <c r="N26">
        <f>(vq*O26+(1-vq)*O27)/rstar</f>
        <v>0</v>
      </c>
      <c r="O26">
        <f>(vq*P26+(1-vq)*P27)/rstar</f>
        <v>0</v>
      </c>
      <c r="P26">
        <f>(vq*Q26+(1-vq)*Q27)/rstar</f>
        <v>0</v>
      </c>
      <c r="Q26">
        <f>(vq*R26+(1-vq)*R27)/rstar</f>
        <v>0</v>
      </c>
      <c r="R26">
        <f>(vq*S26+(1-vq)*S27)/rstar</f>
        <v>0</v>
      </c>
      <c r="S26">
        <f>(vq*T26+(1-vq)*T27)/rstar</f>
        <v>0</v>
      </c>
      <c r="T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31</vt:i4>
      </vt:variant>
    </vt:vector>
  </HeadingPairs>
  <TitlesOfParts>
    <vt:vector size="35" baseType="lpstr">
      <vt:lpstr>BSOPM</vt:lpstr>
      <vt:lpstr>Binomial European</vt:lpstr>
      <vt:lpstr>Binomial American</vt:lpstr>
      <vt:lpstr>Sheet1</vt:lpstr>
      <vt:lpstr>_vd1</vt:lpstr>
      <vt:lpstr>_vd2</vt:lpstr>
      <vt:lpstr>bstar</vt:lpstr>
      <vt:lpstr>junk</vt:lpstr>
      <vt:lpstr>lheader</vt:lpstr>
      <vt:lpstr>period</vt:lpstr>
      <vt:lpstr>rstar</vt:lpstr>
      <vt:lpstr>sigma</vt:lpstr>
      <vt:lpstr>vb</vt:lpstr>
      <vt:lpstr>vcall</vt:lpstr>
      <vt:lpstr>vcallamerican</vt:lpstr>
      <vt:lpstr>vcalldelta</vt:lpstr>
      <vt:lpstr>vd</vt:lpstr>
      <vt:lpstr>vl</vt:lpstr>
      <vt:lpstr>vn</vt:lpstr>
      <vt:lpstr>vnormd1</vt:lpstr>
      <vt:lpstr>vnormd1minus</vt:lpstr>
      <vt:lpstr>vnormd2</vt:lpstr>
      <vt:lpstr>vnormd2minus</vt:lpstr>
      <vt:lpstr>vput</vt:lpstr>
      <vt:lpstr>vputamerican</vt:lpstr>
      <vt:lpstr>vputdelta</vt:lpstr>
      <vt:lpstr>vq</vt:lpstr>
      <vt:lpstr>vr</vt:lpstr>
      <vt:lpstr>vrd</vt:lpstr>
      <vt:lpstr>vrf</vt:lpstr>
      <vt:lpstr>vs</vt:lpstr>
      <vt:lpstr>vsigma</vt:lpstr>
      <vt:lpstr>vt</vt:lpstr>
      <vt:lpstr>vu</vt:lpstr>
      <vt:lpstr>vx</vt:lpstr>
    </vt:vector>
  </TitlesOfParts>
  <Company>fft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A. Dobelman</dc:creator>
  <cp:lastModifiedBy>Keda Song</cp:lastModifiedBy>
  <cp:lastPrinted>2011-12-18T16:02:05Z</cp:lastPrinted>
  <dcterms:created xsi:type="dcterms:W3CDTF">1999-09-22T15:53:07Z</dcterms:created>
  <dcterms:modified xsi:type="dcterms:W3CDTF">2019-09-23T03:17:34Z</dcterms:modified>
</cp:coreProperties>
</file>