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mustafa_kodvavi_student_manchester_ac_uk/Documents/ESP - Group 3/Lab Documents/Motors Lab/Data Gathering/"/>
    </mc:Choice>
  </mc:AlternateContent>
  <xr:revisionPtr revIDLastSave="1851" documentId="11_F25DC773A252ABDACC10480D3918716C5BDE58EE" xr6:coauthVersionLast="47" xr6:coauthVersionMax="47" xr10:uidLastSave="{C6C9C640-21CC-4EE8-B945-AB9D8BE6E176}"/>
  <bookViews>
    <workbookView xWindow="-120" yWindow="-120" windowWidth="38640" windowHeight="21120" firstSheet="6" activeTab="2" xr2:uid="{00000000-000D-0000-FFFF-FFFF00000000}"/>
  </bookViews>
  <sheets>
    <sheet name="8.1" sheetId="1" r:id="rId1"/>
    <sheet name="8.2" sheetId="2" r:id="rId2"/>
    <sheet name="8.3" sheetId="4" r:id="rId3"/>
    <sheet name="8.4" sheetId="5" r:id="rId4"/>
    <sheet name="8.7" sheetId="7" r:id="rId5"/>
    <sheet name="8.5" sheetId="6" r:id="rId6"/>
    <sheet name="Sheet1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4" l="1"/>
  <c r="H2" i="5"/>
  <c r="H3" i="5"/>
  <c r="H4" i="5"/>
  <c r="H5" i="5"/>
  <c r="H6" i="5"/>
  <c r="H7" i="5"/>
  <c r="H8" i="5"/>
  <c r="H9" i="5"/>
  <c r="H10" i="5"/>
  <c r="H11" i="5"/>
  <c r="H12" i="5"/>
  <c r="J2" i="5"/>
  <c r="J3" i="5"/>
  <c r="J4" i="5"/>
  <c r="J5" i="5"/>
  <c r="J6" i="5"/>
  <c r="J7" i="5"/>
  <c r="J8" i="5"/>
  <c r="J9" i="5"/>
  <c r="J10" i="5"/>
  <c r="J11" i="5"/>
  <c r="J12" i="5"/>
  <c r="L9" i="1"/>
  <c r="I2" i="6"/>
  <c r="E2" i="5"/>
  <c r="E3" i="5"/>
  <c r="E4" i="5"/>
  <c r="E5" i="5"/>
  <c r="E6" i="5"/>
  <c r="E7" i="5"/>
  <c r="E8" i="5"/>
  <c r="E9" i="5"/>
  <c r="E10" i="5"/>
  <c r="E11" i="5"/>
  <c r="E12" i="5"/>
  <c r="J3" i="6"/>
  <c r="J4" i="6"/>
  <c r="J5" i="6"/>
  <c r="J6" i="6"/>
  <c r="J7" i="6"/>
  <c r="J8" i="6"/>
  <c r="I8" i="6"/>
  <c r="I7" i="6"/>
  <c r="I6" i="6"/>
  <c r="I5" i="6"/>
  <c r="I4" i="6"/>
  <c r="I3" i="6"/>
  <c r="I18" i="4"/>
  <c r="H3" i="6"/>
  <c r="H4" i="6"/>
  <c r="H5" i="6"/>
  <c r="H6" i="6"/>
  <c r="H7" i="6"/>
  <c r="H8" i="6"/>
  <c r="H2" i="6"/>
  <c r="I20" i="4"/>
  <c r="I15" i="4"/>
  <c r="I16" i="4"/>
  <c r="I17" i="4"/>
  <c r="I19" i="4"/>
  <c r="I21" i="4"/>
  <c r="I14" i="4"/>
  <c r="M2" i="1"/>
  <c r="I2" i="5"/>
  <c r="G14" i="4"/>
  <c r="G13" i="4"/>
  <c r="D5" i="4"/>
  <c r="F2" i="6"/>
  <c r="F3" i="6"/>
  <c r="F4" i="6"/>
  <c r="F5" i="6"/>
  <c r="F6" i="6"/>
  <c r="F7" i="6"/>
  <c r="F8" i="6"/>
  <c r="F9" i="6"/>
  <c r="F10" i="6"/>
  <c r="F11" i="6"/>
  <c r="I3" i="5"/>
  <c r="I4" i="5"/>
  <c r="I5" i="5"/>
  <c r="I6" i="5"/>
  <c r="I7" i="5"/>
  <c r="I8" i="5"/>
  <c r="I9" i="5"/>
  <c r="I10" i="5"/>
  <c r="I11" i="5"/>
  <c r="I12" i="5"/>
  <c r="G15" i="4"/>
  <c r="G16" i="4"/>
  <c r="G17" i="4"/>
  <c r="G18" i="4"/>
  <c r="G19" i="4"/>
  <c r="G20" i="4"/>
  <c r="G21" i="4"/>
  <c r="L3" i="1"/>
  <c r="D81" i="1"/>
  <c r="D82" i="1"/>
  <c r="D83" i="1"/>
  <c r="D84" i="1"/>
  <c r="D85" i="1"/>
  <c r="D86" i="1"/>
  <c r="D87" i="1"/>
  <c r="D88" i="1"/>
  <c r="D89" i="1"/>
  <c r="D90" i="1"/>
  <c r="D65" i="1"/>
  <c r="D66" i="1"/>
  <c r="D67" i="1"/>
  <c r="D68" i="1"/>
  <c r="D69" i="1"/>
  <c r="D70" i="1"/>
  <c r="D71" i="1"/>
  <c r="D72" i="1"/>
  <c r="D73" i="1"/>
  <c r="D74" i="1"/>
  <c r="D52" i="1"/>
  <c r="D53" i="1"/>
  <c r="D54" i="1"/>
  <c r="D55" i="1"/>
  <c r="D56" i="1"/>
  <c r="D57" i="1"/>
  <c r="D58" i="1"/>
  <c r="D59" i="1"/>
  <c r="D60" i="1"/>
  <c r="D61" i="1"/>
  <c r="D39" i="1"/>
  <c r="D40" i="1"/>
  <c r="D41" i="1"/>
  <c r="D42" i="1"/>
  <c r="D43" i="1"/>
  <c r="D44" i="1"/>
  <c r="D45" i="1"/>
  <c r="D46" i="1"/>
  <c r="D47" i="1"/>
  <c r="D48" i="1"/>
  <c r="D9" i="1"/>
  <c r="D10" i="1"/>
  <c r="D11" i="1"/>
  <c r="D12" i="1"/>
  <c r="D8" i="4"/>
  <c r="D9" i="4"/>
  <c r="D7" i="4"/>
  <c r="D6" i="4"/>
  <c r="D4" i="4"/>
  <c r="D3" i="4"/>
  <c r="D2" i="4"/>
  <c r="D3" i="1"/>
  <c r="D4" i="1"/>
  <c r="D5" i="1"/>
  <c r="D6" i="1"/>
  <c r="D7" i="1"/>
  <c r="D8" i="1"/>
  <c r="L2" i="1"/>
  <c r="L4" i="1"/>
  <c r="L5" i="1"/>
  <c r="L6" i="1"/>
  <c r="M6" i="1"/>
  <c r="L7" i="1"/>
  <c r="M5" i="1"/>
  <c r="M4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tc={0BC421E2-00D9-4D36-ADCE-C4FA2AE3257A}</author>
    <author>tc={7E520554-AD81-42CF-B822-79FFA655B474}</author>
  </authors>
  <commentList>
    <comment ref="I12" authorId="0" shapeId="0" xr:uid="{0BC421E2-00D9-4D36-ADCE-C4FA2AE3257A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from random errors/deviation of A1, A2, A3</t>
      </text>
    </comment>
    <comment ref="J12" authorId="1" shapeId="0" xr:uid="{7E520554-AD81-42CF-B822-79FFA655B474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is unknown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tc={1DC3765F-D6BF-4F57-ABB9-6A5F63AF252B}</author>
  </authors>
  <commentList>
    <comment ref="K1" authorId="0" shapeId="0" xr:uid="{1DC3765F-D6BF-4F57-ABB9-6A5F63AF252B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calculated from implied error in Column 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tc={86E6FF29-468D-43A9-8876-243D17E5D807}</author>
    <author>tc={8B251741-E6F7-4C07-B0C3-DD35F0BFCC9D}</author>
  </authors>
  <commentList>
    <comment ref="H1" authorId="0" shapeId="0" xr:uid="{86E6FF29-468D-43A9-8876-243D17E5D807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calculated from implied resolution in column G</t>
      </text>
    </comment>
    <comment ref="J1" authorId="1" shapeId="0" xr:uid="{8B251741-E6F7-4C07-B0C3-DD35F0BFCC9D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Calculated from implied resolution of Column B</t>
      </text>
    </comment>
  </commentList>
</comments>
</file>

<file path=xl/sharedStrings.xml><?xml version="1.0" encoding="utf-8"?>
<sst xmlns="http://schemas.openxmlformats.org/spreadsheetml/2006/main" count="212" uniqueCount="97">
  <si>
    <t>Lead 1</t>
  </si>
  <si>
    <t>Avg Results</t>
  </si>
  <si>
    <t>Resistance (mOhms)</t>
  </si>
  <si>
    <t>R using DMM (mOhms)</t>
  </si>
  <si>
    <t>Sno.</t>
  </si>
  <si>
    <t>Voltage (V)</t>
  </si>
  <si>
    <t>Current  (A)</t>
  </si>
  <si>
    <t>Voltage (V)2</t>
  </si>
  <si>
    <t>Voltage (V)3</t>
  </si>
  <si>
    <t>Voltage (V)4</t>
  </si>
  <si>
    <t>Voltage (V)5</t>
  </si>
  <si>
    <t>Avg</t>
  </si>
  <si>
    <t>Overall Avg</t>
  </si>
  <si>
    <t>Lead 2</t>
  </si>
  <si>
    <t>Resistance (mOhms)2</t>
  </si>
  <si>
    <t>Resistance (mOhms)22</t>
  </si>
  <si>
    <t>Resistance (mOhms)23</t>
  </si>
  <si>
    <t>Resistance (mOhms)24</t>
  </si>
  <si>
    <t>Lead 3</t>
  </si>
  <si>
    <t>Lead 4</t>
  </si>
  <si>
    <t>Current (A)</t>
  </si>
  <si>
    <t>Resistance in leads (mOhms)</t>
  </si>
  <si>
    <t>Voltage at motor (V)</t>
  </si>
  <si>
    <t>V</t>
  </si>
  <si>
    <t>A1</t>
  </si>
  <si>
    <t>A2</t>
  </si>
  <si>
    <t>A3</t>
  </si>
  <si>
    <t>error in current</t>
  </si>
  <si>
    <t>error in voltage</t>
  </si>
  <si>
    <t>Max gradient</t>
  </si>
  <si>
    <t>Min gradient</t>
  </si>
  <si>
    <t>Voltage</t>
  </si>
  <si>
    <t>I</t>
  </si>
  <si>
    <t>Equation:</t>
  </si>
  <si>
    <t>V = IR + Vb</t>
  </si>
  <si>
    <t>Gradient (motor resistance)</t>
  </si>
  <si>
    <t>2.16 ohms</t>
  </si>
  <si>
    <t>5 - I*Rl - Vb - I*R</t>
  </si>
  <si>
    <t>y intercept (brush drop Vb)</t>
  </si>
  <si>
    <t>0.14 volts</t>
  </si>
  <si>
    <t>Sno</t>
  </si>
  <si>
    <t>Motor current (A)</t>
  </si>
  <si>
    <t>F1 (g)</t>
  </si>
  <si>
    <t>F2 (g)</t>
  </si>
  <si>
    <t>Column2</t>
  </si>
  <si>
    <t>Voltage at the motor (V)</t>
  </si>
  <si>
    <t>Motor speed (rpm)</t>
  </si>
  <si>
    <t>Column3</t>
  </si>
  <si>
    <t>Torque (Nm)</t>
  </si>
  <si>
    <t>Motor emf (V)</t>
  </si>
  <si>
    <t>Error in Torque</t>
  </si>
  <si>
    <t>Column1</t>
  </si>
  <si>
    <t>Diameter D (mm)</t>
  </si>
  <si>
    <t>Motor Voltage (V)</t>
  </si>
  <si>
    <t>Motor EMF (V)</t>
  </si>
  <si>
    <t>Grams</t>
  </si>
  <si>
    <t>Kt (gradient) =</t>
  </si>
  <si>
    <t>back emf</t>
    <phoneticPr fontId="0" type="noConversion"/>
  </si>
  <si>
    <t>5-I*R</t>
    <phoneticPr fontId="0" type="noConversion"/>
  </si>
  <si>
    <t xml:space="preserve">Maximum Stall Torque (y intercept) = </t>
  </si>
  <si>
    <t>Flat Surface</t>
  </si>
  <si>
    <t>Inclined Surface</t>
  </si>
  <si>
    <t>Mass (g)</t>
  </si>
  <si>
    <t>Weight (N)</t>
  </si>
  <si>
    <t>Force (N)</t>
  </si>
  <si>
    <t>Static friction (N)</t>
  </si>
  <si>
    <t>Rolling friction (N)</t>
  </si>
  <si>
    <t>Diameter of drive wheels (mm)</t>
  </si>
  <si>
    <t>Ideal</t>
  </si>
  <si>
    <t>85% efficient per stage</t>
  </si>
  <si>
    <t>Gearbox 1:</t>
  </si>
  <si>
    <t xml:space="preserve">Tout = </t>
  </si>
  <si>
    <t>12*Tin</t>
  </si>
  <si>
    <t>8.67*Tin</t>
  </si>
  <si>
    <t>Gearbox 2:</t>
  </si>
  <si>
    <t>15*Tin</t>
  </si>
  <si>
    <t>10.8375*Tin</t>
  </si>
  <si>
    <t>Gearbox 3:</t>
  </si>
  <si>
    <t>Tout =</t>
  </si>
  <si>
    <t>18.75*Tin</t>
  </si>
  <si>
    <t>13.546875*Tin</t>
  </si>
  <si>
    <t>T=Fr</t>
  </si>
  <si>
    <t>Error in Torque (Nm)</t>
  </si>
  <si>
    <t>Error in emf (V)</t>
  </si>
  <si>
    <t>Error in Current (A)</t>
  </si>
  <si>
    <t>Motor Current (A)</t>
  </si>
  <si>
    <t>Motor speed (RPM)</t>
  </si>
  <si>
    <t>y = 2.6833x + 0.315</t>
  </si>
  <si>
    <t>2.6833 ohms</t>
  </si>
  <si>
    <t>0.315 volts</t>
  </si>
  <si>
    <t>Resistive forces (g)</t>
  </si>
  <si>
    <t>Motor Speed (RPM)</t>
  </si>
  <si>
    <t>Axle Speed (RPM)</t>
  </si>
  <si>
    <t>Buggy speed (mm/min)</t>
  </si>
  <si>
    <t>Buggy Speed (m/s)</t>
  </si>
  <si>
    <t>Level</t>
  </si>
  <si>
    <t>Incline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</si>
</sst>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0" xfId="0" applyFont="1"/>
    <xf numFmtId="0" fontId="3" fillId="0" borderId="0" xfId="0" applyFont="1" applyAlignment="1">
      <alignment horizontal="left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0" fillId="5" borderId="7" xfId="0" applyFill="1" applyBorder="1"/>
    <xf numFmtId="0" fontId="0" fillId="0" borderId="7" xfId="0" applyBorder="1"/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7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57099999999999995"/>
            <c:dispRSqr val="0"/>
            <c:dispEq val="1"/>
            <c:trendlineLbl>
              <c:layout>
                <c:manualLayout>
                  <c:x val="-0.32535580939706482"/>
                  <c:y val="0.12307869411060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2.1586x + 0.1441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'8.3'!$I$14:$I$21</c:f>
                <c:numCache>
                  <c:formatCode>General</c:formatCode>
                  <c:ptCount val="8"/>
                  <c:pt idx="0">
                    <c:v>4.3499999999999983E-2</c:v>
                  </c:pt>
                  <c:pt idx="1">
                    <c:v>4.5999999999999985E-2</c:v>
                  </c:pt>
                  <c:pt idx="2">
                    <c:v>2.6000000000000023E-2</c:v>
                  </c:pt>
                  <c:pt idx="3">
                    <c:v>1.8500000000000016E-2</c:v>
                  </c:pt>
                  <c:pt idx="4">
                    <c:v>5.5000000000000049E-3</c:v>
                  </c:pt>
                  <c:pt idx="5">
                    <c:v>3.6500000000000088E-2</c:v>
                  </c:pt>
                  <c:pt idx="6">
                    <c:v>2.8000000000000025E-2</c:v>
                  </c:pt>
                  <c:pt idx="7">
                    <c:v>3.0000000000000027E-2</c:v>
                  </c:pt>
                </c:numCache>
              </c:numRef>
            </c:plus>
            <c:minus>
              <c:numRef>
                <c:f>'8.3'!$I$14:$I$21</c:f>
                <c:numCache>
                  <c:formatCode>General</c:formatCode>
                  <c:ptCount val="8"/>
                  <c:pt idx="0">
                    <c:v>4.3499999999999983E-2</c:v>
                  </c:pt>
                  <c:pt idx="1">
                    <c:v>4.5999999999999985E-2</c:v>
                  </c:pt>
                  <c:pt idx="2">
                    <c:v>2.6000000000000023E-2</c:v>
                  </c:pt>
                  <c:pt idx="3">
                    <c:v>1.8500000000000016E-2</c:v>
                  </c:pt>
                  <c:pt idx="4">
                    <c:v>5.5000000000000049E-3</c:v>
                  </c:pt>
                  <c:pt idx="5">
                    <c:v>3.6500000000000088E-2</c:v>
                  </c:pt>
                  <c:pt idx="6">
                    <c:v>2.8000000000000025E-2</c:v>
                  </c:pt>
                  <c:pt idx="7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'8.3'!$J$14:$J$21</c:f>
                <c:numCache>
                  <c:formatCode>General</c:formatCode>
                  <c:ptCount val="8"/>
                </c:numCache>
              </c:numRef>
            </c:plus>
            <c:minus>
              <c:numRef>
                <c:f>'8.3'!$J$14:$J$21</c:f>
                <c:numCache>
                  <c:formatCode>General</c:formatCode>
                  <c:ptCount val="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'8.3'!$G$14:$G$21</c:f>
              <c:numCache>
                <c:formatCode>General</c:formatCode>
                <c:ptCount val="8"/>
                <c:pt idx="0">
                  <c:v>0.57100000000000006</c:v>
                </c:pt>
                <c:pt idx="1">
                  <c:v>0.66</c:v>
                </c:pt>
                <c:pt idx="2">
                  <c:v>0.73324999999999996</c:v>
                </c:pt>
                <c:pt idx="3">
                  <c:v>0.8274999999999999</c:v>
                </c:pt>
                <c:pt idx="4">
                  <c:v>0.91700000000000004</c:v>
                </c:pt>
                <c:pt idx="5">
                  <c:v>1.0255000000000001</c:v>
                </c:pt>
                <c:pt idx="6">
                  <c:v>1.23875</c:v>
                </c:pt>
                <c:pt idx="7">
                  <c:v>1.3687499999999999</c:v>
                </c:pt>
              </c:numCache>
            </c:numRef>
          </c:xVal>
          <c:yVal>
            <c:numRef>
              <c:f>'8.3'!$H$14:$H$21</c:f>
              <c:numCache>
                <c:formatCode>General</c:formatCode>
                <c:ptCount val="8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6-49BB-B9E4-609E28F8CFBA}"/>
            </c:ext>
          </c:extLst>
        </c:ser>
        <c:ser>
          <c:idx val="1"/>
          <c:order val="1"/>
          <c:tx>
            <c:v>Max gradient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0.58450000000000002"/>
            <c:dispRSqr val="0"/>
            <c:dispEq val="1"/>
            <c:trendlineLbl>
              <c:layout>
                <c:manualLayout>
                  <c:x val="-2.6572852102407386E-2"/>
                  <c:y val="9.714048901782014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2.8505x - 0.6161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'8.3'!$J$25:$J$26</c:f>
              <c:numCache>
                <c:formatCode>General</c:formatCode>
                <c:ptCount val="2"/>
                <c:pt idx="0">
                  <c:v>0.58450000000000002</c:v>
                </c:pt>
                <c:pt idx="1">
                  <c:v>1.3387500000000001</c:v>
                </c:pt>
              </c:numCache>
            </c:numRef>
          </c:xVal>
          <c:yVal>
            <c:numRef>
              <c:f>'8.3'!$I$25:$I$26</c:f>
              <c:numCache>
                <c:formatCode>General</c:formatCode>
                <c:ptCount val="2"/>
                <c:pt idx="0">
                  <c:v>1.25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9-4C6D-A22C-5B304017583B}"/>
            </c:ext>
          </c:extLst>
        </c:ser>
        <c:ser>
          <c:idx val="2"/>
          <c:order val="2"/>
          <c:tx>
            <c:v>Min gradient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backward val="0.52749999999999997"/>
            <c:dispRSqr val="0"/>
            <c:dispEq val="1"/>
            <c:trendlineLbl>
              <c:layout>
                <c:manualLayout>
                  <c:x val="3.0311140684879178E-2"/>
                  <c:y val="0.115638670166229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y = 1.5495x + 0.6326</a:t>
                    </a:r>
                    <a:endParaRPr lang="en-US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'8.3'!$M$25:$M$26</c:f>
              <c:numCache>
                <c:formatCode>General</c:formatCode>
                <c:ptCount val="2"/>
                <c:pt idx="0">
                  <c:v>0.52749999999999997</c:v>
                </c:pt>
                <c:pt idx="1">
                  <c:v>1.4</c:v>
                </c:pt>
              </c:numCache>
            </c:numRef>
          </c:xVal>
          <c:yVal>
            <c:numRef>
              <c:f>'8.3'!$L$25:$L$26</c:f>
              <c:numCache>
                <c:formatCode>General</c:formatCode>
                <c:ptCount val="2"/>
                <c:pt idx="0">
                  <c:v>1.25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9-4C6D-A22C-5B304017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05288"/>
        <c:axId val="1255907336"/>
      </c:scatterChart>
      <c:valAx>
        <c:axId val="12559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07336"/>
        <c:crosses val="autoZero"/>
        <c:crossBetween val="midCat"/>
      </c:valAx>
      <c:valAx>
        <c:axId val="12559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6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5.000000000000001E-2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'8.4'!$K$3:$K$11</c:f>
                <c:numCache>
                  <c:formatCode>General</c:formatCode>
                  <c:ptCount val="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</c:numCache>
              </c:numRef>
            </c:plus>
            <c:minus>
              <c:numRef>
                <c:f>'8.4'!$K$3:$K$11</c:f>
                <c:numCache>
                  <c:formatCode>General</c:formatCode>
                  <c:ptCount val="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'8.4'!$B$3:$B$11</c:f>
              <c:numCache>
                <c:formatCode>General</c:formatCode>
                <c:ptCount val="9"/>
                <c:pt idx="0">
                  <c:v>1.45</c:v>
                </c:pt>
                <c:pt idx="1">
                  <c:v>1.3480000000000001</c:v>
                </c:pt>
                <c:pt idx="2">
                  <c:v>1.25</c:v>
                </c:pt>
                <c:pt idx="3">
                  <c:v>1.155</c:v>
                </c:pt>
                <c:pt idx="4">
                  <c:v>1.05</c:v>
                </c:pt>
                <c:pt idx="5">
                  <c:v>0.95</c:v>
                </c:pt>
                <c:pt idx="6">
                  <c:v>0.85</c:v>
                </c:pt>
                <c:pt idx="7">
                  <c:v>0.75</c:v>
                </c:pt>
                <c:pt idx="8">
                  <c:v>0.65</c:v>
                </c:pt>
              </c:numCache>
            </c:numRef>
          </c:xVal>
          <c:yVal>
            <c:numRef>
              <c:f>'8.4'!$I$3:$I$11</c:f>
              <c:numCache>
                <c:formatCode>General</c:formatCode>
                <c:ptCount val="9"/>
                <c:pt idx="0">
                  <c:v>0.01</c:v>
                </c:pt>
                <c:pt idx="1">
                  <c:v>9.0000000000000011E-3</c:v>
                </c:pt>
                <c:pt idx="2">
                  <c:v>8.7500000000000008E-3</c:v>
                </c:pt>
                <c:pt idx="3">
                  <c:v>7.2499999999999995E-3</c:v>
                </c:pt>
                <c:pt idx="4">
                  <c:v>6.7500000000000008E-3</c:v>
                </c:pt>
                <c:pt idx="5">
                  <c:v>6.000000000000001E-3</c:v>
                </c:pt>
                <c:pt idx="6">
                  <c:v>5.2500000000000003E-3</c:v>
                </c:pt>
                <c:pt idx="7">
                  <c:v>4.9500000000000004E-3</c:v>
                </c:pt>
                <c:pt idx="8">
                  <c:v>4.0500000000000006E-3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E-4267-AFC7-28F38A08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39368"/>
        <c:axId val="1753041416"/>
      </c:scatterChart>
      <c:valAx>
        <c:axId val="17530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41416"/>
        <c:crosses val="autoZero"/>
        <c:crossBetween val="midCat"/>
      </c:valAx>
      <c:valAx>
        <c:axId val="17530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3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8.4 Torque against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150"/>
            <c:backward val="1836"/>
            <c:dispRSqr val="0"/>
            <c:dispEq val="1"/>
            <c:trendlineLbl>
              <c:layout>
                <c:manualLayout>
                  <c:x val="3.9416186720735817E-2"/>
                  <c:y val="-0.20002420813903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'8.4'!$K$3:$K$11</c:f>
                <c:numCache>
                  <c:formatCode>General</c:formatCode>
                  <c:ptCount val="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</c:numCache>
              </c:numRef>
            </c:plus>
            <c:minus>
              <c:numRef>
                <c:f>'8.4'!$K$3:$K$11</c:f>
                <c:numCache>
                  <c:formatCode>General</c:formatCode>
                  <c:ptCount val="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'8.4'!$G$3:$G$11</c:f>
              <c:numCache>
                <c:formatCode>General</c:formatCode>
                <c:ptCount val="9"/>
                <c:pt idx="0">
                  <c:v>1836</c:v>
                </c:pt>
                <c:pt idx="1">
                  <c:v>1995</c:v>
                </c:pt>
                <c:pt idx="2">
                  <c:v>2150</c:v>
                </c:pt>
                <c:pt idx="3">
                  <c:v>2358</c:v>
                </c:pt>
                <c:pt idx="4">
                  <c:v>2703</c:v>
                </c:pt>
                <c:pt idx="5">
                  <c:v>2848</c:v>
                </c:pt>
                <c:pt idx="6">
                  <c:v>3065</c:v>
                </c:pt>
                <c:pt idx="7">
                  <c:v>3334</c:v>
                </c:pt>
                <c:pt idx="8">
                  <c:v>3660</c:v>
                </c:pt>
              </c:numCache>
            </c:numRef>
          </c:xVal>
          <c:yVal>
            <c:numRef>
              <c:f>'8.4'!$I$3:$I$11</c:f>
              <c:numCache>
                <c:formatCode>General</c:formatCode>
                <c:ptCount val="9"/>
                <c:pt idx="0">
                  <c:v>0.01</c:v>
                </c:pt>
                <c:pt idx="1">
                  <c:v>9.0000000000000011E-3</c:v>
                </c:pt>
                <c:pt idx="2">
                  <c:v>8.7500000000000008E-3</c:v>
                </c:pt>
                <c:pt idx="3">
                  <c:v>7.2499999999999995E-3</c:v>
                </c:pt>
                <c:pt idx="4">
                  <c:v>6.7500000000000008E-3</c:v>
                </c:pt>
                <c:pt idx="5">
                  <c:v>6.000000000000001E-3</c:v>
                </c:pt>
                <c:pt idx="6">
                  <c:v>5.2500000000000003E-3</c:v>
                </c:pt>
                <c:pt idx="7">
                  <c:v>4.9500000000000004E-3</c:v>
                </c:pt>
                <c:pt idx="8">
                  <c:v>4.0500000000000006E-3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4DC3-A0EB-460EF72B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39368"/>
        <c:axId val="1753041416"/>
      </c:scatterChart>
      <c:valAx>
        <c:axId val="17530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41416"/>
        <c:crosses val="autoZero"/>
        <c:crossBetween val="midCat"/>
      </c:valAx>
      <c:valAx>
        <c:axId val="17530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3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'8.4'!$E$2:$E$11</c:f>
              <c:numCache>
                <c:formatCode>General</c:formatCode>
                <c:ptCount val="10"/>
                <c:pt idx="0">
                  <c:v>304</c:v>
                </c:pt>
                <c:pt idx="1">
                  <c:v>250</c:v>
                </c:pt>
                <c:pt idx="2">
                  <c:v>240</c:v>
                </c:pt>
                <c:pt idx="3">
                  <c:v>225</c:v>
                </c:pt>
                <c:pt idx="4">
                  <c:v>195</c:v>
                </c:pt>
                <c:pt idx="5">
                  <c:v>175</c:v>
                </c:pt>
                <c:pt idx="6">
                  <c:v>150</c:v>
                </c:pt>
                <c:pt idx="7">
                  <c:v>135</c:v>
                </c:pt>
                <c:pt idx="8">
                  <c:v>121</c:v>
                </c:pt>
                <c:pt idx="9">
                  <c:v>99</c:v>
                </c:pt>
              </c:numCache>
            </c:numRef>
          </c:xVal>
          <c:yVal>
            <c:numRef>
              <c:f>'8.4'!$G$2:$G$11</c:f>
              <c:numCache>
                <c:formatCode>General</c:formatCode>
                <c:ptCount val="10"/>
                <c:pt idx="0">
                  <c:v>1272</c:v>
                </c:pt>
                <c:pt idx="1">
                  <c:v>1836</c:v>
                </c:pt>
                <c:pt idx="2">
                  <c:v>1995</c:v>
                </c:pt>
                <c:pt idx="3">
                  <c:v>2150</c:v>
                </c:pt>
                <c:pt idx="4">
                  <c:v>2358</c:v>
                </c:pt>
                <c:pt idx="5">
                  <c:v>2703</c:v>
                </c:pt>
                <c:pt idx="6">
                  <c:v>2848</c:v>
                </c:pt>
                <c:pt idx="7">
                  <c:v>3065</c:v>
                </c:pt>
                <c:pt idx="8">
                  <c:v>3334</c:v>
                </c:pt>
                <c:pt idx="9">
                  <c:v>3660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8-4798-BBC0-D28D8F89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19247"/>
        <c:axId val="812807999"/>
      </c:scatterChart>
      <c:valAx>
        <c:axId val="5148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Resistive Forces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07999"/>
        <c:crosses val="autoZero"/>
        <c:crossBetween val="midCat"/>
      </c:valAx>
      <c:valAx>
        <c:axId val="8128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</a:t>
                </a:r>
                <a:r>
                  <a:rPr lang="en-GB" baseline="0"/>
                  <a:t> Speed (rpm)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92.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'8.4'!$H$3:$H$11</c:f>
              <c:numCache>
                <c:formatCode>General</c:formatCode>
                <c:ptCount val="9"/>
                <c:pt idx="0">
                  <c:v>192.26547039969532</c:v>
                </c:pt>
                <c:pt idx="1">
                  <c:v>208.91591146372124</c:v>
                </c:pt>
                <c:pt idx="2">
                  <c:v>225.1474735072685</c:v>
                </c:pt>
                <c:pt idx="3">
                  <c:v>246.92918257215771</c:v>
                </c:pt>
                <c:pt idx="4">
                  <c:v>283.05749808844035</c:v>
                </c:pt>
                <c:pt idx="5">
                  <c:v>298.24186258079101</c:v>
                </c:pt>
                <c:pt idx="6">
                  <c:v>320.96604944175721</c:v>
                </c:pt>
                <c:pt idx="7">
                  <c:v>349.13566356894563</c:v>
                </c:pt>
                <c:pt idx="8">
                  <c:v>383.27430373795477</c:v>
                </c:pt>
              </c:numCache>
            </c:numRef>
          </c:xVal>
          <c:yVal>
            <c:numRef>
              <c:f>'8.4'!$J$3:$J$11</c:f>
              <c:numCache>
                <c:formatCode>General</c:formatCode>
                <c:ptCount val="9"/>
                <c:pt idx="0">
                  <c:v>1.58155</c:v>
                </c:pt>
                <c:pt idx="1">
                  <c:v>1.8121719999999994</c:v>
                </c:pt>
                <c:pt idx="2">
                  <c:v>2.0337499999999999</c:v>
                </c:pt>
                <c:pt idx="3">
                  <c:v>2.2485449999999996</c:v>
                </c:pt>
                <c:pt idx="4">
                  <c:v>2.4859499999999994</c:v>
                </c:pt>
                <c:pt idx="5">
                  <c:v>2.7120500000000001</c:v>
                </c:pt>
                <c:pt idx="6">
                  <c:v>2.9381499999999998</c:v>
                </c:pt>
                <c:pt idx="7">
                  <c:v>3.16425</c:v>
                </c:pt>
                <c:pt idx="8">
                  <c:v>3.3903499999999998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DD-4601-8976-C246C831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251527"/>
        <c:axId val="1926253575"/>
      </c:scatterChart>
      <c:valAx>
        <c:axId val="1926251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53575"/>
        <c:crosses val="autoZero"/>
        <c:crossBetween val="midCat"/>
      </c:valAx>
      <c:valAx>
        <c:axId val="1926253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Back Emf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51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8.5 Torque against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2330000000000000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'8.5'!$J$2:$J$8</c:f>
                <c:numCache>
                  <c:formatCode>General</c:formatCode>
                  <c:ptCount val="7"/>
                  <c:pt idx="0">
                    <c:v>5.0000000000000001E-4</c:v>
                  </c:pt>
                  <c:pt idx="1">
                    <c:v>5.0000000000000001E-4</c:v>
                  </c:pt>
                  <c:pt idx="2">
                    <c:v>5.0000000000000001E-4</c:v>
                  </c:pt>
                  <c:pt idx="3">
                    <c:v>5.0000000000000001E-4</c:v>
                  </c:pt>
                  <c:pt idx="4">
                    <c:v>5.0000000000000001E-4</c:v>
                  </c:pt>
                  <c:pt idx="5">
                    <c:v>5.0000000000000001E-4</c:v>
                  </c:pt>
                  <c:pt idx="6">
                    <c:v>5.0000000000000001E-4</c:v>
                  </c:pt>
                </c:numCache>
              </c:numRef>
            </c:plus>
            <c:minus>
              <c:numRef>
                <c:f>'8.5'!$J$2:$J$8</c:f>
                <c:numCache>
                  <c:formatCode>General</c:formatCode>
                  <c:ptCount val="7"/>
                  <c:pt idx="0">
                    <c:v>5.0000000000000001E-4</c:v>
                  </c:pt>
                  <c:pt idx="1">
                    <c:v>5.0000000000000001E-4</c:v>
                  </c:pt>
                  <c:pt idx="2">
                    <c:v>5.0000000000000001E-4</c:v>
                  </c:pt>
                  <c:pt idx="3">
                    <c:v>5.0000000000000001E-4</c:v>
                  </c:pt>
                  <c:pt idx="4">
                    <c:v>5.0000000000000001E-4</c:v>
                  </c:pt>
                  <c:pt idx="5">
                    <c:v>5.0000000000000001E-4</c:v>
                  </c:pt>
                  <c:pt idx="6">
                    <c:v>5.0000000000000001E-4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'8.5'!$H$2:$H$8</c:f>
                <c:numCache>
                  <c:formatCode>General</c:formatCode>
                  <c:ptCount val="7"/>
                  <c:pt idx="0">
                    <c:v>5.0000000000000001E-4</c:v>
                  </c:pt>
                  <c:pt idx="1">
                    <c:v>5.0000000000000001E-4</c:v>
                  </c:pt>
                  <c:pt idx="2">
                    <c:v>5.0000000000000001E-4</c:v>
                  </c:pt>
                  <c:pt idx="3">
                    <c:v>5.0000000000000001E-4</c:v>
                  </c:pt>
                  <c:pt idx="4">
                    <c:v>5.0000000000000001E-4</c:v>
                  </c:pt>
                  <c:pt idx="5">
                    <c:v>5.0000000000000001E-4</c:v>
                  </c:pt>
                  <c:pt idx="6">
                    <c:v>5.0000000000000001E-4</c:v>
                  </c:pt>
                </c:numCache>
              </c:numRef>
            </c:plus>
            <c:minus>
              <c:numRef>
                <c:f>'8.5'!$H$2:$H$8</c:f>
                <c:numCache>
                  <c:formatCode>General</c:formatCode>
                  <c:ptCount val="7"/>
                  <c:pt idx="0">
                    <c:v>5.0000000000000001E-4</c:v>
                  </c:pt>
                  <c:pt idx="1">
                    <c:v>5.0000000000000001E-4</c:v>
                  </c:pt>
                  <c:pt idx="2">
                    <c:v>5.0000000000000001E-4</c:v>
                  </c:pt>
                  <c:pt idx="3">
                    <c:v>5.0000000000000001E-4</c:v>
                  </c:pt>
                  <c:pt idx="4">
                    <c:v>5.0000000000000001E-4</c:v>
                  </c:pt>
                  <c:pt idx="5">
                    <c:v>5.0000000000000001E-4</c:v>
                  </c:pt>
                  <c:pt idx="6">
                    <c:v>5.0000000000000001E-4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'8.5'!$B$2:$B$8</c:f>
              <c:numCache>
                <c:formatCode>General</c:formatCode>
                <c:ptCount val="7"/>
                <c:pt idx="0">
                  <c:v>0.23300000000000001</c:v>
                </c:pt>
                <c:pt idx="1">
                  <c:v>0.39</c:v>
                </c:pt>
                <c:pt idx="2">
                  <c:v>0.68500000000000005</c:v>
                </c:pt>
                <c:pt idx="3">
                  <c:v>0.94599999999999995</c:v>
                </c:pt>
                <c:pt idx="4">
                  <c:v>0.97</c:v>
                </c:pt>
                <c:pt idx="5">
                  <c:v>1.1910000000000001</c:v>
                </c:pt>
                <c:pt idx="6">
                  <c:v>1.2849999999999999</c:v>
                </c:pt>
              </c:numCache>
            </c:numRef>
          </c:xVal>
          <c:yVal>
            <c:numRef>
              <c:f>'8.5'!$F$2:$F$8</c:f>
              <c:numCache>
                <c:formatCode>General</c:formatCode>
                <c:ptCount val="7"/>
                <c:pt idx="0">
                  <c:v>1.5E-3</c:v>
                </c:pt>
                <c:pt idx="1">
                  <c:v>2.5000000000000005E-3</c:v>
                </c:pt>
                <c:pt idx="2">
                  <c:v>3.4999999999999996E-3</c:v>
                </c:pt>
                <c:pt idx="3">
                  <c:v>6.2500000000000012E-3</c:v>
                </c:pt>
                <c:pt idx="4">
                  <c:v>6.2500000000000003E-3</c:v>
                </c:pt>
                <c:pt idx="5">
                  <c:v>7.2499999999999995E-3</c:v>
                </c:pt>
                <c:pt idx="6">
                  <c:v>8.0000000000000019E-3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7-4FC2-870E-B155E2870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19335"/>
        <c:axId val="1582306824"/>
      </c:scatterChart>
      <c:valAx>
        <c:axId val="1795619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6824"/>
        <c:crosses val="autoZero"/>
        <c:crossBetween val="midCat"/>
      </c:valAx>
      <c:valAx>
        <c:axId val="15823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19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8.5 Motor Voltage against current</a:t>
            </a:r>
          </a:p>
        </c:rich>
      </c:tx>
      <c:layout>
        <c:manualLayout>
          <c:xMode val="edge"/>
          <c:yMode val="edge"/>
          <c:x val="0.34398296914534859"/>
          <c:y val="1.6736401673640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2330000000000000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'8.5'!$B$2:$B$9</c:f>
              <c:numCache>
                <c:formatCode>General</c:formatCode>
                <c:ptCount val="8"/>
                <c:pt idx="0">
                  <c:v>0.23300000000000001</c:v>
                </c:pt>
                <c:pt idx="1">
                  <c:v>0.39</c:v>
                </c:pt>
                <c:pt idx="2">
                  <c:v>0.68500000000000005</c:v>
                </c:pt>
                <c:pt idx="3">
                  <c:v>0.94599999999999995</c:v>
                </c:pt>
                <c:pt idx="4">
                  <c:v>0.97</c:v>
                </c:pt>
                <c:pt idx="5">
                  <c:v>1.1910000000000001</c:v>
                </c:pt>
                <c:pt idx="6">
                  <c:v>1.2849999999999999</c:v>
                </c:pt>
              </c:numCache>
            </c:numRef>
          </c:xVal>
          <c:yVal>
            <c:numRef>
              <c:f>'8.5'!$G$2:$G$9</c:f>
              <c:numCache>
                <c:formatCode>General</c:formatCode>
                <c:ptCount val="8"/>
                <c:pt idx="0">
                  <c:v>0.97699999999999998</c:v>
                </c:pt>
                <c:pt idx="1">
                  <c:v>1.4630000000000001</c:v>
                </c:pt>
                <c:pt idx="2">
                  <c:v>1.9370000000000001</c:v>
                </c:pt>
                <c:pt idx="3">
                  <c:v>2.41</c:v>
                </c:pt>
                <c:pt idx="4">
                  <c:v>2.911</c:v>
                </c:pt>
                <c:pt idx="5">
                  <c:v>3.3879999999999999</c:v>
                </c:pt>
                <c:pt idx="6">
                  <c:v>3.8769999999999998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E-479C-B7BB-4D0D23E9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19335"/>
        <c:axId val="1582306824"/>
      </c:scatterChart>
      <c:valAx>
        <c:axId val="1795619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>
                <a:alpha val="94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6824"/>
        <c:crosses val="autoZero"/>
        <c:crossBetween val="midCat"/>
      </c:valAx>
      <c:valAx>
        <c:axId val="15823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19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</xdr:row>
      <xdr:rowOff>32385</xdr:rowOff>
    </xdr:from>
    <xdr:to>
      <xdr:col>23</xdr:col>
      <xdr:colOff>219075</xdr:colOff>
      <xdr:row>23</xdr:row>
      <xdr:rowOff>175260</xdr:rowOff>
    </xdr:to>
    <xdr:graphicFrame macro="">
      <xdr:nvGraphicFramePr>
        <xdr:cNvPr id="60" name="Chart 6">
          <a:extLst>
            <a:ext uri="{FF2B5EF4-FFF2-40B4-BE49-F238E27FC236}">
              <a16:creationId xmlns:a16="http://schemas.microsoft.com/office/drawing/2014/main" id="{93626EA7-CAD6-82F2-9791-C5D77C2103BF}"/>
            </a:ext>
            <a:ext uri="{147F2762-F138-4A5C-976F-8EAC2B608ADB}">
              <a16:predDERef xmlns:a16="http://schemas.microsoft.com/office/drawing/2014/main" pred="{50829BF7-844D-A7DF-892E-3583490E7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161925</xdr:rowOff>
    </xdr:from>
    <xdr:to>
      <xdr:col>5</xdr:col>
      <xdr:colOff>1533525</xdr:colOff>
      <xdr:row>34</xdr:row>
      <xdr:rowOff>85725</xdr:rowOff>
    </xdr:to>
    <xdr:graphicFrame macro="">
      <xdr:nvGraphicFramePr>
        <xdr:cNvPr id="61" name="Chart 5">
          <a:extLst>
            <a:ext uri="{FF2B5EF4-FFF2-40B4-BE49-F238E27FC236}">
              <a16:creationId xmlns:a16="http://schemas.microsoft.com/office/drawing/2014/main" id="{08A6231C-83FE-2BDC-88BD-32A9BAD70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37</xdr:row>
      <xdr:rowOff>123825</xdr:rowOff>
    </xdr:from>
    <xdr:to>
      <xdr:col>7</xdr:col>
      <xdr:colOff>152400</xdr:colOff>
      <xdr:row>58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D0C937-E32F-4846-9D45-47A9B0D6F3D6}"/>
            </a:ext>
            <a:ext uri="{147F2762-F138-4A5C-976F-8EAC2B608ADB}">
              <a16:predDERef xmlns:a16="http://schemas.microsoft.com/office/drawing/2014/main" pred="{08A6231C-83FE-2BDC-88BD-32A9BAD70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434975</xdr:colOff>
      <xdr:row>16</xdr:row>
      <xdr:rowOff>66675</xdr:rowOff>
    </xdr:from>
    <xdr:to>
      <xdr:col>13</xdr:col>
      <xdr:colOff>631825</xdr:colOff>
      <xdr:row>31</xdr:row>
      <xdr:rowOff>47625</xdr:rowOff>
    </xdr:to>
    <xdr:graphicFrame macro="">
      <xdr:nvGraphicFramePr>
        <xdr:cNvPr id="62" name="Chart 2">
          <a:extLst>
            <a:ext uri="{FF2B5EF4-FFF2-40B4-BE49-F238E27FC236}">
              <a16:creationId xmlns:a16="http://schemas.microsoft.com/office/drawing/2014/main" id="{C3B2FAF4-4E47-4896-F2C6-078D2FBBA3A5}"/>
            </a:ext>
            <a:ext uri="{147F2762-F138-4A5C-976F-8EAC2B608ADB}">
              <a16:predDERef xmlns:a16="http://schemas.microsoft.com/office/drawing/2014/main" pred="{D0D0C937-E32F-4846-9D45-47A9B0D6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</xdr:colOff>
      <xdr:row>4</xdr:row>
      <xdr:rowOff>133350</xdr:rowOff>
    </xdr:from>
    <xdr:to>
      <xdr:col>18</xdr:col>
      <xdr:colOff>523875</xdr:colOff>
      <xdr:row>20</xdr:row>
      <xdr:rowOff>0</xdr:rowOff>
    </xdr:to>
    <xdr:graphicFrame macro="">
      <xdr:nvGraphicFramePr>
        <xdr:cNvPr id="65" name="Chart 4">
          <a:extLst>
            <a:ext uri="{FF2B5EF4-FFF2-40B4-BE49-F238E27FC236}">
              <a16:creationId xmlns:a16="http://schemas.microsoft.com/office/drawing/2014/main" id="{81271239-3B1D-C569-DBB7-F66B7BF99584}"/>
            </a:ext>
            <a:ext uri="{147F2762-F138-4A5C-976F-8EAC2B608ADB}">
              <a16:predDERef xmlns:a16="http://schemas.microsoft.com/office/drawing/2014/main" pred="{C3B2FAF4-4E47-4896-F2C6-078D2FBBA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38100</xdr:rowOff>
    </xdr:from>
    <xdr:to>
      <xdr:col>5</xdr:col>
      <xdr:colOff>666750</xdr:colOff>
      <xdr:row>36</xdr:row>
      <xdr:rowOff>19050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FDD01F9C-1641-E2CB-0B6E-C4F140922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873125</xdr:colOff>
      <xdr:row>14</xdr:row>
      <xdr:rowOff>63500</xdr:rowOff>
    </xdr:from>
    <xdr:to>
      <xdr:col>12</xdr:col>
      <xdr:colOff>190500</xdr:colOff>
      <xdr:row>37</xdr:row>
      <xdr:rowOff>44450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4DDD7890-20DB-4C11-AEAE-20643A12D928}"/>
            </a:ext>
            <a:ext uri="{147F2762-F138-4A5C-976F-8EAC2B608ADB}">
              <a16:predDERef xmlns:a16="http://schemas.microsoft.com/office/drawing/2014/main" pred="{FDD01F9C-1641-E2CB-0B6E-C4F140922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4B06AE2B-BCF8-4D74-B058-5467DCE68693}">
    <nsvFilter filterId="{1A44F856-2ECE-4C71-88AD-37870C5EB542}" ref="A2:I12" tableId="2"/>
    <nsvFilter filterId="{43CFCABB-A6E2-4D8D-9C8D-D76492EBF0B7}" ref="A37:I48" tableId="3"/>
    <nsvFilter filterId="{579D0C26-F47E-46E8-BDDF-8C36583C58C9}" ref="A50:I61" tableId="4"/>
    <nsvFilter filterId="{E96D1837-47CB-4502-9755-0182927C7AA5}" ref="A63:I74" tableId="5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William Clark-Steel" id="{8291A945-B4EC-784B-B17B-054CF9613636}" userId="William Clark-Steel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44F856-2ECE-4C71-88AD-37870C5EB542}" name="Table2" displayName="Table2" ref="A2:I12" totalsRowShown="0" headerRowDxfId="71" headerRowBorderDxfId="69" tableBorderDxfId="70" totalsRowBorderDxfId="68">
  <autoFilter ref="A2:I12" xr:uid="{1A44F856-2ECE-4C71-88AD-37870C5EB542}"/>
  <tableColumns count="9">
    <tableColumn id="1" xr3:uid="{B4E4A7AF-6FD9-444E-A772-74A2B9B7D0FF}" name="Sno." dataDxfId="67"/>
    <tableColumn id="2" xr3:uid="{835FD35B-BDFA-49FE-9B11-DE87D6DFFD48}" name="Voltage (V)" dataDxfId="66"/>
    <tableColumn id="3" xr3:uid="{D4849A8B-88BB-4EDA-9C7D-B1ED0E5F411C}" name="Current  (A)" dataDxfId="65"/>
    <tableColumn id="4" xr3:uid="{DB497029-2E81-4DE6-9B24-6590E06EE761}" name="Resistance (mOhms)" dataDxfId="64">
      <calculatedColumnFormula>B3/C3</calculatedColumnFormula>
    </tableColumn>
    <tableColumn id="5" xr3:uid="{AEBFC45E-AC33-4126-B30B-4808A9184943}" name="R using DMM (mOhms)" dataDxfId="63"/>
    <tableColumn id="6" xr3:uid="{6DBE0291-3713-BF41-8A23-79802C7B40A6}" name="Voltage (V)2" dataDxfId="62"/>
    <tableColumn id="7" xr3:uid="{52B87561-88C9-4A4B-A18E-2B9D4CB27FF0}" name="Voltage (V)3" dataDxfId="61"/>
    <tableColumn id="8" xr3:uid="{5D0A3F3C-36C4-3641-8DA7-5AF446B451A7}" name="Voltage (V)4" dataDxfId="60"/>
    <tableColumn id="9" xr3:uid="{FF2A9BBD-071F-5F4E-83F7-CEF6606CA8FB}" name="Voltage (V)5" dataDxfId="59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CFCABB-A6E2-4D8D-9C8D-D76492EBF0B7}" name="Table24" displayName="Table24" ref="A37:I48" totalsRowShown="0" headerRowDxfId="58" headerRowBorderDxfId="56" tableBorderDxfId="57" totalsRowBorderDxfId="55">
  <autoFilter ref="A37:I48" xr:uid="{43CFCABB-A6E2-4D8D-9C8D-D76492EBF0B7}"/>
  <tableColumns count="9">
    <tableColumn id="1" xr3:uid="{BCAD6942-A2C2-4D9E-9CF2-AFE4B81797D8}" name="Sno." dataDxfId="54"/>
    <tableColumn id="2" xr3:uid="{673B1D8A-0CA4-4B15-9B7C-83653F654DBB}" name="Voltage (V)" dataDxfId="53"/>
    <tableColumn id="3" xr3:uid="{A06BEE5B-2602-495C-BE48-01E5739D5CC2}" name="Current  (A)" dataDxfId="52"/>
    <tableColumn id="4" xr3:uid="{4E6F3AAB-9439-474A-8202-C292DA3AA90C}" name="Resistance (mOhms)" dataDxfId="51"/>
    <tableColumn id="5" xr3:uid="{6814DDCC-4A53-4F92-B35C-E397D3AA1FF6}" name="R using DMM (mOhms)" dataDxfId="50"/>
    <tableColumn id="6" xr3:uid="{C90DE385-2B5F-3D4D-B181-44AC3CD9FB72}" name="Voltage (V)2" dataDxfId="49"/>
    <tableColumn id="7" xr3:uid="{2EDA290B-0427-CF48-9977-1A7761B788FD}" name="Voltage (V)3" dataDxfId="48"/>
    <tableColumn id="8" xr3:uid="{BD1EFD74-9085-BC48-AD85-9B771BC1CEBB}" name="Voltage (V)4" dataDxfId="47"/>
    <tableColumn id="9" xr3:uid="{6FF24727-9EBF-3646-A31E-74F3238CA44B}" name="Voltage (V)5" dataDxfId="46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9D0C26-F47E-46E8-BDDF-8C36583C58C9}" name="Table25" displayName="Table25" ref="A50:I61" totalsRowShown="0" headerRowDxfId="45" headerRowBorderDxfId="43" tableBorderDxfId="44" totalsRowBorderDxfId="42">
  <autoFilter ref="A50:I61" xr:uid="{579D0C26-F47E-46E8-BDDF-8C36583C58C9}"/>
  <tableColumns count="9">
    <tableColumn id="1" xr3:uid="{74610605-F80A-453B-9FD1-CCC5404D0A2A}" name="Sno." dataDxfId="41"/>
    <tableColumn id="2" xr3:uid="{4A8BE728-3143-4D9C-BB35-2CCAEC02B446}" name="Voltage (V)" dataDxfId="40"/>
    <tableColumn id="3" xr3:uid="{B597D796-4508-4AEA-A187-8212F82B4C6E}" name="Current  (A)" dataDxfId="39"/>
    <tableColumn id="4" xr3:uid="{6344A551-A3CB-47C0-BA12-98E4ED56A9AF}" name="Resistance (mOhms)" dataDxfId="38"/>
    <tableColumn id="5" xr3:uid="{2412EE22-BA3E-4294-BCFA-6CB1B244051A}" name="R using DMM (mOhms)" dataDxfId="37"/>
    <tableColumn id="6" xr3:uid="{FAE272BF-8606-4041-80B8-39227CC85909}" name="Voltage (V)2" dataDxfId="36"/>
    <tableColumn id="7" xr3:uid="{AFF7FF0C-6420-C14E-BD5D-A05A1419FC98}" name="Voltage (V)3" dataDxfId="35"/>
    <tableColumn id="8" xr3:uid="{24E92C1E-0477-C348-BD08-C72F10410E0F}" name="Voltage (V)4" dataDxfId="34"/>
    <tableColumn id="9" xr3:uid="{1ACE7245-C639-E344-A7F7-66942C32B65E}" name="Voltage (V)5" dataDxfId="33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6D1837-47CB-4502-9755-0182927C7AA5}" name="Table256" displayName="Table256" ref="A63:I74" totalsRowShown="0" headerRowDxfId="32" headerRowBorderDxfId="30" tableBorderDxfId="31" totalsRowBorderDxfId="29">
  <autoFilter ref="A63:I74" xr:uid="{E96D1837-47CB-4502-9755-0182927C7AA5}"/>
  <tableColumns count="9">
    <tableColumn id="1" xr3:uid="{DBE8299E-C464-4981-9D2E-CFCA888A23E1}" name="Sno." dataDxfId="28"/>
    <tableColumn id="2" xr3:uid="{FA2AEC6B-3B65-4771-AEA3-CA0DA0586085}" name="Voltage (V)" dataDxfId="27"/>
    <tableColumn id="3" xr3:uid="{4328F1D8-5023-42AB-93F3-7913C5BC1A5B}" name="Current  (A)" dataDxfId="26"/>
    <tableColumn id="4" xr3:uid="{E56A5C32-F41E-4374-B9B3-222E44F4ACB3}" name="Resistance (mOhms)" dataDxfId="25"/>
    <tableColumn id="5" xr3:uid="{EF399BD0-1091-4364-BD3F-43F34E9BFBE1}" name="R using DMM (mOhms)" dataDxfId="24"/>
    <tableColumn id="6" xr3:uid="{0CF87C6B-6D26-8B40-9BF6-1965ACE01CB7}" name="Voltage (V)2" dataDxfId="23"/>
    <tableColumn id="7" xr3:uid="{069C9C0B-9F46-794E-9E63-25918A8CF203}" name="Voltage (V)3" dataDxfId="22"/>
    <tableColumn id="8" xr3:uid="{CBA55825-9D52-954C-B8C6-41D950F41E8F}" name="Voltage (V)4" dataDxfId="21"/>
    <tableColumn id="9" xr3:uid="{55689031-B7BF-5F46-924E-392F024A784E}" name="Voltage (V)5" dataDxfId="20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E7F574-969B-4237-929B-29730B40EB49}" name="Table6" displayName="Table6" ref="K1:M7" totalsRowShown="0">
  <autoFilter ref="K1:M7" xr:uid="{6AE7F574-969B-4237-929B-29730B40EB49}"/>
  <tableColumns count="3">
    <tableColumn id="1" xr3:uid="{DA2C6236-5D6E-4E73-BB0C-ED3E2CE76D2C}" name="Avg Results"/>
    <tableColumn id="2" xr3:uid="{ECCC4A0C-7922-41DB-96C1-D71CD88D3560}" name="Resistance (mOhms)"/>
    <tableColumn id="3" xr3:uid="{D4F3A617-6C07-4F6C-89A8-26C3C113336D}" name="R using DMM (mOhms)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869105-CED9-3D46-ABE3-0E7CA1C663BF}" name="Table22" displayName="Table22" ref="A80:I90" totalsRowShown="0" headerRowDxfId="19" headerRowBorderDxfId="17" tableBorderDxfId="18" totalsRowBorderDxfId="16">
  <autoFilter ref="A80:I90" xr:uid="{06869105-CED9-3D46-ABE3-0E7CA1C663BF}"/>
  <tableColumns count="9">
    <tableColumn id="1" xr3:uid="{66CD00CB-9BC2-2C41-88DC-F2139E10269E}" name="Sno." dataDxfId="15"/>
    <tableColumn id="2" xr3:uid="{7F7F6C93-E125-304A-8C0F-E7CA1A061989}" name="Voltage (V)" dataDxfId="14"/>
    <tableColumn id="3" xr3:uid="{DC1A1D3D-ACBB-224E-82F5-AB0AC30736E8}" name="Current  (A)" dataDxfId="13"/>
    <tableColumn id="4" xr3:uid="{9B6EB758-CEAF-AC46-A3C7-24DF0070AFCB}" name="Resistance (mOhms)" dataDxfId="12">
      <calculatedColumnFormula>B81/C81</calculatedColumnFormula>
    </tableColumn>
    <tableColumn id="5" xr3:uid="{ABE5418B-B036-0D4F-BF8E-BC67811EB510}" name="R using DMM (mOhms)" dataDxfId="11"/>
    <tableColumn id="6" xr3:uid="{A49CF5DB-60A6-994F-8284-30984B1897E8}" name="Resistance (mOhms)2" dataDxfId="10"/>
    <tableColumn id="7" xr3:uid="{CFE9B61F-C767-344C-B12C-9BB12667A2DE}" name="Resistance (mOhms)22" dataDxfId="9"/>
    <tableColumn id="8" xr3:uid="{81F8AB7F-D5ED-1443-BF7C-D65D63B92818}" name="Resistance (mOhms)23" dataDxfId="8"/>
    <tableColumn id="9" xr3:uid="{0F4D149B-4587-AB4A-AFA8-15A7D6B23E09}" name="Resistance (mOhms)24" dataDxfId="7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E92F44-36E3-43E6-9E63-109C9C4084E8}" name="Table9" displayName="Table9" ref="A1:L12" totalsRowShown="0" headerRowDxfId="6">
  <autoFilter ref="A1:L12" xr:uid="{78E92F44-36E3-43E6-9E63-109C9C4084E8}"/>
  <tableColumns count="12">
    <tableColumn id="1" xr3:uid="{9BDDDB7C-1B6C-40BA-871B-994CEDD72240}" name="Sno"/>
    <tableColumn id="2" xr3:uid="{EBC1BB60-F144-4468-A910-B772F55FB2D7}" name="Motor current (A)"/>
    <tableColumn id="3" xr3:uid="{21892FF6-59C1-4348-8F81-9939048993D2}" name="F1 (g)"/>
    <tableColumn id="4" xr3:uid="{617E00E4-F112-46B5-8196-32642E813779}" name="F2 (g)"/>
    <tableColumn id="12" xr3:uid="{742CCB88-2278-4DA9-A976-C94DC53A4120}" name="Column2" dataDxfId="5">
      <calculatedColumnFormula>Table9[[#This Row],[F1 (g)]]+Table9[[#This Row],[F2 (g)]]</calculatedColumnFormula>
    </tableColumn>
    <tableColumn id="5" xr3:uid="{77684718-B41A-4176-AC9D-9FC3C0CA0112}" name="Voltage at the motor (V)"/>
    <tableColumn id="6" xr3:uid="{85E26312-01B2-44F6-BE51-E0C08954D4C3}" name="Motor speed (rpm)"/>
    <tableColumn id="11" xr3:uid="{03D0D96D-FAB0-4102-8429-A9201D8C9A5B}" name="Column3" dataDxfId="4">
      <calculatedColumnFormula>Table9[[#This Row],[Motor speed (rpm)]]*2*(PI()/60)</calculatedColumnFormula>
    </tableColumn>
    <tableColumn id="7" xr3:uid="{807BF257-C52C-4D46-82B8-6A527EE9342D}" name="Torque (Nm)" dataDxfId="3">
      <calculatedColumnFormula>((Table9[[#This Row],[F1 (g)]]*0.01)-(Table9[[#This Row],[F2 (g)]]*0.01))*(0.005)</calculatedColumnFormula>
    </tableColumn>
    <tableColumn id="8" xr3:uid="{44216F24-1F1F-4FF9-B944-48B7EA346040}" name="Motor emf (V)" dataDxfId="2">
      <calculatedColumnFormula>5 - (0.14+(2.261*Table9[[#This Row],[Motor current (A)]]))</calculatedColumnFormula>
    </tableColumn>
    <tableColumn id="9" xr3:uid="{CAEE8DA6-149E-4B2C-87DC-3F7EAD4FF0F6}" name="Error in Torque"/>
    <tableColumn id="10" xr3:uid="{31240BE9-F73A-4FE6-A138-547CF9B4C1FD}" name="Column1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1B842A-6DF0-43CB-AD3E-239B4A387E49}" name="Table911" displayName="Table911" ref="A1:J11" totalsRowShown="0" headerRowDxfId="1">
  <autoFilter ref="A1:J11" xr:uid="{FB1B842A-6DF0-43CB-AD3E-239B4A387E49}"/>
  <tableColumns count="10">
    <tableColumn id="1" xr3:uid="{BD8D32CF-C46D-4992-A830-15A9E6B1042A}" name="Sno"/>
    <tableColumn id="2" xr3:uid="{0E116778-4226-4AAC-992F-9FCA6432F755}" name="Current (A)"/>
    <tableColumn id="3" xr3:uid="{6692E023-6966-4A70-AA70-38C29FF70B7E}" name="F1 (g)"/>
    <tableColumn id="4" xr3:uid="{807D2A72-F7EC-4906-B1F9-E7F9892C2AB3}" name="F2 (g)"/>
    <tableColumn id="5" xr3:uid="{35DB188C-EDDC-4086-86C2-6BEBA094E174}" name="Voltage (V)"/>
    <tableColumn id="7" xr3:uid="{81739326-7698-4A00-81C2-69C7C0114653}" name="Torque (Nm)" dataDxfId="0">
      <calculatedColumnFormula>((Table911[[#This Row],[F1 (g)]]*0.01)-(Table911[[#This Row],[F2 (g)]]*0.01))*(0.005)</calculatedColumnFormula>
    </tableColumn>
    <tableColumn id="8" xr3:uid="{EE05CAA6-8B3F-4AFF-9617-4D7F1B1B3721}" name="Motor emf (V)"/>
    <tableColumn id="9" xr3:uid="{CAA3C9BB-8CC5-4F30-AF8E-0D4B031204BB}" name="Error in Torque (Nm)"/>
    <tableColumn id="10" xr3:uid="{9BFF886F-3758-41E3-99D7-DEAA6B581C51}" name="Error in emf (V)"/>
    <tableColumn id="11" xr3:uid="{66F3288F-2EF1-44C6-A233-61AC9DA11427}" name="Error in Current (A)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3-10-17T13:14:02.58" personId="{8291A945-B4EC-784B-B17B-054CF9613636}" id="{0BC421E2-00D9-4D36-ADCE-C4FA2AE3257A}">
    <text>Error from random errors/deviation of A1, A2, A3</text>
  </threadedComment>
  <threadedComment ref="J12" dT="2023-10-17T13:14:36.15" personId="{8291A945-B4EC-784B-B17B-054CF9613636}" id="{7E520554-AD81-42CF-B822-79FFA655B474}">
    <text>Error is unknown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10-17T13:10:36.84" personId="{8291A945-B4EC-784B-B17B-054CF9613636}" id="{1DC3765F-D6BF-4F57-ABB9-6A5F63AF252B}">
    <text>Error calculated from implied error in Column 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3-10-17T13:08:56.87" personId="{8291A945-B4EC-784B-B17B-054CF9613636}" id="{86E6FF29-468D-43A9-8876-243D17E5D807}">
    <text>Error calculated from implied resolution in column G</text>
  </threadedComment>
  <threadedComment ref="J1" dT="2023-10-17T13:07:45.31" personId="{8291A945-B4EC-784B-B17B-054CF9613636}" id="{8B251741-E6F7-4C07-B0C3-DD35F0BFCC9D}">
    <text>Error Calculated from implied resolution of Column 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microsoft.com/office/2019/04/relationships/namedSheetView" Target="../namedSheetViews/namedSheetView1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topLeftCell="D1" workbookViewId="0">
      <selection activeCell="L9" sqref="L9"/>
    </sheetView>
  </sheetViews>
  <sheetFormatPr defaultRowHeight="14.45"/>
  <cols>
    <col min="2" max="2" width="11.85546875" customWidth="1"/>
    <col min="3" max="3" width="12.42578125" customWidth="1"/>
    <col min="4" max="4" width="19.42578125" customWidth="1"/>
    <col min="5" max="5" width="22.28515625" customWidth="1"/>
    <col min="6" max="6" width="15.7109375" customWidth="1"/>
    <col min="7" max="7" width="13.42578125" customWidth="1"/>
    <col min="8" max="8" width="13.140625" customWidth="1"/>
    <col min="9" max="9" width="16.85546875" customWidth="1"/>
    <col min="11" max="11" width="14.85546875" customWidth="1"/>
    <col min="12" max="12" width="19.42578125" customWidth="1"/>
    <col min="13" max="13" width="22.28515625" customWidth="1"/>
  </cols>
  <sheetData>
    <row r="1" spans="1:13">
      <c r="A1" s="29" t="s">
        <v>0</v>
      </c>
      <c r="B1" s="29"/>
      <c r="C1" s="29"/>
      <c r="D1" s="29"/>
      <c r="E1" s="29"/>
      <c r="F1">
        <v>2</v>
      </c>
      <c r="G1">
        <v>3</v>
      </c>
      <c r="H1">
        <v>4</v>
      </c>
      <c r="I1">
        <v>5</v>
      </c>
      <c r="K1" t="s">
        <v>1</v>
      </c>
      <c r="L1" t="s">
        <v>2</v>
      </c>
      <c r="M1" t="s">
        <v>3</v>
      </c>
    </row>
    <row r="2" spans="1:13">
      <c r="A2" s="4" t="s">
        <v>4</v>
      </c>
      <c r="B2" s="4" t="s">
        <v>5</v>
      </c>
      <c r="C2" s="4" t="s">
        <v>6</v>
      </c>
      <c r="D2" s="4" t="s">
        <v>2</v>
      </c>
      <c r="E2" s="4" t="s">
        <v>3</v>
      </c>
      <c r="F2" s="4" t="s">
        <v>7</v>
      </c>
      <c r="G2" s="4" t="s">
        <v>8</v>
      </c>
      <c r="H2" s="4" t="s">
        <v>9</v>
      </c>
      <c r="I2" s="4" t="s">
        <v>10</v>
      </c>
      <c r="K2">
        <v>1</v>
      </c>
      <c r="L2">
        <f>AVERAGE(Table2[Resistance (mOhms)])</f>
        <v>50.569930952380957</v>
      </c>
      <c r="M2" t="e">
        <f>AVERAGE(Table2[R using DMM (mOhms)])</f>
        <v>#DIV/0!</v>
      </c>
    </row>
    <row r="3" spans="1:13">
      <c r="A3" s="4">
        <v>1</v>
      </c>
      <c r="B3" s="4">
        <v>2.5449999999999999</v>
      </c>
      <c r="C3" s="4">
        <v>0.05</v>
      </c>
      <c r="D3" s="4">
        <f>B3/C3</f>
        <v>50.9</v>
      </c>
      <c r="E3" s="4"/>
      <c r="F3" s="2">
        <v>2.5539999999999998</v>
      </c>
      <c r="G3" s="2">
        <v>2.5449999999999999</v>
      </c>
      <c r="H3" s="2">
        <v>2.544</v>
      </c>
      <c r="I3" s="2">
        <v>2.5510000000000002</v>
      </c>
      <c r="K3">
        <v>2</v>
      </c>
      <c r="L3">
        <f>AVERAGE(Table24[Resistance (mOhms)])</f>
        <v>47.036845238095232</v>
      </c>
      <c r="M3">
        <f>AVERAGE(Table24[R using DMM (mOhms)])</f>
        <v>79.75</v>
      </c>
    </row>
    <row r="4" spans="1:13">
      <c r="A4" s="4">
        <v>2</v>
      </c>
      <c r="B4" s="4">
        <v>5.0629999999999997</v>
      </c>
      <c r="C4" s="4">
        <v>0.1</v>
      </c>
      <c r="D4" s="4">
        <f t="shared" ref="D4:D8" si="0">B4/C4</f>
        <v>50.629999999999995</v>
      </c>
      <c r="E4" s="4"/>
      <c r="F4" s="4">
        <v>5.069</v>
      </c>
      <c r="G4" s="4">
        <v>5.0659999999999998</v>
      </c>
      <c r="H4" s="4">
        <v>5.0659999999999998</v>
      </c>
      <c r="I4" s="4">
        <v>5.0739999999999998</v>
      </c>
      <c r="K4">
        <v>3</v>
      </c>
      <c r="L4">
        <f>AVERAGE(Table25[Resistance (mOhms)])</f>
        <v>57.416256349206357</v>
      </c>
      <c r="M4">
        <f>AVERAGE(Table25[R using DMM (mOhms)])</f>
        <v>51.5</v>
      </c>
    </row>
    <row r="5" spans="1:13">
      <c r="A5" s="4">
        <v>3</v>
      </c>
      <c r="B5" s="4">
        <v>7.5869999999999997</v>
      </c>
      <c r="C5" s="4">
        <v>0.15</v>
      </c>
      <c r="D5" s="4">
        <f t="shared" si="0"/>
        <v>50.58</v>
      </c>
      <c r="E5" s="4"/>
      <c r="F5" s="4">
        <v>7.5990000000000002</v>
      </c>
      <c r="G5" s="4">
        <v>7.5979999999999999</v>
      </c>
      <c r="H5" s="4">
        <v>7.601</v>
      </c>
      <c r="I5" s="4">
        <v>7.6059999999999999</v>
      </c>
      <c r="K5">
        <v>4</v>
      </c>
      <c r="L5">
        <f>AVERAGE(Table256[Resistance (mOhms)])</f>
        <v>47.676069047619045</v>
      </c>
      <c r="M5">
        <f>AVERAGE(Table256[R using DMM (mOhms)])</f>
        <v>73.599999999999994</v>
      </c>
    </row>
    <row r="6" spans="1:13">
      <c r="A6" s="4">
        <v>4</v>
      </c>
      <c r="B6" s="4">
        <v>10.112</v>
      </c>
      <c r="C6" s="4">
        <v>0.2</v>
      </c>
      <c r="D6" s="4">
        <f t="shared" si="0"/>
        <v>50.559999999999995</v>
      </c>
      <c r="E6" s="4"/>
      <c r="F6" s="4">
        <v>10.134</v>
      </c>
      <c r="G6" s="4">
        <v>10.128</v>
      </c>
      <c r="H6" s="4">
        <v>10.141</v>
      </c>
      <c r="I6" s="4">
        <v>10.138</v>
      </c>
      <c r="K6" t="s">
        <v>11</v>
      </c>
      <c r="L6">
        <f>AVERAGE(L2:L5)</f>
        <v>50.674775396825396</v>
      </c>
      <c r="M6" t="e">
        <f>AVERAGE(M2:M5)</f>
        <v>#DIV/0!</v>
      </c>
    </row>
    <row r="7" spans="1:13">
      <c r="A7" s="4">
        <v>5</v>
      </c>
      <c r="B7" s="4">
        <v>12.624000000000001</v>
      </c>
      <c r="C7" s="4">
        <v>0.25</v>
      </c>
      <c r="D7" s="4">
        <f t="shared" si="0"/>
        <v>50.496000000000002</v>
      </c>
      <c r="E7" s="4"/>
      <c r="F7" s="4">
        <v>12.653</v>
      </c>
      <c r="G7" s="4">
        <v>12.65</v>
      </c>
      <c r="H7" s="4">
        <v>12.666</v>
      </c>
      <c r="I7" s="4">
        <v>12.662000000000001</v>
      </c>
      <c r="K7" t="s">
        <v>12</v>
      </c>
      <c r="L7" t="e">
        <f>AVERAGE(L6:M6)</f>
        <v>#DIV/0!</v>
      </c>
    </row>
    <row r="8" spans="1:13">
      <c r="A8" s="4">
        <v>6</v>
      </c>
      <c r="B8" s="4">
        <v>15.151</v>
      </c>
      <c r="C8" s="4">
        <v>0.3</v>
      </c>
      <c r="D8" s="4">
        <f t="shared" si="0"/>
        <v>50.503333333333337</v>
      </c>
      <c r="E8" s="4"/>
      <c r="F8" s="4">
        <v>15.185</v>
      </c>
      <c r="G8" s="4">
        <v>15.19</v>
      </c>
      <c r="H8" s="4">
        <v>15.208</v>
      </c>
      <c r="I8" s="4">
        <v>15.196</v>
      </c>
    </row>
    <row r="9" spans="1:13">
      <c r="A9" s="4">
        <v>7</v>
      </c>
      <c r="B9" s="4">
        <v>17.681000000000001</v>
      </c>
      <c r="C9" s="4">
        <v>0.35</v>
      </c>
      <c r="D9" s="4">
        <f>B9/C9</f>
        <v>50.517142857142865</v>
      </c>
      <c r="E9" s="4"/>
      <c r="F9" s="4">
        <v>17.716999999999999</v>
      </c>
      <c r="G9" s="4">
        <v>17.722000000000001</v>
      </c>
      <c r="H9" s="4">
        <v>17.745000000000001</v>
      </c>
      <c r="I9" s="4">
        <v>17.733000000000001</v>
      </c>
      <c r="L9">
        <f>L6*2</f>
        <v>101.34955079365079</v>
      </c>
    </row>
    <row r="10" spans="1:13">
      <c r="A10" s="4">
        <v>8</v>
      </c>
      <c r="B10" s="4">
        <v>20.199000000000002</v>
      </c>
      <c r="C10" s="4">
        <v>0.4</v>
      </c>
      <c r="D10" s="4">
        <f>B10/C10</f>
        <v>50.497500000000002</v>
      </c>
      <c r="E10" s="4"/>
      <c r="F10" s="4">
        <v>20.239000000000001</v>
      </c>
      <c r="G10" s="4">
        <v>20.242000000000001</v>
      </c>
      <c r="H10" s="4">
        <v>20.268999999999998</v>
      </c>
      <c r="I10" s="4">
        <v>20.254999999999999</v>
      </c>
    </row>
    <row r="11" spans="1:13">
      <c r="A11" s="4">
        <v>9</v>
      </c>
      <c r="B11" s="4">
        <v>22.731000000000002</v>
      </c>
      <c r="C11" s="4">
        <v>0.45</v>
      </c>
      <c r="D11" s="4">
        <f>B11/C11</f>
        <v>50.513333333333335</v>
      </c>
      <c r="E11" s="4"/>
      <c r="F11" s="4">
        <v>22.776</v>
      </c>
      <c r="G11" s="4">
        <v>22.779</v>
      </c>
      <c r="H11" s="4">
        <v>22.777000000000001</v>
      </c>
      <c r="I11" s="4">
        <v>22.79</v>
      </c>
    </row>
    <row r="12" spans="1:13">
      <c r="A12" s="4">
        <v>10</v>
      </c>
      <c r="B12" s="4">
        <v>25.251000000000001</v>
      </c>
      <c r="C12" s="4">
        <v>0.5</v>
      </c>
      <c r="D12" s="4">
        <f>B12/C12</f>
        <v>50.502000000000002</v>
      </c>
      <c r="E12" s="4"/>
      <c r="F12" s="5">
        <v>25.297999999999998</v>
      </c>
      <c r="G12" s="5">
        <v>25.3</v>
      </c>
      <c r="H12" s="5">
        <v>25.295999999999999</v>
      </c>
      <c r="I12" s="5">
        <v>25.306999999999999</v>
      </c>
    </row>
    <row r="36" spans="1:9">
      <c r="A36" s="29" t="s">
        <v>13</v>
      </c>
      <c r="B36" s="29"/>
      <c r="C36" s="29"/>
      <c r="D36" s="29"/>
      <c r="E36" s="29"/>
    </row>
    <row r="37" spans="1:9">
      <c r="A37" s="4" t="s">
        <v>4</v>
      </c>
      <c r="B37" s="4" t="s">
        <v>5</v>
      </c>
      <c r="C37" s="4" t="s">
        <v>6</v>
      </c>
      <c r="D37" s="4" t="s">
        <v>2</v>
      </c>
      <c r="E37" s="4" t="s">
        <v>3</v>
      </c>
      <c r="F37" s="4" t="s">
        <v>7</v>
      </c>
      <c r="G37" s="4" t="s">
        <v>8</v>
      </c>
      <c r="H37" s="4" t="s">
        <v>9</v>
      </c>
      <c r="I37" s="4" t="s">
        <v>10</v>
      </c>
    </row>
    <row r="38" spans="1:9">
      <c r="A38" s="4" t="s">
        <v>4</v>
      </c>
      <c r="B38" s="4" t="s">
        <v>5</v>
      </c>
      <c r="C38" s="4" t="s">
        <v>6</v>
      </c>
      <c r="D38" s="4" t="s">
        <v>2</v>
      </c>
      <c r="E38" s="4" t="s">
        <v>3</v>
      </c>
      <c r="F38" s="2" t="s">
        <v>14</v>
      </c>
      <c r="G38" s="2" t="s">
        <v>15</v>
      </c>
      <c r="H38" s="2" t="s">
        <v>16</v>
      </c>
      <c r="I38" s="2" t="s">
        <v>17</v>
      </c>
    </row>
    <row r="39" spans="1:9">
      <c r="A39" s="4">
        <v>1</v>
      </c>
      <c r="B39" s="4">
        <v>2.3580000000000001</v>
      </c>
      <c r="C39" s="4">
        <v>0.05</v>
      </c>
      <c r="D39" s="4">
        <f t="shared" ref="D39:D48" si="1">B39/C39</f>
        <v>47.16</v>
      </c>
      <c r="E39" s="4">
        <v>76</v>
      </c>
      <c r="F39" s="4">
        <v>2.3570000000000002</v>
      </c>
      <c r="G39" s="4">
        <v>2.355</v>
      </c>
      <c r="H39" s="4">
        <v>2.3570000000000002</v>
      </c>
      <c r="I39" s="4">
        <v>2.3559999999999999</v>
      </c>
    </row>
    <row r="40" spans="1:9">
      <c r="A40" s="4">
        <v>2</v>
      </c>
      <c r="B40" s="4">
        <v>4.6929999999999996</v>
      </c>
      <c r="C40" s="4">
        <v>0.1</v>
      </c>
      <c r="D40" s="4">
        <f t="shared" si="1"/>
        <v>46.929999999999993</v>
      </c>
      <c r="E40" s="4">
        <v>83</v>
      </c>
      <c r="F40" s="4">
        <v>4.6890000000000001</v>
      </c>
      <c r="G40" s="4">
        <v>4.6909999999999998</v>
      </c>
      <c r="H40" s="4">
        <v>4.694</v>
      </c>
      <c r="I40" s="4">
        <v>4.6929999999999996</v>
      </c>
    </row>
    <row r="41" spans="1:9">
      <c r="A41" s="4">
        <v>3</v>
      </c>
      <c r="B41" s="4">
        <v>7.0490000000000004</v>
      </c>
      <c r="C41" s="4">
        <v>0.15</v>
      </c>
      <c r="D41" s="4">
        <f t="shared" si="1"/>
        <v>46.993333333333339</v>
      </c>
      <c r="E41" s="4">
        <v>83</v>
      </c>
      <c r="F41" s="4">
        <v>7.0460000000000003</v>
      </c>
      <c r="G41" s="4">
        <v>7.0419999999999998</v>
      </c>
      <c r="H41" s="4">
        <v>7.0389999999999997</v>
      </c>
      <c r="I41" s="4">
        <v>7.0369999999999999</v>
      </c>
    </row>
    <row r="42" spans="1:9">
      <c r="A42" s="4">
        <v>4</v>
      </c>
      <c r="B42" s="4">
        <v>9.4109999999999996</v>
      </c>
      <c r="C42" s="4">
        <v>0.2</v>
      </c>
      <c r="D42" s="4">
        <f t="shared" si="1"/>
        <v>47.054999999999993</v>
      </c>
      <c r="E42" s="4">
        <v>77</v>
      </c>
      <c r="F42" s="4">
        <v>9.3800000000000008</v>
      </c>
      <c r="G42" s="4">
        <v>9.3919999999999995</v>
      </c>
      <c r="H42" s="4">
        <v>9.3879999999999999</v>
      </c>
      <c r="I42" s="4">
        <v>9.3840000000000003</v>
      </c>
    </row>
    <row r="43" spans="1:9">
      <c r="A43" s="4">
        <v>5</v>
      </c>
      <c r="B43" s="4">
        <v>11.754</v>
      </c>
      <c r="C43" s="4">
        <v>0.25</v>
      </c>
      <c r="D43" s="4">
        <f t="shared" si="1"/>
        <v>47.015999999999998</v>
      </c>
      <c r="E43" s="4"/>
      <c r="F43" s="4">
        <v>11.727</v>
      </c>
      <c r="G43" s="4">
        <v>11.718999999999999</v>
      </c>
      <c r="H43" s="4">
        <v>11.715</v>
      </c>
      <c r="I43" s="4">
        <v>11.725</v>
      </c>
    </row>
    <row r="44" spans="1:9">
      <c r="A44" s="4">
        <v>6</v>
      </c>
      <c r="B44" s="4">
        <v>14.125</v>
      </c>
      <c r="C44" s="4">
        <v>0.3</v>
      </c>
      <c r="D44" s="4">
        <f t="shared" si="1"/>
        <v>47.083333333333336</v>
      </c>
      <c r="E44" s="4"/>
      <c r="F44" s="4">
        <v>14.066000000000001</v>
      </c>
      <c r="G44" s="4">
        <v>14.065</v>
      </c>
      <c r="H44" s="4">
        <v>14.071999999999999</v>
      </c>
      <c r="I44" s="4">
        <v>14.074999999999999</v>
      </c>
    </row>
    <row r="45" spans="1:9">
      <c r="A45" s="4">
        <v>7</v>
      </c>
      <c r="B45" s="4">
        <v>16.469000000000001</v>
      </c>
      <c r="C45" s="4">
        <v>0.35</v>
      </c>
      <c r="D45" s="4">
        <f t="shared" si="1"/>
        <v>47.054285714285719</v>
      </c>
      <c r="E45" s="4"/>
      <c r="F45" s="4">
        <v>16.413</v>
      </c>
      <c r="G45" s="4">
        <v>16.408999999999999</v>
      </c>
      <c r="H45" s="4">
        <v>16.407</v>
      </c>
      <c r="I45" s="4">
        <v>16.402999999999999</v>
      </c>
    </row>
    <row r="46" spans="1:9">
      <c r="A46" s="4">
        <v>8</v>
      </c>
      <c r="B46" s="4">
        <v>18.809000000000001</v>
      </c>
      <c r="C46" s="4">
        <v>0.4</v>
      </c>
      <c r="D46" s="4">
        <f t="shared" si="1"/>
        <v>47.022500000000001</v>
      </c>
      <c r="E46" s="4"/>
      <c r="F46" s="4">
        <v>18.757000000000001</v>
      </c>
      <c r="G46" s="4">
        <v>18.753</v>
      </c>
      <c r="H46" s="4">
        <v>18.754000000000001</v>
      </c>
      <c r="I46" s="4">
        <v>18.75</v>
      </c>
    </row>
    <row r="47" spans="1:9">
      <c r="A47" s="4">
        <v>9</v>
      </c>
      <c r="B47" s="4">
        <v>21.158999999999999</v>
      </c>
      <c r="C47" s="4">
        <v>0.45</v>
      </c>
      <c r="D47" s="4">
        <f t="shared" si="1"/>
        <v>47.019999999999996</v>
      </c>
      <c r="E47" s="4"/>
      <c r="F47" s="4"/>
      <c r="G47" s="4"/>
      <c r="H47" s="4"/>
      <c r="I47" s="4"/>
    </row>
    <row r="48" spans="1:9">
      <c r="A48" s="4">
        <v>10</v>
      </c>
      <c r="B48" s="4">
        <v>23.516999999999999</v>
      </c>
      <c r="C48" s="4">
        <v>0.5</v>
      </c>
      <c r="D48" s="4">
        <f t="shared" si="1"/>
        <v>47.033999999999999</v>
      </c>
      <c r="E48" s="4"/>
      <c r="F48" s="5"/>
      <c r="G48" s="5"/>
      <c r="H48" s="5"/>
      <c r="I48" s="5"/>
    </row>
    <row r="49" spans="1:9">
      <c r="A49" s="29" t="s">
        <v>18</v>
      </c>
      <c r="B49" s="29"/>
      <c r="C49" s="29"/>
      <c r="D49" s="29"/>
      <c r="E49" s="29"/>
    </row>
    <row r="50" spans="1:9">
      <c r="A50" s="1" t="s">
        <v>4</v>
      </c>
      <c r="B50" s="2" t="s">
        <v>5</v>
      </c>
      <c r="C50" s="2" t="s">
        <v>6</v>
      </c>
      <c r="D50" s="2" t="s">
        <v>2</v>
      </c>
      <c r="E50" s="3" t="s">
        <v>3</v>
      </c>
      <c r="F50" s="4" t="s">
        <v>7</v>
      </c>
      <c r="G50" s="4" t="s">
        <v>8</v>
      </c>
      <c r="H50" s="4" t="s">
        <v>9</v>
      </c>
      <c r="I50" s="4" t="s">
        <v>10</v>
      </c>
    </row>
    <row r="51" spans="1:9">
      <c r="A51" s="4" t="s">
        <v>4</v>
      </c>
      <c r="B51" s="4" t="s">
        <v>5</v>
      </c>
      <c r="C51" s="4" t="s">
        <v>6</v>
      </c>
      <c r="D51" s="4" t="s">
        <v>2</v>
      </c>
      <c r="E51" s="4" t="s">
        <v>3</v>
      </c>
      <c r="F51" s="2" t="s">
        <v>14</v>
      </c>
      <c r="G51" s="2" t="s">
        <v>15</v>
      </c>
      <c r="H51" s="2" t="s">
        <v>16</v>
      </c>
      <c r="I51" s="2" t="s">
        <v>17</v>
      </c>
    </row>
    <row r="52" spans="1:9">
      <c r="A52" s="4">
        <v>1</v>
      </c>
      <c r="B52" s="4">
        <v>2.5449999999999999</v>
      </c>
      <c r="C52" s="4">
        <v>0.05</v>
      </c>
      <c r="D52" s="4">
        <f t="shared" ref="D52:D61" si="2">B52/C52</f>
        <v>50.9</v>
      </c>
      <c r="E52" s="4">
        <v>53</v>
      </c>
      <c r="F52" s="4"/>
      <c r="G52" s="4"/>
      <c r="H52" s="4"/>
      <c r="I52" s="4"/>
    </row>
    <row r="53" spans="1:9">
      <c r="A53" s="4">
        <v>2</v>
      </c>
      <c r="B53" s="4">
        <v>5.0629999999999997</v>
      </c>
      <c r="C53" s="4">
        <v>0.1</v>
      </c>
      <c r="D53" s="4">
        <f t="shared" si="2"/>
        <v>50.629999999999995</v>
      </c>
      <c r="E53" s="4">
        <v>51</v>
      </c>
      <c r="F53" s="4"/>
      <c r="G53" s="4"/>
      <c r="H53" s="4"/>
      <c r="I53" s="4"/>
    </row>
    <row r="54" spans="1:9">
      <c r="A54" s="4">
        <v>3</v>
      </c>
      <c r="B54" s="4">
        <v>8.8949999999999996</v>
      </c>
      <c r="C54" s="4">
        <v>0.15</v>
      </c>
      <c r="D54" s="4">
        <f t="shared" si="2"/>
        <v>59.3</v>
      </c>
      <c r="E54" s="4">
        <v>52</v>
      </c>
      <c r="F54" s="4">
        <v>8.8919999999999995</v>
      </c>
      <c r="G54" s="4">
        <v>8.89</v>
      </c>
      <c r="H54" s="4">
        <v>8.8919999999999995</v>
      </c>
      <c r="I54" s="4">
        <v>8.8930000000000007</v>
      </c>
    </row>
    <row r="55" spans="1:9">
      <c r="A55" s="4">
        <v>4</v>
      </c>
      <c r="B55" s="4">
        <v>11.875999999999999</v>
      </c>
      <c r="C55" s="4">
        <v>0.2</v>
      </c>
      <c r="D55" s="4">
        <f t="shared" si="2"/>
        <v>59.379999999999995</v>
      </c>
      <c r="E55" s="4">
        <v>51</v>
      </c>
      <c r="F55" s="4">
        <v>11.872</v>
      </c>
      <c r="G55" s="4">
        <v>11.865</v>
      </c>
      <c r="H55" s="4">
        <v>11.867000000000001</v>
      </c>
      <c r="I55" s="4">
        <v>11.869</v>
      </c>
    </row>
    <row r="56" spans="1:9">
      <c r="A56" s="4">
        <v>5</v>
      </c>
      <c r="B56" s="4">
        <v>14.725</v>
      </c>
      <c r="C56" s="4">
        <v>0.25</v>
      </c>
      <c r="D56" s="4">
        <f t="shared" si="2"/>
        <v>58.9</v>
      </c>
      <c r="E56" s="4">
        <v>50</v>
      </c>
      <c r="F56" s="4">
        <v>14.722</v>
      </c>
      <c r="G56" s="4">
        <v>14.858000000000001</v>
      </c>
      <c r="H56" s="4">
        <v>14.843</v>
      </c>
      <c r="I56" s="4">
        <v>14.831</v>
      </c>
    </row>
    <row r="57" spans="1:9">
      <c r="A57" s="4">
        <v>6</v>
      </c>
      <c r="B57" s="4">
        <v>17.672999999999998</v>
      </c>
      <c r="C57" s="4">
        <v>0.3</v>
      </c>
      <c r="D57" s="4">
        <f t="shared" si="2"/>
        <v>58.91</v>
      </c>
      <c r="E57" s="4">
        <v>52</v>
      </c>
      <c r="F57" s="4">
        <v>17.68</v>
      </c>
      <c r="G57" s="4">
        <v>17.669</v>
      </c>
      <c r="H57" s="4">
        <v>17.677</v>
      </c>
      <c r="I57" s="4">
        <v>17.673999999999999</v>
      </c>
    </row>
    <row r="58" spans="1:9">
      <c r="A58" s="4">
        <v>7</v>
      </c>
      <c r="B58" s="4">
        <v>20.62</v>
      </c>
      <c r="C58" s="4">
        <v>0.35</v>
      </c>
      <c r="D58" s="4">
        <f t="shared" si="2"/>
        <v>58.914285714285718</v>
      </c>
      <c r="E58" s="4"/>
      <c r="F58" s="4">
        <v>20.617999999999999</v>
      </c>
      <c r="G58" s="4">
        <v>20.614999999999998</v>
      </c>
      <c r="H58" s="4">
        <v>20.616</v>
      </c>
      <c r="I58" s="4">
        <v>20.617999999999999</v>
      </c>
    </row>
    <row r="59" spans="1:9">
      <c r="A59" s="4">
        <v>8</v>
      </c>
      <c r="B59" s="4">
        <v>23.605</v>
      </c>
      <c r="C59" s="4">
        <v>0.4</v>
      </c>
      <c r="D59" s="4">
        <f t="shared" si="2"/>
        <v>59.012499999999996</v>
      </c>
      <c r="E59" s="4"/>
      <c r="F59" s="4">
        <v>23.571999999999999</v>
      </c>
      <c r="G59" s="4">
        <v>23.562999999999999</v>
      </c>
      <c r="H59" s="4">
        <v>23.6</v>
      </c>
      <c r="I59" s="4">
        <v>23.576000000000001</v>
      </c>
    </row>
    <row r="60" spans="1:9">
      <c r="A60" s="4">
        <v>9</v>
      </c>
      <c r="B60" s="4">
        <v>26.54</v>
      </c>
      <c r="C60" s="4">
        <v>0.45</v>
      </c>
      <c r="D60" s="4">
        <f t="shared" si="2"/>
        <v>58.977777777777774</v>
      </c>
      <c r="E60" s="4"/>
      <c r="F60" s="4">
        <v>26.524999999999999</v>
      </c>
      <c r="G60" s="4">
        <v>26.504000000000001</v>
      </c>
      <c r="H60" s="4">
        <v>26.513000000000002</v>
      </c>
      <c r="I60" s="4">
        <v>26.521000000000001</v>
      </c>
    </row>
    <row r="61" spans="1:9">
      <c r="A61" s="4">
        <v>10</v>
      </c>
      <c r="B61" s="4">
        <v>29.619</v>
      </c>
      <c r="C61" s="4">
        <v>0.5</v>
      </c>
      <c r="D61" s="4">
        <f t="shared" si="2"/>
        <v>59.238</v>
      </c>
      <c r="E61" s="4"/>
      <c r="F61" s="5">
        <v>29.498999999999999</v>
      </c>
      <c r="G61" s="5">
        <v>29.484999999999999</v>
      </c>
      <c r="H61" s="5">
        <v>29.492999999999999</v>
      </c>
      <c r="I61" s="5">
        <v>29.477</v>
      </c>
    </row>
    <row r="62" spans="1:9">
      <c r="A62" s="29" t="s">
        <v>19</v>
      </c>
      <c r="B62" s="29"/>
      <c r="C62" s="29"/>
      <c r="D62" s="29"/>
      <c r="E62" s="29"/>
    </row>
    <row r="63" spans="1:9">
      <c r="A63" s="1" t="s">
        <v>4</v>
      </c>
      <c r="B63" s="2" t="s">
        <v>5</v>
      </c>
      <c r="C63" s="2" t="s">
        <v>6</v>
      </c>
      <c r="D63" s="2" t="s">
        <v>2</v>
      </c>
      <c r="E63" s="3" t="s">
        <v>3</v>
      </c>
      <c r="F63" s="4" t="s">
        <v>7</v>
      </c>
      <c r="G63" s="4" t="s">
        <v>8</v>
      </c>
      <c r="H63" s="4" t="s">
        <v>9</v>
      </c>
      <c r="I63" s="4" t="s">
        <v>10</v>
      </c>
    </row>
    <row r="64" spans="1:9">
      <c r="A64" s="4" t="s">
        <v>4</v>
      </c>
      <c r="B64" s="4" t="s">
        <v>5</v>
      </c>
      <c r="C64" s="4" t="s">
        <v>6</v>
      </c>
      <c r="D64" s="4" t="s">
        <v>2</v>
      </c>
      <c r="E64" s="4" t="s">
        <v>3</v>
      </c>
      <c r="F64" s="2" t="s">
        <v>14</v>
      </c>
      <c r="G64" s="2" t="s">
        <v>15</v>
      </c>
      <c r="H64" s="2" t="s">
        <v>16</v>
      </c>
      <c r="I64" s="2" t="s">
        <v>17</v>
      </c>
    </row>
    <row r="65" spans="1:9">
      <c r="A65" s="4">
        <v>1</v>
      </c>
      <c r="B65" s="4">
        <v>2.5449999999999999</v>
      </c>
      <c r="C65" s="4">
        <v>0.05</v>
      </c>
      <c r="D65" s="4">
        <f t="shared" ref="D65:D74" si="3">B65/C65</f>
        <v>50.9</v>
      </c>
      <c r="E65" s="4">
        <v>76</v>
      </c>
      <c r="F65" s="4"/>
      <c r="G65" s="4"/>
      <c r="H65" s="4"/>
      <c r="I65" s="4"/>
    </row>
    <row r="66" spans="1:9">
      <c r="A66" s="4">
        <v>2</v>
      </c>
      <c r="B66" s="4">
        <v>5.0629999999999997</v>
      </c>
      <c r="C66" s="4">
        <v>0.1</v>
      </c>
      <c r="D66" s="4">
        <f t="shared" si="3"/>
        <v>50.629999999999995</v>
      </c>
      <c r="E66" s="4">
        <v>70</v>
      </c>
      <c r="F66" s="4"/>
      <c r="G66" s="4"/>
      <c r="H66" s="4"/>
      <c r="I66" s="4"/>
    </row>
    <row r="67" spans="1:9">
      <c r="A67" s="4">
        <v>3</v>
      </c>
      <c r="B67" s="4">
        <v>7.0869999999999997</v>
      </c>
      <c r="C67" s="4">
        <v>0.15</v>
      </c>
      <c r="D67" s="4">
        <f t="shared" si="3"/>
        <v>47.24666666666667</v>
      </c>
      <c r="E67" s="4">
        <v>74</v>
      </c>
      <c r="F67" s="4">
        <v>7.085</v>
      </c>
      <c r="G67" s="4">
        <v>7.077</v>
      </c>
      <c r="H67" s="4">
        <v>7.0720000000000001</v>
      </c>
      <c r="I67" s="4">
        <v>7.0659999999999998</v>
      </c>
    </row>
    <row r="68" spans="1:9">
      <c r="A68" s="4">
        <v>4</v>
      </c>
      <c r="B68" s="4">
        <v>9.4220000000000006</v>
      </c>
      <c r="C68" s="4">
        <v>0.2</v>
      </c>
      <c r="D68" s="4">
        <f t="shared" si="3"/>
        <v>47.11</v>
      </c>
      <c r="E68" s="4">
        <v>74</v>
      </c>
      <c r="F68" s="4">
        <v>9.4149999999999991</v>
      </c>
      <c r="G68" s="4">
        <v>9.407</v>
      </c>
      <c r="H68" s="4">
        <v>9.4090000000000007</v>
      </c>
      <c r="I68" s="4">
        <v>9.4</v>
      </c>
    </row>
    <row r="69" spans="1:9">
      <c r="A69" s="4">
        <v>5</v>
      </c>
      <c r="B69" s="4">
        <v>11.721</v>
      </c>
      <c r="C69" s="4">
        <v>0.25</v>
      </c>
      <c r="D69" s="4">
        <f t="shared" si="3"/>
        <v>46.884</v>
      </c>
      <c r="E69" s="4">
        <v>74</v>
      </c>
      <c r="F69" s="4">
        <v>11.722</v>
      </c>
      <c r="G69" s="4">
        <v>11.722</v>
      </c>
      <c r="H69" s="4">
        <v>11.723000000000001</v>
      </c>
      <c r="I69" s="4">
        <v>11.721</v>
      </c>
    </row>
    <row r="70" spans="1:9">
      <c r="A70" s="4">
        <v>6</v>
      </c>
      <c r="B70" s="4">
        <v>14.061999999999999</v>
      </c>
      <c r="C70" s="4">
        <v>0.3</v>
      </c>
      <c r="D70" s="4">
        <f t="shared" si="3"/>
        <v>46.873333333333335</v>
      </c>
      <c r="E70" s="4"/>
      <c r="F70" s="4">
        <v>14.055</v>
      </c>
      <c r="G70" s="4">
        <v>14.054</v>
      </c>
      <c r="H70" s="4">
        <v>14.051</v>
      </c>
      <c r="I70" s="4">
        <v>14.042999999999999</v>
      </c>
    </row>
    <row r="71" spans="1:9">
      <c r="A71" s="4">
        <v>7</v>
      </c>
      <c r="B71" s="4">
        <v>16.381</v>
      </c>
      <c r="C71" s="4">
        <v>0.35</v>
      </c>
      <c r="D71" s="4">
        <f t="shared" si="3"/>
        <v>46.80285714285715</v>
      </c>
      <c r="E71" s="4"/>
      <c r="F71" s="4">
        <v>16.379000000000001</v>
      </c>
      <c r="G71" s="4">
        <v>16.385999999999999</v>
      </c>
      <c r="H71" s="4">
        <v>16.381</v>
      </c>
      <c r="I71" s="4">
        <v>16.379000000000001</v>
      </c>
    </row>
    <row r="72" spans="1:9">
      <c r="A72" s="4">
        <v>8</v>
      </c>
      <c r="B72" s="4">
        <v>18.709</v>
      </c>
      <c r="C72" s="4">
        <v>0.4</v>
      </c>
      <c r="D72" s="4">
        <f t="shared" si="3"/>
        <v>46.772499999999994</v>
      </c>
      <c r="E72" s="4"/>
      <c r="F72" s="4">
        <v>18.715</v>
      </c>
      <c r="G72" s="4">
        <v>18.718</v>
      </c>
      <c r="H72" s="4">
        <v>18.716000000000001</v>
      </c>
      <c r="I72" s="4">
        <v>18.716999999999999</v>
      </c>
    </row>
    <row r="73" spans="1:9">
      <c r="A73" s="4">
        <v>9</v>
      </c>
      <c r="B73" s="4">
        <v>21.056999999999999</v>
      </c>
      <c r="C73" s="4">
        <v>0.45</v>
      </c>
      <c r="D73" s="4">
        <f t="shared" si="3"/>
        <v>46.793333333333329</v>
      </c>
      <c r="E73" s="4"/>
      <c r="F73" s="4">
        <v>21.056000000000001</v>
      </c>
      <c r="G73" s="4">
        <v>21.048999999999999</v>
      </c>
      <c r="H73" s="4">
        <v>21.042999999999999</v>
      </c>
      <c r="I73" s="4">
        <v>21.042999999999999</v>
      </c>
    </row>
    <row r="74" spans="1:9">
      <c r="A74" s="4">
        <v>10</v>
      </c>
      <c r="B74" s="4">
        <v>23.373999999999999</v>
      </c>
      <c r="C74" s="4">
        <v>0.5</v>
      </c>
      <c r="D74" s="4">
        <f t="shared" si="3"/>
        <v>46.747999999999998</v>
      </c>
      <c r="E74" s="4"/>
      <c r="F74" s="5">
        <v>23.370999999999999</v>
      </c>
      <c r="G74" s="5">
        <v>23.367000000000001</v>
      </c>
      <c r="H74" s="5">
        <v>23.367000000000001</v>
      </c>
      <c r="I74" s="5">
        <v>23.361000000000001</v>
      </c>
    </row>
    <row r="80" spans="1:9">
      <c r="A80" s="4" t="s">
        <v>4</v>
      </c>
      <c r="B80" s="4" t="s">
        <v>5</v>
      </c>
      <c r="C80" s="4" t="s">
        <v>6</v>
      </c>
      <c r="D80" s="4" t="s">
        <v>2</v>
      </c>
      <c r="E80" s="4" t="s">
        <v>3</v>
      </c>
      <c r="F80" s="2" t="s">
        <v>14</v>
      </c>
      <c r="G80" s="2" t="s">
        <v>15</v>
      </c>
      <c r="H80" s="2" t="s">
        <v>16</v>
      </c>
      <c r="I80" s="2" t="s">
        <v>17</v>
      </c>
    </row>
    <row r="81" spans="1:9">
      <c r="A81" s="4">
        <v>1</v>
      </c>
      <c r="B81" s="4">
        <v>2.5449999999999999</v>
      </c>
      <c r="C81" s="4">
        <v>0.05</v>
      </c>
      <c r="D81" s="4">
        <f t="shared" ref="D81:D90" si="4">B81/C81</f>
        <v>50.9</v>
      </c>
      <c r="E81" s="4">
        <v>73</v>
      </c>
      <c r="F81" s="2"/>
      <c r="G81" s="2"/>
      <c r="H81" s="2"/>
      <c r="I81" s="2"/>
    </row>
    <row r="82" spans="1:9">
      <c r="A82" s="4">
        <v>2</v>
      </c>
      <c r="B82" s="4">
        <v>5.0629999999999997</v>
      </c>
      <c r="C82" s="4">
        <v>0.1</v>
      </c>
      <c r="D82" s="4">
        <f t="shared" si="4"/>
        <v>50.629999999999995</v>
      </c>
      <c r="E82" s="4">
        <v>94</v>
      </c>
      <c r="F82" s="4"/>
      <c r="G82" s="4"/>
      <c r="H82" s="4"/>
      <c r="I82" s="4"/>
    </row>
    <row r="83" spans="1:9">
      <c r="A83" s="4">
        <v>3</v>
      </c>
      <c r="B83" s="4">
        <v>7.5869999999999997</v>
      </c>
      <c r="C83" s="4">
        <v>0.15</v>
      </c>
      <c r="D83" s="4">
        <f t="shared" si="4"/>
        <v>50.58</v>
      </c>
      <c r="E83" s="4">
        <v>88</v>
      </c>
      <c r="F83" s="4"/>
      <c r="G83" s="4"/>
      <c r="H83" s="4"/>
      <c r="I83" s="4"/>
    </row>
    <row r="84" spans="1:9">
      <c r="A84" s="4">
        <v>4</v>
      </c>
      <c r="B84" s="4">
        <v>10.112</v>
      </c>
      <c r="C84" s="4">
        <v>0.2</v>
      </c>
      <c r="D84" s="4">
        <f t="shared" si="4"/>
        <v>50.559999999999995</v>
      </c>
      <c r="E84" s="4">
        <v>53</v>
      </c>
      <c r="F84" s="4"/>
      <c r="G84" s="4"/>
      <c r="H84" s="4"/>
      <c r="I84" s="4"/>
    </row>
    <row r="85" spans="1:9">
      <c r="A85" s="4">
        <v>5</v>
      </c>
      <c r="B85" s="4">
        <v>12.624000000000001</v>
      </c>
      <c r="C85" s="4">
        <v>0.25</v>
      </c>
      <c r="D85" s="4">
        <f t="shared" si="4"/>
        <v>50.496000000000002</v>
      </c>
      <c r="E85" s="4">
        <v>66</v>
      </c>
      <c r="F85" s="4"/>
      <c r="G85" s="4"/>
      <c r="H85" s="4"/>
      <c r="I85" s="4"/>
    </row>
    <row r="86" spans="1:9">
      <c r="A86" s="4">
        <v>6</v>
      </c>
      <c r="B86" s="4">
        <v>15.151</v>
      </c>
      <c r="C86" s="4">
        <v>0.3</v>
      </c>
      <c r="D86" s="4">
        <f t="shared" si="4"/>
        <v>50.503333333333337</v>
      </c>
      <c r="E86" s="4">
        <v>82</v>
      </c>
      <c r="F86" s="4"/>
      <c r="G86" s="4"/>
      <c r="H86" s="4"/>
      <c r="I86" s="4"/>
    </row>
    <row r="87" spans="1:9">
      <c r="A87" s="4">
        <v>7</v>
      </c>
      <c r="B87" s="4">
        <v>17.681000000000001</v>
      </c>
      <c r="C87" s="4">
        <v>0.35</v>
      </c>
      <c r="D87" s="4">
        <f t="shared" si="4"/>
        <v>50.517142857142865</v>
      </c>
      <c r="E87" s="4"/>
      <c r="F87" s="4"/>
      <c r="G87" s="4"/>
      <c r="H87" s="4"/>
      <c r="I87" s="4"/>
    </row>
    <row r="88" spans="1:9">
      <c r="A88" s="4">
        <v>8</v>
      </c>
      <c r="B88" s="4">
        <v>20.199000000000002</v>
      </c>
      <c r="C88" s="4">
        <v>0.4</v>
      </c>
      <c r="D88" s="4">
        <f t="shared" si="4"/>
        <v>50.497500000000002</v>
      </c>
      <c r="E88" s="4"/>
      <c r="F88" s="4"/>
      <c r="G88" s="4"/>
      <c r="H88" s="4"/>
      <c r="I88" s="4"/>
    </row>
    <row r="89" spans="1:9">
      <c r="A89" s="4">
        <v>9</v>
      </c>
      <c r="B89" s="4">
        <v>22.731000000000002</v>
      </c>
      <c r="C89" s="4">
        <v>0.45</v>
      </c>
      <c r="D89" s="4">
        <f t="shared" si="4"/>
        <v>50.513333333333335</v>
      </c>
      <c r="E89" s="4"/>
      <c r="F89" s="4"/>
      <c r="G89" s="4"/>
      <c r="H89" s="4"/>
      <c r="I89" s="4"/>
    </row>
    <row r="90" spans="1:9">
      <c r="A90" s="4">
        <v>10</v>
      </c>
      <c r="B90" s="4">
        <v>25.251000000000001</v>
      </c>
      <c r="C90" s="4">
        <v>0.5</v>
      </c>
      <c r="D90" s="4">
        <f t="shared" si="4"/>
        <v>50.502000000000002</v>
      </c>
      <c r="E90" s="4"/>
      <c r="F90" s="5"/>
      <c r="G90" s="5"/>
      <c r="H90" s="5"/>
      <c r="I90" s="5"/>
    </row>
  </sheetData>
  <mergeCells count="4">
    <mergeCell ref="A1:E1"/>
    <mergeCell ref="A36:E36"/>
    <mergeCell ref="A49:E49"/>
    <mergeCell ref="A62:E6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194B-B4B7-4838-885C-6E0893E8AB4A}">
  <dimension ref="A1:C2"/>
  <sheetViews>
    <sheetView workbookViewId="0">
      <selection activeCell="C2" sqref="C2"/>
    </sheetView>
  </sheetViews>
  <sheetFormatPr defaultRowHeight="14.45"/>
  <cols>
    <col min="1" max="1" width="12.42578125" customWidth="1"/>
    <col min="2" max="2" width="25.42578125" customWidth="1"/>
  </cols>
  <sheetData>
    <row r="1" spans="1:3">
      <c r="A1" s="11" t="s">
        <v>20</v>
      </c>
      <c r="B1" s="11" t="s">
        <v>21</v>
      </c>
      <c r="C1" s="11" t="s">
        <v>22</v>
      </c>
    </row>
    <row r="2" spans="1:3">
      <c r="A2">
        <v>1.1499999999999999</v>
      </c>
      <c r="C2">
        <v>0.98699999999999999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88B3-9B14-5F42-B6CE-2AECD4EF83DD}">
  <dimension ref="A1:Q28"/>
  <sheetViews>
    <sheetView tabSelected="1" zoomScaleNormal="150" zoomScaleSheetLayoutView="100" workbookViewId="0">
      <selection activeCell="K6" sqref="K6"/>
    </sheetView>
  </sheetViews>
  <sheetFormatPr defaultRowHeight="14.45"/>
  <cols>
    <col min="1" max="1" width="5.42578125" customWidth="1"/>
    <col min="2" max="2" width="10.7109375" customWidth="1"/>
    <col min="3" max="3" width="13.42578125" customWidth="1"/>
    <col min="4" max="4" width="19.28515625" customWidth="1"/>
    <col min="9" max="9" width="13.140625" customWidth="1"/>
    <col min="10" max="10" width="7.5703125" customWidth="1"/>
  </cols>
  <sheetData>
    <row r="1" spans="1:10">
      <c r="A1" s="6" t="s">
        <v>4</v>
      </c>
      <c r="B1" s="6" t="s">
        <v>5</v>
      </c>
      <c r="C1" s="6" t="s">
        <v>6</v>
      </c>
      <c r="D1" s="6" t="s">
        <v>2</v>
      </c>
    </row>
    <row r="2" spans="1:10">
      <c r="A2" s="7">
        <v>1</v>
      </c>
      <c r="B2" s="7">
        <v>0.95299999999999996</v>
      </c>
      <c r="C2" s="7">
        <v>0.44</v>
      </c>
      <c r="D2" s="7">
        <f>B2/C2</f>
        <v>2.165909090909091</v>
      </c>
    </row>
    <row r="3" spans="1:10">
      <c r="A3" s="8">
        <v>2</v>
      </c>
      <c r="B3" s="8">
        <v>0.94699999999999995</v>
      </c>
      <c r="C3" s="8">
        <v>0.49099999999999999</v>
      </c>
      <c r="D3" s="8">
        <f t="shared" ref="D3:D7" si="0">B3/C3</f>
        <v>1.9287169042769856</v>
      </c>
    </row>
    <row r="4" spans="1:10">
      <c r="A4" s="7">
        <v>3</v>
      </c>
      <c r="B4" s="7">
        <v>0.434</v>
      </c>
      <c r="C4" s="7">
        <v>0.95399999999999996</v>
      </c>
      <c r="D4" s="7">
        <f t="shared" si="0"/>
        <v>0.45492662473794548</v>
      </c>
    </row>
    <row r="5" spans="1:10">
      <c r="A5" s="8">
        <v>4</v>
      </c>
      <c r="B5" s="8"/>
      <c r="C5" s="8"/>
      <c r="D5" s="8" t="e">
        <f>B5/C5</f>
        <v>#DIV/0!</v>
      </c>
    </row>
    <row r="6" spans="1:10">
      <c r="A6" s="7">
        <v>5</v>
      </c>
      <c r="B6" s="7"/>
      <c r="C6" s="7"/>
      <c r="D6" s="7" t="e">
        <f t="shared" si="0"/>
        <v>#DIV/0!</v>
      </c>
    </row>
    <row r="7" spans="1:10">
      <c r="A7" s="8">
        <v>6</v>
      </c>
      <c r="B7" s="8"/>
      <c r="C7" s="8"/>
      <c r="D7" s="8" t="e">
        <f t="shared" si="0"/>
        <v>#DIV/0!</v>
      </c>
    </row>
    <row r="8" spans="1:10">
      <c r="A8" s="7">
        <v>7</v>
      </c>
      <c r="B8" s="7"/>
      <c r="C8" s="7"/>
      <c r="D8" s="7" t="e">
        <f t="shared" ref="D8:D9" si="1">B8/C8</f>
        <v>#DIV/0!</v>
      </c>
    </row>
    <row r="9" spans="1:10">
      <c r="A9" s="8">
        <v>8</v>
      </c>
      <c r="B9" s="8"/>
      <c r="C9" s="8"/>
      <c r="D9" s="8" t="e">
        <f t="shared" si="1"/>
        <v>#DIV/0!</v>
      </c>
    </row>
    <row r="12" spans="1:10">
      <c r="B12" t="s">
        <v>23</v>
      </c>
      <c r="C12" t="s">
        <v>24</v>
      </c>
      <c r="D12" t="s">
        <v>25</v>
      </c>
      <c r="E12" t="s">
        <v>26</v>
      </c>
      <c r="H12" t="s">
        <v>23</v>
      </c>
      <c r="I12" t="s">
        <v>27</v>
      </c>
      <c r="J12" t="s">
        <v>28</v>
      </c>
    </row>
    <row r="13" spans="1:10">
      <c r="A13">
        <v>1</v>
      </c>
      <c r="B13">
        <v>1</v>
      </c>
      <c r="G13" t="e">
        <f>AVERAGE(C13:F13)</f>
        <v>#DIV/0!</v>
      </c>
    </row>
    <row r="14" spans="1:10">
      <c r="A14">
        <v>2</v>
      </c>
      <c r="B14">
        <v>1.25</v>
      </c>
      <c r="C14">
        <v>0.628</v>
      </c>
      <c r="D14">
        <v>0.54400000000000004</v>
      </c>
      <c r="E14">
        <v>0.54100000000000004</v>
      </c>
      <c r="G14">
        <f>AVERAGE(C14:F14)</f>
        <v>0.57100000000000006</v>
      </c>
      <c r="H14">
        <v>1.25</v>
      </c>
      <c r="I14">
        <f>(MAX(C14:E14)-MIN(C14:E14))/2</f>
        <v>4.3499999999999983E-2</v>
      </c>
    </row>
    <row r="15" spans="1:10">
      <c r="A15">
        <v>3</v>
      </c>
      <c r="B15">
        <v>1.5</v>
      </c>
      <c r="C15">
        <v>0.64</v>
      </c>
      <c r="D15">
        <v>0.72199999999999998</v>
      </c>
      <c r="E15">
        <v>0.63</v>
      </c>
      <c r="F15">
        <v>0.64800000000000002</v>
      </c>
      <c r="G15">
        <f t="shared" ref="G15:G21" si="2">AVERAGE(C15:F15)</f>
        <v>0.66</v>
      </c>
      <c r="H15">
        <v>1.5</v>
      </c>
      <c r="I15">
        <f t="shared" ref="I15:I21" si="3">(MAX(C15:E15)-MIN(C15:E15))/2</f>
        <v>4.5999999999999985E-2</v>
      </c>
    </row>
    <row r="16" spans="1:10">
      <c r="A16">
        <v>4</v>
      </c>
      <c r="B16">
        <v>1.75</v>
      </c>
      <c r="C16">
        <v>0.74</v>
      </c>
      <c r="D16">
        <v>0.751</v>
      </c>
      <c r="E16">
        <v>0.69899999999999995</v>
      </c>
      <c r="F16">
        <v>0.74299999999999999</v>
      </c>
      <c r="G16">
        <f t="shared" si="2"/>
        <v>0.73324999999999996</v>
      </c>
      <c r="H16">
        <v>1.75</v>
      </c>
      <c r="I16">
        <f t="shared" si="3"/>
        <v>2.6000000000000023E-2</v>
      </c>
    </row>
    <row r="17" spans="1:17">
      <c r="A17">
        <v>5</v>
      </c>
      <c r="B17">
        <v>2</v>
      </c>
      <c r="C17">
        <v>0.85299999999999998</v>
      </c>
      <c r="D17">
        <v>0.81599999999999995</v>
      </c>
      <c r="E17">
        <v>0.82499999999999996</v>
      </c>
      <c r="F17">
        <v>0.81599999999999995</v>
      </c>
      <c r="G17">
        <f t="shared" si="2"/>
        <v>0.8274999999999999</v>
      </c>
      <c r="H17">
        <v>2</v>
      </c>
      <c r="I17">
        <f t="shared" si="3"/>
        <v>1.8500000000000016E-2</v>
      </c>
    </row>
    <row r="18" spans="1:17">
      <c r="A18">
        <v>6</v>
      </c>
      <c r="B18">
        <v>2.25</v>
      </c>
      <c r="C18">
        <v>0.91400000000000003</v>
      </c>
      <c r="D18">
        <v>0.90400000000000003</v>
      </c>
      <c r="E18">
        <v>0.91500000000000004</v>
      </c>
      <c r="F18">
        <v>0.93500000000000005</v>
      </c>
      <c r="G18">
        <f t="shared" si="2"/>
        <v>0.91700000000000004</v>
      </c>
      <c r="H18">
        <v>2.25</v>
      </c>
      <c r="I18">
        <f t="shared" si="3"/>
        <v>5.5000000000000049E-3</v>
      </c>
    </row>
    <row r="19" spans="1:17">
      <c r="A19">
        <v>7</v>
      </c>
      <c r="B19">
        <v>2.5</v>
      </c>
      <c r="C19" s="15">
        <v>1.0740000000000001</v>
      </c>
      <c r="D19">
        <v>1.0009999999999999</v>
      </c>
      <c r="E19">
        <v>1.0109999999999999</v>
      </c>
      <c r="F19">
        <v>1.016</v>
      </c>
      <c r="G19">
        <f t="shared" si="2"/>
        <v>1.0255000000000001</v>
      </c>
      <c r="H19">
        <v>2.5</v>
      </c>
      <c r="I19">
        <f t="shared" si="3"/>
        <v>3.6500000000000088E-2</v>
      </c>
    </row>
    <row r="20" spans="1:17">
      <c r="A20">
        <v>8</v>
      </c>
      <c r="B20">
        <v>2.75</v>
      </c>
      <c r="C20">
        <v>1.278</v>
      </c>
      <c r="D20">
        <v>1.2250000000000001</v>
      </c>
      <c r="E20">
        <v>1.222</v>
      </c>
      <c r="F20">
        <v>1.23</v>
      </c>
      <c r="G20">
        <f t="shared" si="2"/>
        <v>1.23875</v>
      </c>
      <c r="H20">
        <v>2.75</v>
      </c>
      <c r="I20">
        <f t="shared" si="3"/>
        <v>2.8000000000000025E-2</v>
      </c>
    </row>
    <row r="21" spans="1:17">
      <c r="A21">
        <v>9</v>
      </c>
      <c r="B21">
        <v>3</v>
      </c>
      <c r="C21">
        <v>1.345</v>
      </c>
      <c r="D21">
        <v>1.405</v>
      </c>
      <c r="E21">
        <v>1.3480000000000001</v>
      </c>
      <c r="F21">
        <v>1.377</v>
      </c>
      <c r="G21">
        <f t="shared" si="2"/>
        <v>1.3687499999999999</v>
      </c>
      <c r="H21">
        <v>3</v>
      </c>
      <c r="I21">
        <f t="shared" si="3"/>
        <v>3.0000000000000027E-2</v>
      </c>
    </row>
    <row r="23" spans="1:17">
      <c r="I23" s="31" t="s">
        <v>29</v>
      </c>
      <c r="J23" s="31"/>
      <c r="L23" s="31" t="s">
        <v>30</v>
      </c>
      <c r="M23" s="31"/>
    </row>
    <row r="24" spans="1:17">
      <c r="I24" s="4" t="s">
        <v>31</v>
      </c>
      <c r="J24" s="4" t="s">
        <v>32</v>
      </c>
      <c r="L24" s="4" t="s">
        <v>23</v>
      </c>
      <c r="M24" s="4" t="s">
        <v>32</v>
      </c>
    </row>
    <row r="25" spans="1:17">
      <c r="I25" s="4">
        <v>1.25</v>
      </c>
      <c r="J25" s="4">
        <v>0.58450000000000002</v>
      </c>
      <c r="L25" s="4">
        <v>1.25</v>
      </c>
      <c r="M25" s="4">
        <v>0.52749999999999997</v>
      </c>
    </row>
    <row r="26" spans="1:17">
      <c r="B26" t="s">
        <v>33</v>
      </c>
      <c r="C26" t="s">
        <v>34</v>
      </c>
      <c r="I26" s="4">
        <v>3</v>
      </c>
      <c r="J26" s="4">
        <v>1.3387500000000001</v>
      </c>
      <c r="L26" s="4">
        <v>3</v>
      </c>
      <c r="M26" s="4">
        <v>1.4</v>
      </c>
    </row>
    <row r="27" spans="1:17">
      <c r="B27" s="30" t="s">
        <v>35</v>
      </c>
      <c r="C27" s="30"/>
      <c r="D27" t="s">
        <v>36</v>
      </c>
      <c r="Q27" t="s">
        <v>37</v>
      </c>
    </row>
    <row r="28" spans="1:17">
      <c r="B28" s="30" t="s">
        <v>38</v>
      </c>
      <c r="C28" s="30"/>
      <c r="D28" t="s">
        <v>39</v>
      </c>
      <c r="I28">
        <v>2.85</v>
      </c>
      <c r="J28">
        <v>1.5495000000000001</v>
      </c>
      <c r="K28" s="26">
        <f>(I28-J28)/2</f>
        <v>0.65024999999999999</v>
      </c>
    </row>
  </sheetData>
  <mergeCells count="4">
    <mergeCell ref="B27:C27"/>
    <mergeCell ref="B28:C28"/>
    <mergeCell ref="I23:J23"/>
    <mergeCell ref="L23:M2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EF08-0F72-4F5D-9696-41BE45690D7C}">
  <dimension ref="A1:Z40"/>
  <sheetViews>
    <sheetView zoomScale="105" workbookViewId="0">
      <selection activeCell="K3" sqref="K3"/>
    </sheetView>
  </sheetViews>
  <sheetFormatPr defaultRowHeight="14.45"/>
  <cols>
    <col min="1" max="1" width="7.42578125" customWidth="1"/>
    <col min="2" max="2" width="17.42578125" customWidth="1"/>
    <col min="3" max="3" width="11.85546875" customWidth="1"/>
    <col min="4" max="5" width="12.42578125" customWidth="1"/>
    <col min="6" max="6" width="23.42578125" customWidth="1"/>
    <col min="7" max="7" width="19" customWidth="1"/>
    <col min="8" max="8" width="13.42578125" customWidth="1"/>
    <col min="9" max="9" width="14.85546875" customWidth="1"/>
    <col min="10" max="10" width="8.5703125" bestFit="1" customWidth="1"/>
    <col min="11" max="13" width="8.5703125" customWidth="1"/>
    <col min="14" max="14" width="17.28515625" customWidth="1"/>
    <col min="17" max="17" width="4.85546875" customWidth="1"/>
    <col min="18" max="18" width="17.28515625" customWidth="1"/>
    <col min="21" max="21" width="16.85546875" customWidth="1"/>
    <col min="22" max="22" width="19.42578125" customWidth="1"/>
    <col min="23" max="23" width="14.42578125" customWidth="1"/>
    <col min="24" max="24" width="13.5703125" customWidth="1"/>
    <col min="25" max="25" width="14" customWidth="1"/>
  </cols>
  <sheetData>
    <row r="1" spans="1:26">
      <c r="A1" s="9" t="s">
        <v>40</v>
      </c>
      <c r="B1" s="9" t="s">
        <v>41</v>
      </c>
      <c r="C1" s="10" t="s">
        <v>42</v>
      </c>
      <c r="D1" s="9" t="s">
        <v>43</v>
      </c>
      <c r="E1" s="9" t="s">
        <v>44</v>
      </c>
      <c r="F1" s="9" t="s">
        <v>45</v>
      </c>
      <c r="G1" s="9" t="s">
        <v>46</v>
      </c>
      <c r="H1" s="9" t="s">
        <v>47</v>
      </c>
      <c r="I1" s="9" t="s">
        <v>48</v>
      </c>
      <c r="J1" s="9" t="s">
        <v>49</v>
      </c>
      <c r="K1" s="9" t="s">
        <v>50</v>
      </c>
      <c r="L1" s="9" t="s">
        <v>51</v>
      </c>
      <c r="O1" s="9" t="s">
        <v>52</v>
      </c>
    </row>
    <row r="2" spans="1:26">
      <c r="A2">
        <v>1</v>
      </c>
      <c r="B2">
        <v>1.54</v>
      </c>
      <c r="C2">
        <v>252</v>
      </c>
      <c r="D2">
        <v>52</v>
      </c>
      <c r="E2">
        <f>Table9[[#This Row],[F1 (g)]]+Table9[[#This Row],[F2 (g)]]</f>
        <v>304</v>
      </c>
      <c r="F2">
        <v>5</v>
      </c>
      <c r="G2">
        <v>1272</v>
      </c>
      <c r="H2">
        <f>Table9[[#This Row],[Motor speed (rpm)]]*2*(PI()/60)</f>
        <v>133.20352851220721</v>
      </c>
      <c r="I2">
        <f>((Table9[[#This Row],[F1 (g)]]*0.01)-(Table9[[#This Row],[F2 (g)]]*0.01))*(0.005)</f>
        <v>0.01</v>
      </c>
      <c r="J2">
        <f>5 - (0.14+(2.261*Table9[[#This Row],[Motor current (A)]]))</f>
        <v>1.3780599999999996</v>
      </c>
      <c r="O2">
        <v>10</v>
      </c>
    </row>
    <row r="3" spans="1:26">
      <c r="A3">
        <v>1</v>
      </c>
      <c r="B3">
        <v>1.45</v>
      </c>
      <c r="C3">
        <v>225</v>
      </c>
      <c r="D3">
        <v>25</v>
      </c>
      <c r="E3">
        <f>Table9[[#This Row],[F1 (g)]]+Table9[[#This Row],[F2 (g)]]</f>
        <v>250</v>
      </c>
      <c r="F3">
        <v>5</v>
      </c>
      <c r="G3">
        <v>1836</v>
      </c>
      <c r="H3">
        <f>Table9[[#This Row],[Motor speed (rpm)]]*2*(PI()/60)</f>
        <v>192.26547039969532</v>
      </c>
      <c r="I3">
        <f>((Table9[[#This Row],[F1 (g)]]*0.01)-(Table9[[#This Row],[F2 (g)]]*0.01))*(0.005)</f>
        <v>0.01</v>
      </c>
      <c r="J3">
        <f>5 - (0.14+(2.261*Table9[[#This Row],[Motor current (A)]]))</f>
        <v>1.58155</v>
      </c>
      <c r="K3">
        <v>1E-3</v>
      </c>
    </row>
    <row r="4" spans="1:26">
      <c r="A4">
        <v>1</v>
      </c>
      <c r="B4">
        <v>1.3480000000000001</v>
      </c>
      <c r="C4">
        <v>210</v>
      </c>
      <c r="D4">
        <v>30</v>
      </c>
      <c r="E4">
        <f>Table9[[#This Row],[F1 (g)]]+Table9[[#This Row],[F2 (g)]]</f>
        <v>240</v>
      </c>
      <c r="F4">
        <v>5</v>
      </c>
      <c r="G4">
        <v>1995</v>
      </c>
      <c r="H4">
        <f>Table9[[#This Row],[Motor speed (rpm)]]*2*(PI()/60)</f>
        <v>208.91591146372124</v>
      </c>
      <c r="I4">
        <f>((Table9[[#This Row],[F1 (g)]]*0.01)-(Table9[[#This Row],[F2 (g)]]*0.01))*(0.005)</f>
        <v>9.0000000000000011E-3</v>
      </c>
      <c r="J4">
        <f>5 - (0.14+(2.261*Table9[[#This Row],[Motor current (A)]]))</f>
        <v>1.8121719999999994</v>
      </c>
      <c r="K4">
        <v>1E-3</v>
      </c>
    </row>
    <row r="5" spans="1:26">
      <c r="A5">
        <v>4</v>
      </c>
      <c r="B5">
        <v>1.25</v>
      </c>
      <c r="C5">
        <v>200</v>
      </c>
      <c r="D5">
        <v>25</v>
      </c>
      <c r="E5">
        <f>Table9[[#This Row],[F1 (g)]]+Table9[[#This Row],[F2 (g)]]</f>
        <v>225</v>
      </c>
      <c r="F5">
        <v>5</v>
      </c>
      <c r="G5">
        <v>2150</v>
      </c>
      <c r="H5">
        <f>Table9[[#This Row],[Motor speed (rpm)]]*2*(PI()/60)</f>
        <v>225.1474735072685</v>
      </c>
      <c r="I5">
        <f>((Table9[[#This Row],[F1 (g)]]*0.01)-(Table9[[#This Row],[F2 (g)]]*0.01))*(0.005)</f>
        <v>8.7500000000000008E-3</v>
      </c>
      <c r="J5">
        <f>5 - (0.14+(2.261*Table9[[#This Row],[Motor current (A)]]))</f>
        <v>2.0337499999999999</v>
      </c>
      <c r="K5">
        <v>1E-3</v>
      </c>
    </row>
    <row r="6" spans="1:26">
      <c r="A6">
        <v>5</v>
      </c>
      <c r="B6">
        <v>1.155</v>
      </c>
      <c r="C6">
        <v>170</v>
      </c>
      <c r="D6">
        <v>25</v>
      </c>
      <c r="E6">
        <f>Table9[[#This Row],[F1 (g)]]+Table9[[#This Row],[F2 (g)]]</f>
        <v>195</v>
      </c>
      <c r="F6">
        <v>5</v>
      </c>
      <c r="G6">
        <v>2358</v>
      </c>
      <c r="H6">
        <f>Table9[[#This Row],[Motor speed (rpm)]]*2*(PI()/60)</f>
        <v>246.92918257215771</v>
      </c>
      <c r="I6">
        <f>((Table9[[#This Row],[F1 (g)]]*0.01)-(Table9[[#This Row],[F2 (g)]]*0.01))*(0.005)</f>
        <v>7.2499999999999995E-3</v>
      </c>
      <c r="J6">
        <f>5 - (0.14+(2.261*Table9[[#This Row],[Motor current (A)]]))</f>
        <v>2.2485449999999996</v>
      </c>
      <c r="K6">
        <v>1E-3</v>
      </c>
    </row>
    <row r="7" spans="1:26">
      <c r="A7">
        <v>6</v>
      </c>
      <c r="B7">
        <v>1.05</v>
      </c>
      <c r="C7">
        <v>155</v>
      </c>
      <c r="D7">
        <v>20</v>
      </c>
      <c r="E7">
        <f>Table9[[#This Row],[F1 (g)]]+Table9[[#This Row],[F2 (g)]]</f>
        <v>175</v>
      </c>
      <c r="F7">
        <v>5</v>
      </c>
      <c r="G7">
        <v>2703</v>
      </c>
      <c r="H7">
        <f>Table9[[#This Row],[Motor speed (rpm)]]*2*(PI()/60)</f>
        <v>283.05749808844035</v>
      </c>
      <c r="I7">
        <f>((Table9[[#This Row],[F1 (g)]]*0.01)-(Table9[[#This Row],[F2 (g)]]*0.01))*(0.005)</f>
        <v>6.7500000000000008E-3</v>
      </c>
      <c r="J7">
        <f>5 - (0.14+(2.261*Table9[[#This Row],[Motor current (A)]]))</f>
        <v>2.4859499999999994</v>
      </c>
      <c r="K7">
        <v>1E-3</v>
      </c>
    </row>
    <row r="8" spans="1:26">
      <c r="A8">
        <v>7</v>
      </c>
      <c r="B8">
        <v>0.95</v>
      </c>
      <c r="C8">
        <v>135</v>
      </c>
      <c r="D8">
        <v>15</v>
      </c>
      <c r="E8">
        <f>Table9[[#This Row],[F1 (g)]]+Table9[[#This Row],[F2 (g)]]</f>
        <v>150</v>
      </c>
      <c r="F8">
        <v>5</v>
      </c>
      <c r="G8">
        <v>2848</v>
      </c>
      <c r="H8">
        <f>Table9[[#This Row],[Motor speed (rpm)]]*2*(PI()/60)</f>
        <v>298.24186258079101</v>
      </c>
      <c r="I8">
        <f>((Table9[[#This Row],[F1 (g)]]*0.01)-(Table9[[#This Row],[F2 (g)]]*0.01))*(0.005)</f>
        <v>6.000000000000001E-3</v>
      </c>
      <c r="J8">
        <f>5 - (0.14+(2.261*Table9[[#This Row],[Motor current (A)]]))</f>
        <v>2.7120500000000001</v>
      </c>
      <c r="K8">
        <v>1E-3</v>
      </c>
    </row>
    <row r="9" spans="1:26">
      <c r="A9">
        <v>8</v>
      </c>
      <c r="B9">
        <v>0.85</v>
      </c>
      <c r="C9">
        <v>120</v>
      </c>
      <c r="D9">
        <v>15</v>
      </c>
      <c r="E9">
        <f>Table9[[#This Row],[F1 (g)]]+Table9[[#This Row],[F2 (g)]]</f>
        <v>135</v>
      </c>
      <c r="F9">
        <v>5</v>
      </c>
      <c r="G9">
        <v>3065</v>
      </c>
      <c r="H9">
        <f>Table9[[#This Row],[Motor speed (rpm)]]*2*(PI()/60)</f>
        <v>320.96604944175721</v>
      </c>
      <c r="I9">
        <f>((Table9[[#This Row],[F1 (g)]]*0.01)-(Table9[[#This Row],[F2 (g)]]*0.01))*(0.005)</f>
        <v>5.2500000000000003E-3</v>
      </c>
      <c r="J9">
        <f>5 - (0.14+(2.261*Table9[[#This Row],[Motor current (A)]]))</f>
        <v>2.9381499999999998</v>
      </c>
      <c r="K9">
        <v>1E-3</v>
      </c>
      <c r="R9" s="4" t="s">
        <v>40</v>
      </c>
      <c r="S9" s="4" t="s">
        <v>41</v>
      </c>
      <c r="T9" s="4" t="s">
        <v>42</v>
      </c>
      <c r="U9" s="4" t="s">
        <v>43</v>
      </c>
      <c r="V9" s="4" t="s">
        <v>53</v>
      </c>
      <c r="W9" s="4" t="s">
        <v>46</v>
      </c>
      <c r="X9" s="4" t="s">
        <v>48</v>
      </c>
      <c r="Y9" s="4" t="s">
        <v>54</v>
      </c>
      <c r="Z9" s="4" t="s">
        <v>50</v>
      </c>
    </row>
    <row r="10" spans="1:26">
      <c r="A10">
        <v>9</v>
      </c>
      <c r="B10">
        <v>0.75</v>
      </c>
      <c r="C10">
        <v>110</v>
      </c>
      <c r="D10">
        <v>11</v>
      </c>
      <c r="E10">
        <f>Table9[[#This Row],[F1 (g)]]+Table9[[#This Row],[F2 (g)]]</f>
        <v>121</v>
      </c>
      <c r="F10">
        <v>5</v>
      </c>
      <c r="G10">
        <v>3334</v>
      </c>
      <c r="H10">
        <f>Table9[[#This Row],[Motor speed (rpm)]]*2*(PI()/60)</f>
        <v>349.13566356894563</v>
      </c>
      <c r="I10">
        <f>((Table9[[#This Row],[F1 (g)]]*0.01)-(Table9[[#This Row],[F2 (g)]]*0.01))*(0.005)</f>
        <v>4.9500000000000004E-3</v>
      </c>
      <c r="J10">
        <f>5 - (0.14+(2.261*Table9[[#This Row],[Motor current (A)]]))</f>
        <v>3.16425</v>
      </c>
      <c r="K10">
        <v>1E-3</v>
      </c>
      <c r="R10" s="4">
        <v>1</v>
      </c>
      <c r="S10" s="4">
        <v>1.54</v>
      </c>
      <c r="T10" s="4">
        <v>252</v>
      </c>
      <c r="U10" s="4">
        <v>52</v>
      </c>
      <c r="V10" s="4">
        <v>5</v>
      </c>
      <c r="W10" s="4">
        <v>1272</v>
      </c>
      <c r="X10" s="4">
        <v>0.01</v>
      </c>
      <c r="Y10" s="4">
        <v>4.9980000000000002</v>
      </c>
      <c r="Z10" s="4"/>
    </row>
    <row r="11" spans="1:26">
      <c r="A11">
        <v>10</v>
      </c>
      <c r="B11">
        <v>0.65</v>
      </c>
      <c r="C11">
        <v>90</v>
      </c>
      <c r="D11">
        <v>9</v>
      </c>
      <c r="E11">
        <f>Table9[[#This Row],[F1 (g)]]+Table9[[#This Row],[F2 (g)]]</f>
        <v>99</v>
      </c>
      <c r="F11">
        <v>5</v>
      </c>
      <c r="G11">
        <v>3660</v>
      </c>
      <c r="H11">
        <f>Table9[[#This Row],[Motor speed (rpm)]]*2*(PI()/60)</f>
        <v>383.27430373795477</v>
      </c>
      <c r="I11">
        <f>((Table9[[#This Row],[F1 (g)]]*0.01)-(Table9[[#This Row],[F2 (g)]]*0.01))*(0.005)</f>
        <v>4.0500000000000006E-3</v>
      </c>
      <c r="J11">
        <f>5 - (0.14+(2.261*Table9[[#This Row],[Motor current (A)]]))</f>
        <v>3.3903499999999998</v>
      </c>
      <c r="K11">
        <v>1E-3</v>
      </c>
      <c r="R11" s="4">
        <v>1</v>
      </c>
      <c r="S11" s="4">
        <v>1.45</v>
      </c>
      <c r="T11" s="4">
        <v>225</v>
      </c>
      <c r="U11" s="4">
        <v>25</v>
      </c>
      <c r="V11" s="4">
        <v>5</v>
      </c>
      <c r="W11" s="4">
        <v>1836</v>
      </c>
      <c r="X11" s="4">
        <v>0.01</v>
      </c>
      <c r="Y11" s="4">
        <v>5.0110000000000001</v>
      </c>
      <c r="Z11" s="4">
        <v>1E-3</v>
      </c>
    </row>
    <row r="12" spans="1:26">
      <c r="C12" t="s">
        <v>55</v>
      </c>
      <c r="D12" t="s">
        <v>55</v>
      </c>
      <c r="E12" t="e">
        <f>Table9[[#This Row],[F1 (g)]]+Table9[[#This Row],[F2 (g)]]</f>
        <v>#VALUE!</v>
      </c>
      <c r="H12">
        <f>Table9[[#This Row],[Motor speed (rpm)]]*2*(PI()/60)</f>
        <v>0</v>
      </c>
      <c r="I12" t="e">
        <f>((Table9[[#This Row],[F1 (g)]]*0.01)-(Table9[[#This Row],[F2 (g)]]*0.01))*(0.005)</f>
        <v>#VALUE!</v>
      </c>
      <c r="J12">
        <f>5 - (0.14+(2.261*Table9[[#This Row],[Motor current (A)]]))</f>
        <v>4.8600000000000003</v>
      </c>
      <c r="R12" s="4">
        <v>1</v>
      </c>
      <c r="S12" s="4">
        <v>1.3480000000000001</v>
      </c>
      <c r="T12" s="4">
        <v>210</v>
      </c>
      <c r="U12" s="4">
        <v>30</v>
      </c>
      <c r="V12" s="4">
        <v>5</v>
      </c>
      <c r="W12" s="4">
        <v>1995</v>
      </c>
      <c r="X12" s="4">
        <v>9.0000000000000011E-3</v>
      </c>
      <c r="Y12" s="4">
        <v>5.0199999999999996</v>
      </c>
      <c r="Z12" s="4">
        <v>1E-3</v>
      </c>
    </row>
    <row r="13" spans="1:26">
      <c r="Q13" s="4">
        <v>4</v>
      </c>
      <c r="R13" s="4">
        <v>1.25</v>
      </c>
      <c r="S13" s="4">
        <v>200</v>
      </c>
      <c r="T13" s="4">
        <v>25</v>
      </c>
      <c r="U13" s="4">
        <v>5</v>
      </c>
      <c r="V13" s="4">
        <v>2150</v>
      </c>
      <c r="W13" s="4">
        <v>8.7500000000000008E-3</v>
      </c>
      <c r="X13" s="4">
        <v>5.0279999999999996</v>
      </c>
      <c r="Y13" s="4">
        <v>1E-3</v>
      </c>
    </row>
    <row r="14" spans="1:26">
      <c r="Q14" s="4">
        <v>5</v>
      </c>
      <c r="R14" s="4">
        <v>1.155</v>
      </c>
      <c r="S14" s="4">
        <v>170</v>
      </c>
      <c r="T14" s="4">
        <v>25</v>
      </c>
      <c r="U14" s="4">
        <v>5</v>
      </c>
      <c r="V14" s="4">
        <v>2358</v>
      </c>
      <c r="W14" s="4">
        <v>7.2499999999999995E-3</v>
      </c>
      <c r="X14" s="4">
        <v>5.0359999999999996</v>
      </c>
      <c r="Y14" s="4">
        <v>1E-3</v>
      </c>
    </row>
    <row r="15" spans="1:26">
      <c r="I15" t="s">
        <v>56</v>
      </c>
      <c r="J15">
        <v>7.4000000000000003E-3</v>
      </c>
      <c r="Q15" s="4">
        <v>6</v>
      </c>
      <c r="R15" s="4">
        <v>1.05</v>
      </c>
      <c r="S15" s="4">
        <v>155</v>
      </c>
      <c r="T15" s="4">
        <v>20</v>
      </c>
      <c r="U15" s="4">
        <v>5</v>
      </c>
      <c r="V15" s="4">
        <v>2703</v>
      </c>
      <c r="W15" s="4">
        <v>6.7500000000000008E-3</v>
      </c>
      <c r="X15" s="4">
        <v>5.0490000000000004</v>
      </c>
      <c r="Y15" s="4">
        <v>1E-3</v>
      </c>
    </row>
    <row r="16" spans="1:26">
      <c r="Q16" s="4">
        <v>7</v>
      </c>
      <c r="R16" s="4">
        <v>0.95</v>
      </c>
      <c r="S16" s="4">
        <v>135</v>
      </c>
      <c r="T16" s="4">
        <v>15</v>
      </c>
      <c r="U16" s="4">
        <v>5</v>
      </c>
      <c r="V16" s="4">
        <v>2848</v>
      </c>
      <c r="W16" s="4">
        <v>6.000000000000001E-3</v>
      </c>
      <c r="X16" s="4">
        <v>5</v>
      </c>
      <c r="Y16" s="4">
        <v>1E-3</v>
      </c>
    </row>
    <row r="17" spans="17:25">
      <c r="Q17" s="4">
        <v>8</v>
      </c>
      <c r="R17" s="4">
        <v>0.85</v>
      </c>
      <c r="S17" s="4">
        <v>120</v>
      </c>
      <c r="T17" s="4">
        <v>15</v>
      </c>
      <c r="U17" s="4">
        <v>5</v>
      </c>
      <c r="V17" s="4">
        <v>3065</v>
      </c>
      <c r="W17" s="4">
        <v>5.2500000000000003E-3</v>
      </c>
      <c r="X17" s="4">
        <v>5</v>
      </c>
      <c r="Y17" s="4">
        <v>1E-3</v>
      </c>
    </row>
    <row r="18" spans="17:25">
      <c r="Q18" s="4">
        <v>9</v>
      </c>
      <c r="R18" s="4">
        <v>0.75</v>
      </c>
      <c r="S18" s="4">
        <v>110</v>
      </c>
      <c r="T18" s="4">
        <v>11</v>
      </c>
      <c r="U18" s="4">
        <v>5</v>
      </c>
      <c r="V18" s="4">
        <v>3334</v>
      </c>
      <c r="W18" s="4">
        <v>4.9500000000000004E-3</v>
      </c>
      <c r="X18" s="4">
        <v>5</v>
      </c>
      <c r="Y18" s="4">
        <v>1E-3</v>
      </c>
    </row>
    <row r="19" spans="17:25">
      <c r="Q19" s="4">
        <v>10</v>
      </c>
      <c r="R19" s="4">
        <v>0.65</v>
      </c>
      <c r="S19" s="4">
        <v>90</v>
      </c>
      <c r="T19" s="4">
        <v>9</v>
      </c>
      <c r="U19" s="4">
        <v>5</v>
      </c>
      <c r="V19" s="4">
        <v>3660</v>
      </c>
      <c r="W19" s="4">
        <v>4.0500000000000006E-3</v>
      </c>
      <c r="X19" s="4">
        <v>5</v>
      </c>
      <c r="Y19" s="4">
        <v>1E-3</v>
      </c>
    </row>
    <row r="37" spans="9:15">
      <c r="I37" t="s">
        <v>57</v>
      </c>
    </row>
    <row r="38" spans="9:15">
      <c r="I38" t="s">
        <v>58</v>
      </c>
    </row>
    <row r="40" spans="9:15">
      <c r="I40" t="s">
        <v>59</v>
      </c>
      <c r="O40">
        <v>1.54E-2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6172-E661-4A4B-B14D-85D0F2498ECC}">
  <dimension ref="A1:W10"/>
  <sheetViews>
    <sheetView topLeftCell="I1" workbookViewId="0">
      <selection activeCell="U10" sqref="U10"/>
    </sheetView>
  </sheetViews>
  <sheetFormatPr defaultRowHeight="14.45"/>
  <cols>
    <col min="20" max="20" width="14.42578125" customWidth="1"/>
    <col min="21" max="21" width="11.42578125" customWidth="1"/>
    <col min="22" max="22" width="13.5703125" customWidth="1"/>
    <col min="23" max="23" width="21.7109375" customWidth="1"/>
  </cols>
  <sheetData>
    <row r="1" spans="1:23">
      <c r="A1" s="33" t="s">
        <v>60</v>
      </c>
      <c r="B1" s="33"/>
      <c r="C1" s="33"/>
      <c r="D1" s="33"/>
      <c r="E1" s="33"/>
      <c r="F1" s="33"/>
      <c r="G1" s="33"/>
      <c r="H1" s="33"/>
      <c r="K1" s="32" t="s">
        <v>61</v>
      </c>
      <c r="L1" s="32"/>
      <c r="M1" s="32"/>
      <c r="N1" s="32"/>
      <c r="O1" s="32"/>
      <c r="P1" s="32"/>
      <c r="Q1" s="32"/>
      <c r="R1" s="32"/>
    </row>
    <row r="2" spans="1:23">
      <c r="A2" s="11" t="s">
        <v>62</v>
      </c>
      <c r="B2" s="11" t="s">
        <v>63</v>
      </c>
      <c r="C2" s="12" t="s">
        <v>64</v>
      </c>
      <c r="D2" s="11" t="s">
        <v>65</v>
      </c>
      <c r="E2" s="11" t="s">
        <v>66</v>
      </c>
      <c r="F2" s="11" t="s">
        <v>67</v>
      </c>
      <c r="G2" s="11"/>
      <c r="H2" s="11"/>
      <c r="K2" s="11" t="s">
        <v>62</v>
      </c>
      <c r="L2" s="11" t="s">
        <v>63</v>
      </c>
      <c r="M2" s="11" t="s">
        <v>64</v>
      </c>
      <c r="N2" s="11" t="s">
        <v>65</v>
      </c>
      <c r="O2" s="11" t="s">
        <v>66</v>
      </c>
      <c r="P2" s="11" t="s">
        <v>67</v>
      </c>
      <c r="Q2" s="11"/>
      <c r="R2" s="11"/>
      <c r="V2" t="s">
        <v>68</v>
      </c>
      <c r="W2" t="s">
        <v>69</v>
      </c>
    </row>
    <row r="3" spans="1:23">
      <c r="A3" s="13"/>
      <c r="B3" s="13"/>
      <c r="C3" s="13"/>
      <c r="D3" s="13"/>
      <c r="E3" s="13"/>
      <c r="F3" s="13"/>
      <c r="G3" s="13"/>
      <c r="H3" s="13"/>
      <c r="K3" s="13"/>
      <c r="L3" s="13"/>
      <c r="M3" s="13"/>
      <c r="N3" s="13"/>
      <c r="O3" s="13"/>
      <c r="P3" s="13"/>
      <c r="Q3" s="13"/>
      <c r="R3" s="13"/>
      <c r="T3" t="s">
        <v>70</v>
      </c>
      <c r="U3" t="s">
        <v>71</v>
      </c>
      <c r="V3" t="s">
        <v>72</v>
      </c>
      <c r="W3" t="s">
        <v>73</v>
      </c>
    </row>
    <row r="4" spans="1:23">
      <c r="A4" s="14"/>
      <c r="B4" s="14"/>
      <c r="C4" s="14"/>
      <c r="D4" s="14"/>
      <c r="E4" s="14"/>
      <c r="F4" s="14"/>
      <c r="G4" s="14"/>
      <c r="H4" s="14"/>
      <c r="K4" s="14"/>
      <c r="L4" s="14"/>
      <c r="M4" s="14"/>
      <c r="N4" s="14"/>
      <c r="O4" s="14"/>
      <c r="P4" s="14"/>
      <c r="Q4" s="14"/>
      <c r="R4" s="14"/>
      <c r="T4" t="s">
        <v>74</v>
      </c>
      <c r="U4" t="s">
        <v>71</v>
      </c>
      <c r="V4" t="s">
        <v>75</v>
      </c>
      <c r="W4" t="s">
        <v>76</v>
      </c>
    </row>
    <row r="5" spans="1:23">
      <c r="A5" s="13"/>
      <c r="B5" s="13"/>
      <c r="C5" s="13"/>
      <c r="D5" s="13"/>
      <c r="E5" s="13"/>
      <c r="F5" s="13"/>
      <c r="G5" s="13"/>
      <c r="H5" s="13"/>
      <c r="K5" s="13"/>
      <c r="L5" s="13"/>
      <c r="M5" s="13"/>
      <c r="N5" s="13"/>
      <c r="O5" s="13"/>
      <c r="P5" s="13"/>
      <c r="Q5" s="13"/>
      <c r="R5" s="13"/>
      <c r="T5" t="s">
        <v>77</v>
      </c>
      <c r="U5" t="s">
        <v>78</v>
      </c>
      <c r="V5" t="s">
        <v>79</v>
      </c>
      <c r="W5" t="s">
        <v>80</v>
      </c>
    </row>
    <row r="6" spans="1:23">
      <c r="A6" s="14"/>
      <c r="B6" s="14"/>
      <c r="C6" s="14"/>
      <c r="D6" s="14"/>
      <c r="E6" s="14"/>
      <c r="F6" s="14"/>
      <c r="G6" s="14"/>
      <c r="H6" s="14"/>
      <c r="K6" s="14"/>
      <c r="L6" s="14"/>
      <c r="M6" s="14"/>
      <c r="N6" s="14"/>
      <c r="O6" s="14"/>
      <c r="P6" s="14"/>
      <c r="Q6" s="14"/>
      <c r="R6" s="14"/>
    </row>
    <row r="7" spans="1:23">
      <c r="A7" s="13"/>
      <c r="B7" s="13"/>
      <c r="C7" s="13"/>
      <c r="D7" s="13"/>
      <c r="E7" s="13"/>
      <c r="F7" s="13"/>
      <c r="G7" s="13"/>
      <c r="H7" s="13"/>
      <c r="K7" s="13"/>
      <c r="L7" s="13"/>
      <c r="M7" s="13"/>
      <c r="N7" s="13"/>
      <c r="O7" s="13"/>
      <c r="P7" s="13"/>
      <c r="Q7" s="13"/>
      <c r="R7" s="13"/>
    </row>
    <row r="10" spans="1:23">
      <c r="U10" t="s">
        <v>81</v>
      </c>
    </row>
  </sheetData>
  <mergeCells count="2">
    <mergeCell ref="K1:R1"/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3B71-800A-4101-96A8-DBA6E2A072BE}">
  <dimension ref="A1:U86"/>
  <sheetViews>
    <sheetView topLeftCell="H1" workbookViewId="0">
      <selection activeCell="H14" sqref="H14"/>
    </sheetView>
  </sheetViews>
  <sheetFormatPr defaultRowHeight="14.45"/>
  <cols>
    <col min="1" max="1" width="6.7109375" customWidth="1"/>
    <col min="2" max="2" width="18.42578125" customWidth="1"/>
    <col min="3" max="3" width="11.85546875" customWidth="1"/>
    <col min="4" max="4" width="12.28515625" customWidth="1"/>
    <col min="5" max="5" width="23.42578125" customWidth="1"/>
    <col min="6" max="6" width="13.7109375" customWidth="1"/>
    <col min="7" max="7" width="16.42578125" customWidth="1"/>
    <col min="8" max="8" width="13.42578125" customWidth="1"/>
    <col min="9" max="9" width="11.7109375" customWidth="1"/>
    <col min="14" max="14" width="5.7109375" customWidth="1"/>
    <col min="15" max="15" width="16.5703125" customWidth="1"/>
    <col min="16" max="16" width="6" customWidth="1"/>
    <col min="17" max="17" width="6.7109375" customWidth="1"/>
    <col min="18" max="18" width="18.5703125" customWidth="1"/>
    <col min="19" max="19" width="12.28515625" customWidth="1"/>
    <col min="20" max="20" width="14.28515625" customWidth="1"/>
    <col min="21" max="21" width="14.7109375" customWidth="1"/>
  </cols>
  <sheetData>
    <row r="1" spans="1:21">
      <c r="A1" s="9" t="s">
        <v>40</v>
      </c>
      <c r="B1" s="4" t="s">
        <v>20</v>
      </c>
      <c r="C1" s="4" t="s">
        <v>42</v>
      </c>
      <c r="D1" s="4" t="s">
        <v>43</v>
      </c>
      <c r="E1" s="4" t="s">
        <v>5</v>
      </c>
      <c r="F1" s="9" t="s">
        <v>48</v>
      </c>
      <c r="G1" s="9" t="s">
        <v>49</v>
      </c>
      <c r="H1" s="9" t="s">
        <v>82</v>
      </c>
      <c r="I1" s="9" t="s">
        <v>83</v>
      </c>
      <c r="J1" s="9" t="s">
        <v>84</v>
      </c>
    </row>
    <row r="2" spans="1:21">
      <c r="A2">
        <v>1</v>
      </c>
      <c r="B2">
        <v>0.23300000000000001</v>
      </c>
      <c r="C2">
        <v>65</v>
      </c>
      <c r="D2">
        <v>35</v>
      </c>
      <c r="E2">
        <v>1</v>
      </c>
      <c r="F2">
        <f>((Table911[[#This Row],[F1 (g)]]*0.01)-(Table911[[#This Row],[F2 (g)]]*0.01))*(0.005)</f>
        <v>1.5E-3</v>
      </c>
      <c r="G2">
        <v>0.97699999999999998</v>
      </c>
      <c r="H2">
        <f>0.0005</f>
        <v>5.0000000000000001E-4</v>
      </c>
      <c r="I2">
        <f>5-0.183-2.1</f>
        <v>2.7170000000000001</v>
      </c>
      <c r="J2">
        <v>5.0000000000000001E-4</v>
      </c>
    </row>
    <row r="3" spans="1:21">
      <c r="A3">
        <v>2</v>
      </c>
      <c r="B3">
        <v>0.39</v>
      </c>
      <c r="C3">
        <v>110</v>
      </c>
      <c r="D3">
        <v>60</v>
      </c>
      <c r="E3">
        <v>1.5</v>
      </c>
      <c r="F3">
        <f>((Table911[[#This Row],[F1 (g)]]*0.01)-(Table911[[#This Row],[F2 (g)]]*0.01))*(0.005)</f>
        <v>2.5000000000000005E-3</v>
      </c>
      <c r="G3">
        <v>1.4630000000000001</v>
      </c>
      <c r="H3">
        <f t="shared" ref="H3:I8" si="0">0.0005</f>
        <v>5.0000000000000001E-4</v>
      </c>
      <c r="I3">
        <f t="shared" si="0"/>
        <v>5.0000000000000001E-4</v>
      </c>
      <c r="J3">
        <f t="shared" ref="J3:J8" si="1">0.0005</f>
        <v>5.0000000000000001E-4</v>
      </c>
      <c r="N3" s="16" t="s">
        <v>40</v>
      </c>
      <c r="O3" s="16" t="s">
        <v>20</v>
      </c>
      <c r="P3" s="16" t="s">
        <v>42</v>
      </c>
      <c r="Q3" s="16" t="s">
        <v>43</v>
      </c>
      <c r="R3" s="16" t="s">
        <v>5</v>
      </c>
      <c r="S3" s="16" t="s">
        <v>48</v>
      </c>
      <c r="T3" s="16" t="s">
        <v>49</v>
      </c>
    </row>
    <row r="4" spans="1:21">
      <c r="A4">
        <v>3</v>
      </c>
      <c r="B4">
        <v>0.68500000000000005</v>
      </c>
      <c r="C4">
        <v>195</v>
      </c>
      <c r="D4">
        <v>125</v>
      </c>
      <c r="E4">
        <v>2</v>
      </c>
      <c r="F4">
        <f>((Table911[[#This Row],[F1 (g)]]*0.01)-(Table911[[#This Row],[F2 (g)]]*0.01))*(0.005)</f>
        <v>3.4999999999999996E-3</v>
      </c>
      <c r="G4">
        <v>1.9370000000000001</v>
      </c>
      <c r="H4">
        <f t="shared" si="0"/>
        <v>5.0000000000000001E-4</v>
      </c>
      <c r="I4">
        <f t="shared" si="0"/>
        <v>5.0000000000000001E-4</v>
      </c>
      <c r="J4">
        <f t="shared" si="1"/>
        <v>5.0000000000000001E-4</v>
      </c>
      <c r="N4" s="16">
        <v>1</v>
      </c>
      <c r="O4" s="16">
        <v>0.23300000000000001</v>
      </c>
      <c r="P4" s="16">
        <v>65</v>
      </c>
      <c r="Q4" s="16">
        <v>35</v>
      </c>
      <c r="R4" s="16">
        <v>1</v>
      </c>
      <c r="S4" s="16">
        <v>1.5E-3</v>
      </c>
      <c r="T4" s="16">
        <v>0.97699999999999998</v>
      </c>
    </row>
    <row r="5" spans="1:21">
      <c r="A5">
        <v>4</v>
      </c>
      <c r="B5">
        <v>0.94599999999999995</v>
      </c>
      <c r="C5">
        <v>280</v>
      </c>
      <c r="D5">
        <v>155</v>
      </c>
      <c r="E5">
        <v>2.5</v>
      </c>
      <c r="F5">
        <f>((Table911[[#This Row],[F1 (g)]]*0.01)-(Table911[[#This Row],[F2 (g)]]*0.01))*(0.005)</f>
        <v>6.2500000000000012E-3</v>
      </c>
      <c r="G5">
        <v>2.41</v>
      </c>
      <c r="H5">
        <f t="shared" si="0"/>
        <v>5.0000000000000001E-4</v>
      </c>
      <c r="I5">
        <f t="shared" si="0"/>
        <v>5.0000000000000001E-4</v>
      </c>
      <c r="J5">
        <f t="shared" si="1"/>
        <v>5.0000000000000001E-4</v>
      </c>
      <c r="N5" s="16">
        <v>2</v>
      </c>
      <c r="O5" s="16">
        <v>0.39</v>
      </c>
      <c r="P5" s="16">
        <v>110</v>
      </c>
      <c r="Q5" s="16">
        <v>60</v>
      </c>
      <c r="R5" s="16">
        <v>1.5</v>
      </c>
      <c r="S5" s="16">
        <v>2.5000000000000005E-3</v>
      </c>
      <c r="T5" s="16">
        <v>1.4630000000000001</v>
      </c>
    </row>
    <row r="6" spans="1:21">
      <c r="A6">
        <v>5</v>
      </c>
      <c r="B6">
        <v>0.97</v>
      </c>
      <c r="C6">
        <v>285</v>
      </c>
      <c r="D6">
        <v>160</v>
      </c>
      <c r="E6">
        <v>3</v>
      </c>
      <c r="F6">
        <f>((Table911[[#This Row],[F1 (g)]]*0.01)-(Table911[[#This Row],[F2 (g)]]*0.01))*(0.005)</f>
        <v>6.2500000000000003E-3</v>
      </c>
      <c r="G6">
        <v>2.911</v>
      </c>
      <c r="H6">
        <f t="shared" si="0"/>
        <v>5.0000000000000001E-4</v>
      </c>
      <c r="I6">
        <f t="shared" si="0"/>
        <v>5.0000000000000001E-4</v>
      </c>
      <c r="J6">
        <f t="shared" si="1"/>
        <v>5.0000000000000001E-4</v>
      </c>
      <c r="N6" s="16">
        <v>3</v>
      </c>
      <c r="O6" s="16">
        <v>0.68500000000000005</v>
      </c>
      <c r="P6" s="16">
        <v>195</v>
      </c>
      <c r="Q6" s="16">
        <v>125</v>
      </c>
      <c r="R6" s="16">
        <v>2</v>
      </c>
      <c r="S6" s="16">
        <v>3.4999999999999996E-3</v>
      </c>
      <c r="T6" s="16">
        <v>1.9370000000000001</v>
      </c>
    </row>
    <row r="7" spans="1:21">
      <c r="A7">
        <v>6</v>
      </c>
      <c r="B7">
        <v>1.1910000000000001</v>
      </c>
      <c r="C7">
        <v>315</v>
      </c>
      <c r="D7">
        <v>170</v>
      </c>
      <c r="E7">
        <v>3.5</v>
      </c>
      <c r="F7">
        <f>((Table911[[#This Row],[F1 (g)]]*0.01)-(Table911[[#This Row],[F2 (g)]]*0.01))*(0.005)</f>
        <v>7.2499999999999995E-3</v>
      </c>
      <c r="G7">
        <v>3.3879999999999999</v>
      </c>
      <c r="H7">
        <f t="shared" si="0"/>
        <v>5.0000000000000001E-4</v>
      </c>
      <c r="I7">
        <f t="shared" si="0"/>
        <v>5.0000000000000001E-4</v>
      </c>
      <c r="J7">
        <f t="shared" si="1"/>
        <v>5.0000000000000001E-4</v>
      </c>
      <c r="N7" s="16">
        <v>4</v>
      </c>
      <c r="O7" s="16">
        <v>0.94599999999999995</v>
      </c>
      <c r="P7" s="16">
        <v>280</v>
      </c>
      <c r="Q7" s="16">
        <v>155</v>
      </c>
      <c r="R7" s="16">
        <v>2.5</v>
      </c>
      <c r="S7" s="16">
        <v>6.2500000000000012E-3</v>
      </c>
      <c r="T7" s="16">
        <v>2.41</v>
      </c>
    </row>
    <row r="8" spans="1:21">
      <c r="A8">
        <v>7</v>
      </c>
      <c r="B8">
        <v>1.2849999999999999</v>
      </c>
      <c r="C8">
        <v>355</v>
      </c>
      <c r="D8">
        <v>195</v>
      </c>
      <c r="E8">
        <v>4</v>
      </c>
      <c r="F8">
        <f>((Table911[[#This Row],[F1 (g)]]*0.01)-(Table911[[#This Row],[F2 (g)]]*0.01))*(0.005)</f>
        <v>8.0000000000000019E-3</v>
      </c>
      <c r="G8">
        <v>3.8769999999999998</v>
      </c>
      <c r="H8">
        <f t="shared" si="0"/>
        <v>5.0000000000000001E-4</v>
      </c>
      <c r="I8">
        <f t="shared" si="0"/>
        <v>5.0000000000000001E-4</v>
      </c>
      <c r="J8">
        <f t="shared" si="1"/>
        <v>5.0000000000000001E-4</v>
      </c>
      <c r="N8" s="16">
        <v>5</v>
      </c>
      <c r="O8" s="16">
        <v>0.97</v>
      </c>
      <c r="P8" s="16">
        <v>285</v>
      </c>
      <c r="Q8" s="16">
        <v>160</v>
      </c>
      <c r="R8" s="16">
        <v>3</v>
      </c>
      <c r="S8" s="16">
        <v>6.2500000000000003E-3</v>
      </c>
      <c r="T8" s="16">
        <v>2.911</v>
      </c>
    </row>
    <row r="9" spans="1:21">
      <c r="A9">
        <v>8</v>
      </c>
      <c r="F9">
        <f>((Table911[[#This Row],[F1 (g)]]*0.01)-(Table911[[#This Row],[F2 (g)]]*0.01))*(0.005)</f>
        <v>0</v>
      </c>
      <c r="N9" s="16">
        <v>6</v>
      </c>
      <c r="O9" s="16">
        <v>1.1910000000000001</v>
      </c>
      <c r="P9" s="16">
        <v>315</v>
      </c>
      <c r="Q9" s="16">
        <v>170</v>
      </c>
      <c r="R9" s="16">
        <v>3.5</v>
      </c>
      <c r="S9" s="16">
        <v>7.2499999999999995E-3</v>
      </c>
      <c r="T9" s="16">
        <v>3.3879999999999999</v>
      </c>
    </row>
    <row r="10" spans="1:21">
      <c r="A10">
        <v>9</v>
      </c>
      <c r="F10">
        <f>((Table911[[#This Row],[F1 (g)]]*0.01)-(Table911[[#This Row],[F2 (g)]]*0.01))*(0.005)</f>
        <v>0</v>
      </c>
      <c r="N10" s="16">
        <v>7</v>
      </c>
      <c r="O10" s="16">
        <v>1.2849999999999999</v>
      </c>
      <c r="P10" s="16">
        <v>355</v>
      </c>
      <c r="Q10" s="16">
        <v>195</v>
      </c>
      <c r="R10" s="16">
        <v>4</v>
      </c>
      <c r="S10" s="16">
        <v>8.0000000000000019E-3</v>
      </c>
      <c r="T10" s="16">
        <v>3.8769999999999998</v>
      </c>
    </row>
    <row r="11" spans="1:21">
      <c r="A11">
        <v>10</v>
      </c>
      <c r="E11">
        <v>4.3499999999999996</v>
      </c>
      <c r="F11">
        <f>((Table911[[#This Row],[F1 (g)]]*0.01)-(Table911[[#This Row],[F2 (g)]]*0.01))*(0.005)</f>
        <v>0</v>
      </c>
    </row>
    <row r="14" spans="1:21" ht="15" thickBot="1">
      <c r="H14" t="s">
        <v>56</v>
      </c>
      <c r="I14">
        <v>7.4000000000000003E-3</v>
      </c>
    </row>
    <row r="15" spans="1:21" ht="15.95" thickBot="1">
      <c r="N15" s="17" t="s">
        <v>4</v>
      </c>
      <c r="O15" s="18" t="s">
        <v>85</v>
      </c>
      <c r="P15" s="18" t="s">
        <v>42</v>
      </c>
      <c r="Q15" s="18" t="s">
        <v>43</v>
      </c>
      <c r="R15" s="18" t="s">
        <v>53</v>
      </c>
      <c r="S15" s="18" t="s">
        <v>86</v>
      </c>
      <c r="T15" s="18" t="s">
        <v>48</v>
      </c>
      <c r="U15" s="18" t="s">
        <v>54</v>
      </c>
    </row>
    <row r="16" spans="1:21" ht="15.95" thickBot="1">
      <c r="N16" s="19">
        <v>1</v>
      </c>
      <c r="O16" s="20">
        <v>1.3480000000000001</v>
      </c>
      <c r="P16" s="20">
        <v>210</v>
      </c>
      <c r="Q16" s="20">
        <v>30</v>
      </c>
      <c r="R16" s="20">
        <v>5</v>
      </c>
      <c r="S16" s="20">
        <v>1995</v>
      </c>
      <c r="T16" s="20">
        <v>8.9999999999999993E-3</v>
      </c>
      <c r="U16" s="20">
        <v>5.0199999999999996</v>
      </c>
    </row>
    <row r="17" spans="14:21" ht="15.95" thickBot="1">
      <c r="N17" s="19">
        <v>2</v>
      </c>
      <c r="O17" s="20">
        <v>1.25</v>
      </c>
      <c r="P17" s="20">
        <v>200</v>
      </c>
      <c r="Q17" s="20">
        <v>25</v>
      </c>
      <c r="R17" s="20">
        <v>5</v>
      </c>
      <c r="S17" s="20">
        <v>2150</v>
      </c>
      <c r="T17" s="20">
        <v>8.7500000000000008E-3</v>
      </c>
      <c r="U17" s="20">
        <v>5.0279999999999996</v>
      </c>
    </row>
    <row r="18" spans="14:21" ht="15.95" thickBot="1">
      <c r="N18" s="19">
        <v>3</v>
      </c>
      <c r="O18" s="20">
        <v>1.155</v>
      </c>
      <c r="P18" s="20">
        <v>170</v>
      </c>
      <c r="Q18" s="20">
        <v>25</v>
      </c>
      <c r="R18" s="20">
        <v>5</v>
      </c>
      <c r="S18" s="20">
        <v>2358</v>
      </c>
      <c r="T18" s="20">
        <v>7.2500000000000004E-3</v>
      </c>
      <c r="U18" s="20">
        <v>5.0359999999999996</v>
      </c>
    </row>
    <row r="19" spans="14:21" ht="15.95" thickBot="1">
      <c r="N19" s="19">
        <v>4</v>
      </c>
      <c r="O19" s="20">
        <v>1.05</v>
      </c>
      <c r="P19" s="20">
        <v>155</v>
      </c>
      <c r="Q19" s="20">
        <v>20</v>
      </c>
      <c r="R19" s="20">
        <v>5</v>
      </c>
      <c r="S19" s="20">
        <v>2703</v>
      </c>
      <c r="T19" s="20">
        <v>6.7499999999999999E-3</v>
      </c>
      <c r="U19" s="20">
        <v>5.0490000000000004</v>
      </c>
    </row>
    <row r="20" spans="14:21" ht="15.95" thickBot="1">
      <c r="N20" s="19">
        <v>5</v>
      </c>
      <c r="O20" s="20">
        <v>0.95</v>
      </c>
      <c r="P20" s="20">
        <v>135</v>
      </c>
      <c r="Q20" s="20">
        <v>15</v>
      </c>
      <c r="R20" s="20">
        <v>5</v>
      </c>
      <c r="S20" s="20">
        <v>2848</v>
      </c>
      <c r="T20" s="20">
        <v>6.0000000000000001E-3</v>
      </c>
      <c r="U20" s="20">
        <v>5</v>
      </c>
    </row>
    <row r="21" spans="14:21" ht="15.95" thickBot="1">
      <c r="N21" s="19">
        <v>6</v>
      </c>
      <c r="O21" s="20">
        <v>0.85</v>
      </c>
      <c r="P21" s="20">
        <v>120</v>
      </c>
      <c r="Q21" s="20">
        <v>15</v>
      </c>
      <c r="R21" s="20">
        <v>5</v>
      </c>
      <c r="S21" s="20">
        <v>3065</v>
      </c>
      <c r="T21" s="20">
        <v>5.2500000000000003E-3</v>
      </c>
      <c r="U21" s="20">
        <v>5</v>
      </c>
    </row>
    <row r="22" spans="14:21" ht="15.95" thickBot="1">
      <c r="N22" s="19">
        <v>7</v>
      </c>
      <c r="O22" s="20">
        <v>0.75</v>
      </c>
      <c r="P22" s="20">
        <v>110</v>
      </c>
      <c r="Q22" s="20">
        <v>11</v>
      </c>
      <c r="R22" s="20">
        <v>5</v>
      </c>
      <c r="S22" s="20">
        <v>3334</v>
      </c>
      <c r="T22" s="20">
        <v>4.9500000000000004E-3</v>
      </c>
      <c r="U22" s="20">
        <v>5</v>
      </c>
    </row>
    <row r="23" spans="14:21" ht="15.95" thickBot="1">
      <c r="N23" s="19">
        <v>8</v>
      </c>
      <c r="O23" s="20">
        <v>0.65</v>
      </c>
      <c r="P23" s="20">
        <v>90</v>
      </c>
      <c r="Q23" s="20">
        <v>9</v>
      </c>
      <c r="R23" s="20">
        <v>5</v>
      </c>
      <c r="S23" s="20">
        <v>3660</v>
      </c>
      <c r="T23" s="20">
        <v>4.0499999999999998E-3</v>
      </c>
      <c r="U23" s="20">
        <v>5</v>
      </c>
    </row>
    <row r="25" spans="14:21" ht="15" thickBot="1"/>
    <row r="26" spans="14:21" ht="15" customHeight="1" thickBot="1">
      <c r="N26" s="23" t="s">
        <v>4</v>
      </c>
      <c r="O26" s="24" t="s">
        <v>85</v>
      </c>
      <c r="P26" s="24" t="s">
        <v>42</v>
      </c>
      <c r="Q26" s="24" t="s">
        <v>43</v>
      </c>
      <c r="R26" s="24" t="s">
        <v>86</v>
      </c>
      <c r="S26" s="24" t="s">
        <v>48</v>
      </c>
      <c r="T26" s="24" t="s">
        <v>54</v>
      </c>
    </row>
    <row r="27" spans="14:21" ht="15.95" thickBot="1">
      <c r="N27" s="21">
        <v>1</v>
      </c>
      <c r="O27" s="22">
        <v>1.3480000000000001</v>
      </c>
      <c r="P27" s="22">
        <v>210</v>
      </c>
      <c r="Q27" s="22">
        <v>30</v>
      </c>
      <c r="R27" s="22">
        <v>1995</v>
      </c>
      <c r="S27" s="22">
        <v>8.9999999999999993E-3</v>
      </c>
      <c r="T27" s="22">
        <v>5.0199999999999996</v>
      </c>
    </row>
    <row r="28" spans="14:21" ht="15.95" thickBot="1">
      <c r="N28" s="21">
        <v>2</v>
      </c>
      <c r="O28" s="22">
        <v>1.25</v>
      </c>
      <c r="P28" s="22">
        <v>200</v>
      </c>
      <c r="Q28" s="22">
        <v>25</v>
      </c>
      <c r="R28" s="22">
        <v>2150</v>
      </c>
      <c r="S28" s="22">
        <v>8.7500000000000008E-3</v>
      </c>
      <c r="T28" s="22">
        <v>5.0279999999999996</v>
      </c>
    </row>
    <row r="29" spans="14:21" ht="15.95" thickBot="1">
      <c r="N29" s="21">
        <v>3</v>
      </c>
      <c r="O29" s="22">
        <v>1.155</v>
      </c>
      <c r="P29" s="22">
        <v>170</v>
      </c>
      <c r="Q29" s="22">
        <v>25</v>
      </c>
      <c r="R29" s="22">
        <v>2358</v>
      </c>
      <c r="S29" s="22">
        <v>7.2500000000000004E-3</v>
      </c>
      <c r="T29" s="22">
        <v>5.0359999999999996</v>
      </c>
    </row>
    <row r="30" spans="14:21" ht="15.95" thickBot="1">
      <c r="N30" s="21">
        <v>4</v>
      </c>
      <c r="O30" s="22">
        <v>1.05</v>
      </c>
      <c r="P30" s="22">
        <v>155</v>
      </c>
      <c r="Q30" s="22">
        <v>20</v>
      </c>
      <c r="R30" s="22">
        <v>2703</v>
      </c>
      <c r="S30" s="22">
        <v>6.7499999999999999E-3</v>
      </c>
      <c r="T30" s="22">
        <v>5.0490000000000004</v>
      </c>
    </row>
    <row r="31" spans="14:21" ht="15.95" thickBot="1">
      <c r="N31" s="21">
        <v>5</v>
      </c>
      <c r="O31" s="22">
        <v>0.95</v>
      </c>
      <c r="P31" s="22">
        <v>135</v>
      </c>
      <c r="Q31" s="22">
        <v>15</v>
      </c>
      <c r="R31" s="22">
        <v>2848</v>
      </c>
      <c r="S31" s="22">
        <v>6.0000000000000001E-3</v>
      </c>
      <c r="T31" s="22">
        <v>5</v>
      </c>
    </row>
    <row r="32" spans="14:21" ht="15.95" thickBot="1">
      <c r="N32" s="21">
        <v>6</v>
      </c>
      <c r="O32" s="22">
        <v>0.85</v>
      </c>
      <c r="P32" s="22">
        <v>120</v>
      </c>
      <c r="Q32" s="22">
        <v>15</v>
      </c>
      <c r="R32" s="22">
        <v>3065</v>
      </c>
      <c r="S32" s="22">
        <v>5.2500000000000003E-3</v>
      </c>
      <c r="T32" s="22">
        <v>5</v>
      </c>
    </row>
    <row r="33" spans="8:20" ht="15.95" thickBot="1">
      <c r="N33" s="21">
        <v>7</v>
      </c>
      <c r="O33" s="22">
        <v>0.75</v>
      </c>
      <c r="P33" s="22">
        <v>110</v>
      </c>
      <c r="Q33" s="22">
        <v>11</v>
      </c>
      <c r="R33" s="22">
        <v>3334</v>
      </c>
      <c r="S33" s="22">
        <v>4.9500000000000004E-3</v>
      </c>
      <c r="T33" s="22">
        <v>5</v>
      </c>
    </row>
    <row r="34" spans="8:20" ht="15.95" thickBot="1">
      <c r="N34" s="21">
        <v>8</v>
      </c>
      <c r="O34" s="22">
        <v>0.65</v>
      </c>
      <c r="P34" s="22">
        <v>90</v>
      </c>
      <c r="Q34" s="22">
        <v>9</v>
      </c>
      <c r="R34" s="22">
        <v>3660</v>
      </c>
      <c r="S34" s="22">
        <v>4.0499999999999998E-3</v>
      </c>
      <c r="T34" s="22">
        <v>5</v>
      </c>
    </row>
    <row r="42" spans="8:20">
      <c r="H42" t="s">
        <v>33</v>
      </c>
      <c r="I42" t="s">
        <v>34</v>
      </c>
      <c r="J42" t="s">
        <v>87</v>
      </c>
    </row>
    <row r="43" spans="8:20">
      <c r="H43" s="30" t="s">
        <v>35</v>
      </c>
      <c r="I43" s="30"/>
      <c r="J43" t="s">
        <v>88</v>
      </c>
    </row>
    <row r="44" spans="8:20">
      <c r="H44" s="30" t="s">
        <v>38</v>
      </c>
      <c r="I44" s="30"/>
      <c r="J44" t="s">
        <v>89</v>
      </c>
    </row>
    <row r="86" spans="8:8">
      <c r="H86" s="25"/>
    </row>
  </sheetData>
  <mergeCells count="2">
    <mergeCell ref="H43:I43"/>
    <mergeCell ref="H44:I44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E99F-BDB7-4C03-BFF6-BDE493538757}">
  <dimension ref="A1:F3"/>
  <sheetViews>
    <sheetView workbookViewId="0">
      <selection sqref="A1:F3"/>
    </sheetView>
  </sheetViews>
  <sheetFormatPr defaultRowHeight="14.45"/>
  <cols>
    <col min="2" max="2" width="11.85546875" customWidth="1"/>
    <col min="3" max="3" width="12.28515625" customWidth="1"/>
    <col min="5" max="5" width="20" customWidth="1"/>
    <col min="6" max="6" width="22.7109375" customWidth="1"/>
  </cols>
  <sheetData>
    <row r="1" spans="1:6" ht="30.95" customHeight="1">
      <c r="A1" s="27"/>
      <c r="B1" s="28" t="s">
        <v>90</v>
      </c>
      <c r="C1" s="28" t="s">
        <v>91</v>
      </c>
      <c r="D1" s="27" t="s">
        <v>92</v>
      </c>
      <c r="E1" s="27" t="s">
        <v>93</v>
      </c>
      <c r="F1" s="28" t="s">
        <v>94</v>
      </c>
    </row>
    <row r="2" spans="1:6" ht="15.6">
      <c r="A2" s="27" t="s">
        <v>95</v>
      </c>
      <c r="B2" s="27">
        <v>75</v>
      </c>
      <c r="C2" s="27">
        <v>3806</v>
      </c>
      <c r="D2" s="27">
        <v>352</v>
      </c>
      <c r="E2" s="27">
        <v>77530</v>
      </c>
      <c r="F2" s="27">
        <v>1.3</v>
      </c>
    </row>
    <row r="3" spans="1:6" ht="15.6">
      <c r="A3" s="27" t="s">
        <v>96</v>
      </c>
      <c r="B3" s="27">
        <v>245</v>
      </c>
      <c r="C3" s="27">
        <v>1904</v>
      </c>
      <c r="D3" s="27">
        <v>176</v>
      </c>
      <c r="E3" s="27">
        <v>38789</v>
      </c>
      <c r="F3" s="27">
        <v>0.64600000000000002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Mustafa Iqbal</dc:creator>
  <cp:keywords/>
  <dc:description/>
  <cp:lastModifiedBy>James Lemin</cp:lastModifiedBy>
  <cp:revision/>
  <dcterms:created xsi:type="dcterms:W3CDTF">2015-06-05T18:17:20Z</dcterms:created>
  <dcterms:modified xsi:type="dcterms:W3CDTF">2023-11-18T19:36:05Z</dcterms:modified>
  <cp:category/>
  <cp:contentStatus/>
</cp:coreProperties>
</file>