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Joost\Repository\Maker\Nixie\"/>
    </mc:Choice>
  </mc:AlternateContent>
  <xr:revisionPtr revIDLastSave="0" documentId="13_ncr:40009_{427E90C6-5E1D-4699-B450-DFFB8792DB38}" xr6:coauthVersionLast="43" xr6:coauthVersionMax="43" xr10:uidLastSave="{00000000-0000-0000-0000-000000000000}"/>
  <bookViews>
    <workbookView xWindow="7200" yWindow="3300" windowWidth="21600" windowHeight="11385"/>
  </bookViews>
  <sheets>
    <sheet name="Coil Calcs" sheetId="1" r:id="rId1"/>
    <sheet name="Reference Volt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J11" i="1"/>
  <c r="J12" i="1" s="1"/>
  <c r="J13" i="1" s="1"/>
  <c r="J9" i="1"/>
  <c r="G11" i="1"/>
  <c r="G24" i="1"/>
  <c r="C9" i="1"/>
  <c r="D9" i="1"/>
  <c r="E9" i="1"/>
  <c r="F9" i="1"/>
  <c r="G9" i="1"/>
  <c r="H9" i="1"/>
  <c r="I9" i="1"/>
  <c r="C11" i="1"/>
  <c r="D11" i="1"/>
  <c r="D12" i="1" s="1"/>
  <c r="D13" i="1" s="1"/>
  <c r="E11" i="1"/>
  <c r="E12" i="1" s="1"/>
  <c r="E13" i="1" s="1"/>
  <c r="F11" i="1"/>
  <c r="F24" i="1" s="1"/>
  <c r="F26" i="1" s="1"/>
  <c r="F29" i="1" s="1"/>
  <c r="H11" i="1"/>
  <c r="H12" i="1" s="1"/>
  <c r="H13" i="1" s="1"/>
  <c r="I11" i="1"/>
  <c r="I24" i="1" s="1"/>
  <c r="C12" i="1"/>
  <c r="C13" i="1"/>
  <c r="C14" i="1"/>
  <c r="D14" i="1"/>
  <c r="E14" i="1"/>
  <c r="F14" i="1"/>
  <c r="G14" i="1"/>
  <c r="H14" i="1"/>
  <c r="I14" i="1"/>
  <c r="C25" i="1"/>
  <c r="C27" i="1"/>
  <c r="C28" i="1"/>
  <c r="C29" i="1"/>
  <c r="D9" i="2"/>
  <c r="E9" i="2"/>
  <c r="F9" i="2"/>
  <c r="G9" i="2"/>
  <c r="H9" i="2"/>
  <c r="I9" i="2"/>
  <c r="D10" i="2"/>
  <c r="E10" i="2"/>
  <c r="F10" i="2"/>
  <c r="G10" i="2"/>
  <c r="H10" i="2"/>
  <c r="H12" i="2" s="1"/>
  <c r="H19" i="2" s="1"/>
  <c r="H22" i="2" s="1"/>
  <c r="I10" i="2"/>
  <c r="D11" i="2"/>
  <c r="E11" i="2"/>
  <c r="F11" i="2"/>
  <c r="G11" i="2"/>
  <c r="H11" i="2"/>
  <c r="I11" i="2"/>
  <c r="E12" i="2"/>
  <c r="E18" i="2"/>
  <c r="H18" i="2"/>
  <c r="E19" i="2"/>
  <c r="E22" i="2" s="1"/>
  <c r="E27" i="2"/>
  <c r="E31" i="2" s="1"/>
  <c r="E32" i="2" s="1"/>
  <c r="F27" i="2"/>
  <c r="G27" i="2"/>
  <c r="H27" i="2"/>
  <c r="I27" i="2"/>
  <c r="I31" i="2" s="1"/>
  <c r="I32" i="2" s="1"/>
  <c r="E28" i="2"/>
  <c r="F28" i="2"/>
  <c r="G28" i="2"/>
  <c r="G30" i="2" s="1"/>
  <c r="H28" i="2"/>
  <c r="H30" i="2" s="1"/>
  <c r="I28" i="2"/>
  <c r="D30" i="2"/>
  <c r="F30" i="2"/>
  <c r="D31" i="2"/>
  <c r="D32" i="2" s="1"/>
  <c r="F31" i="2"/>
  <c r="G31" i="2"/>
  <c r="G32" i="2" s="1"/>
  <c r="H31" i="2"/>
  <c r="H32" i="2" s="1"/>
  <c r="F32" i="2"/>
  <c r="E41" i="2"/>
  <c r="J24" i="1" l="1"/>
  <c r="J26" i="1" s="1"/>
  <c r="G12" i="1"/>
  <c r="G13" i="1" s="1"/>
  <c r="F12" i="1"/>
  <c r="F13" i="1" s="1"/>
  <c r="G26" i="1"/>
  <c r="G27" i="1" s="1"/>
  <c r="G25" i="1"/>
  <c r="F27" i="1"/>
  <c r="F28" i="1"/>
  <c r="I26" i="1"/>
  <c r="I25" i="1"/>
  <c r="F25" i="1"/>
  <c r="E24" i="1"/>
  <c r="I12" i="1"/>
  <c r="I13" i="1" s="1"/>
  <c r="H24" i="1"/>
  <c r="D24" i="1"/>
  <c r="I30" i="2"/>
  <c r="E30" i="2"/>
  <c r="M21" i="1" l="1"/>
  <c r="M23" i="1" s="1"/>
  <c r="M25" i="1" s="1"/>
  <c r="J27" i="1"/>
  <c r="J28" i="1"/>
  <c r="J25" i="1"/>
  <c r="G29" i="1"/>
  <c r="G28" i="1"/>
  <c r="H25" i="1"/>
  <c r="H26" i="1"/>
  <c r="I29" i="1"/>
  <c r="I28" i="1"/>
  <c r="I27" i="1"/>
  <c r="E26" i="1"/>
  <c r="E25" i="1"/>
  <c r="D25" i="1"/>
  <c r="D26" i="1"/>
  <c r="J29" i="1" l="1"/>
  <c r="E29" i="1"/>
  <c r="E27" i="1"/>
  <c r="E28" i="1"/>
  <c r="H29" i="1"/>
  <c r="H28" i="1"/>
  <c r="H27" i="1"/>
  <c r="D29" i="1"/>
  <c r="D28" i="1"/>
  <c r="D27" i="1"/>
</calcChain>
</file>

<file path=xl/sharedStrings.xml><?xml version="1.0" encoding="utf-8"?>
<sst xmlns="http://schemas.openxmlformats.org/spreadsheetml/2006/main" count="96" uniqueCount="77">
  <si>
    <t>Table 1: Coil Calculations for High Voltage Power Supply.</t>
  </si>
  <si>
    <t>Based on Microchip document TB053</t>
  </si>
  <si>
    <t>Enter Values</t>
  </si>
  <si>
    <t>Microchip Example</t>
  </si>
  <si>
    <t>Mouser 18R104c</t>
  </si>
  <si>
    <t>Mouser 22R104c</t>
  </si>
  <si>
    <t>Mouser 18R334c</t>
  </si>
  <si>
    <t>Mouser 22R334c</t>
  </si>
  <si>
    <t>Volts(IN)</t>
  </si>
  <si>
    <t>Volts(OUT)</t>
  </si>
  <si>
    <t>Coil uH</t>
  </si>
  <si>
    <t>Coil Amps</t>
  </si>
  <si>
    <t>uH*I_Peak</t>
  </si>
  <si>
    <t>Coil Characteristics</t>
  </si>
  <si>
    <t>Time to Charge (us)*</t>
  </si>
  <si>
    <t>Max Power (Watts)</t>
  </si>
  <si>
    <t>Max mA @Vout</t>
  </si>
  <si>
    <t>Fall time (us)</t>
  </si>
  <si>
    <t>*     (Vin/L)*t=Ipeak used, Equation 6 in TB053 seems to be wrong.</t>
  </si>
  <si>
    <t>Table 2. PWM Calculations</t>
  </si>
  <si>
    <t>PICmicro Mid-Range MCU guide Page 14-10</t>
  </si>
  <si>
    <t>Pic OSC (Mhz)</t>
  </si>
  <si>
    <t>Prescaler</t>
  </si>
  <si>
    <t>PFM Values</t>
  </si>
  <si>
    <t>Time to Charge</t>
  </si>
  <si>
    <t>Duty Cycle (us)</t>
  </si>
  <si>
    <t>N/A</t>
  </si>
  <si>
    <t>(CCPxCON/CCPRxL)</t>
  </si>
  <si>
    <t>Duty Cycle Value</t>
  </si>
  <si>
    <t>Min Period(us) (*1)</t>
  </si>
  <si>
    <t>Max Frequency (kHz)</t>
  </si>
  <si>
    <t>PR2</t>
  </si>
  <si>
    <t>Min Period Value</t>
  </si>
  <si>
    <t>Max PWM resolution *2</t>
  </si>
  <si>
    <t>*1-  Duty=75% of Minimum Period per app note, period= (Time to Charge + ((1/3)*Time to Charge))</t>
  </si>
  <si>
    <t>*2- IN BITS, not relevant here. See page 14-9/14-10</t>
  </si>
  <si>
    <t>*3 [OSC/3]*Duty Cycle(us)=PR2</t>
  </si>
  <si>
    <t>Table3. High Voltage Feedback Network Calculations</t>
  </si>
  <si>
    <t>Volts</t>
  </si>
  <si>
    <t>R3 (Kohms)</t>
  </si>
  <si>
    <t>R2 (Lin/trim)K</t>
  </si>
  <si>
    <t>R1 (Kohms)</t>
  </si>
  <si>
    <t>E3 (Volts)</t>
  </si>
  <si>
    <t>*PIC sees this:</t>
  </si>
  <si>
    <t>E2 (Volts)</t>
  </si>
  <si>
    <t>E1 (Volts)</t>
  </si>
  <si>
    <t>HV Feedback Ratio:</t>
  </si>
  <si>
    <t>Ex=V*((R1+R2+R3+...Rx)/(total resistance))</t>
  </si>
  <si>
    <t>*Values in Kohms</t>
  </si>
  <si>
    <t>Table 4. High Voltage Feedback ADC Set Value</t>
  </si>
  <si>
    <t>Target Voltage</t>
  </si>
  <si>
    <t>&lt;-from above</t>
  </si>
  <si>
    <t>HV Feedback ratio</t>
  </si>
  <si>
    <t>Reference Voltage</t>
  </si>
  <si>
    <t>&lt;-enter exact voltage</t>
  </si>
  <si>
    <t>*Stolen from 555 Hi-V (version C) schematic - NEONIXIE-L</t>
  </si>
  <si>
    <t xml:space="preserve">ADC steps </t>
  </si>
  <si>
    <t>HV Feedback value</t>
  </si>
  <si>
    <t>NOTE: 555 Hi-V (ver. C) uses 220k-1k-.47k HV divider</t>
  </si>
  <si>
    <t>NOTE: PIC DEFAULT DESIGN USES 120k-1k-.47K divider</t>
  </si>
  <si>
    <t>Table 5. Supply Voltage Feedback Network Calculations</t>
  </si>
  <si>
    <t>R2 (Kohms)</t>
  </si>
  <si>
    <t>FB Ratio:**</t>
  </si>
  <si>
    <t>**Use calibration table 6 for better accuracy</t>
  </si>
  <si>
    <t>Table 6. Supply Voltage Feedback Calibration</t>
  </si>
  <si>
    <t>Vsupply (actual)</t>
  </si>
  <si>
    <t>Vfeedback(actual)</t>
  </si>
  <si>
    <t>Exact Supply FB Ratio</t>
  </si>
  <si>
    <t>Joost</t>
  </si>
  <si>
    <t>Arduino</t>
  </si>
  <si>
    <t>Range</t>
  </si>
  <si>
    <t>Period [us]</t>
  </si>
  <si>
    <t>Freq [KHz]</t>
  </si>
  <si>
    <t>Duty Cycle [%]</t>
  </si>
  <si>
    <t>Duty Cycle [us]</t>
  </si>
  <si>
    <t>analogWriteRange(1024) // Default 1024</t>
  </si>
  <si>
    <t>analogWriteFreq(1000) // Default 1KHz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</si>
</sst>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sz val="14"/>
      <name val="Arial"/>
    </font>
    <font>
      <b/>
      <i/>
      <sz val="10"/>
      <name val="Arial"/>
      <family val="2"/>
    </font>
    <font>
      <b/>
      <sz val="12"/>
      <name val="Arial"/>
    </font>
    <font>
      <b/>
      <sz val="10"/>
      <color indexed="9"/>
      <name val="Arial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  <fill>
      <patternFill patternType="solid">
        <fgColor indexed="15"/>
        <bgColor indexed="35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2" fillId="9" borderId="3" applyNumberFormat="0" applyAlignment="0" applyProtection="0"/>
    <xf numFmtId="0" fontId="13" fillId="10" borderId="3" applyNumberFormat="0" applyAlignment="0" applyProtection="0"/>
  </cellStyleXfs>
  <cellXfs count="54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0" xfId="0" applyFont="1" applyFill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0" fontId="5" fillId="0" borderId="0" xfId="0" applyFont="1"/>
    <xf numFmtId="2" fontId="0" fillId="4" borderId="0" xfId="0" applyNumberFormat="1" applyFont="1" applyFill="1" applyAlignment="1">
      <alignment horizontal="center"/>
    </xf>
    <xf numFmtId="1" fontId="0" fillId="5" borderId="0" xfId="0" applyNumberFormat="1" applyFont="1" applyFill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0" fillId="2" borderId="0" xfId="0" applyFont="1" applyFill="1" applyBorder="1"/>
    <xf numFmtId="164" fontId="0" fillId="4" borderId="0" xfId="0" applyNumberFormat="1" applyFill="1" applyBorder="1" applyAlignment="1">
      <alignment horizontal="center"/>
    </xf>
    <xf numFmtId="0" fontId="0" fillId="2" borderId="2" xfId="0" applyFont="1" applyFill="1" applyBorder="1"/>
    <xf numFmtId="1" fontId="0" fillId="5" borderId="2" xfId="0" applyNumberFormat="1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6" borderId="0" xfId="0" applyFont="1" applyFill="1"/>
    <xf numFmtId="0" fontId="6" fillId="0" borderId="0" xfId="0" applyFont="1" applyBorder="1" applyAlignment="1">
      <alignment horizontal="center"/>
    </xf>
    <xf numFmtId="0" fontId="7" fillId="7" borderId="0" xfId="0" applyFont="1" applyFill="1"/>
    <xf numFmtId="2" fontId="0" fillId="4" borderId="0" xfId="0" applyNumberFormat="1" applyFont="1" applyFill="1"/>
    <xf numFmtId="2" fontId="0" fillId="4" borderId="0" xfId="0" applyNumberFormat="1" applyFill="1"/>
    <xf numFmtId="0" fontId="8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8" fillId="8" borderId="0" xfId="0" applyFont="1" applyFill="1"/>
    <xf numFmtId="0" fontId="0" fillId="8" borderId="0" xfId="0" applyFill="1"/>
    <xf numFmtId="164" fontId="0" fillId="0" borderId="0" xfId="0" applyNumberFormat="1"/>
    <xf numFmtId="0" fontId="10" fillId="2" borderId="0" xfId="0" applyFont="1" applyFill="1"/>
    <xf numFmtId="1" fontId="11" fillId="3" borderId="1" xfId="0" applyNumberFormat="1" applyFont="1" applyFill="1" applyBorder="1"/>
    <xf numFmtId="0" fontId="6" fillId="0" borderId="0" xfId="0" applyFont="1" applyBorder="1" applyAlignment="1">
      <alignment horizontal="left"/>
    </xf>
    <xf numFmtId="0" fontId="0" fillId="6" borderId="0" xfId="0" applyFill="1"/>
    <xf numFmtId="0" fontId="0" fillId="4" borderId="0" xfId="0" applyFill="1"/>
    <xf numFmtId="164" fontId="0" fillId="2" borderId="0" xfId="0" applyNumberFormat="1" applyFont="1" applyFill="1"/>
    <xf numFmtId="0" fontId="11" fillId="3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8" borderId="0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4" fillId="0" borderId="0" xfId="0" applyFont="1"/>
    <xf numFmtId="0" fontId="13" fillId="10" borderId="3" xfId="2"/>
    <xf numFmtId="0" fontId="12" fillId="9" borderId="3" xfId="1"/>
    <xf numFmtId="9" fontId="12" fillId="9" borderId="3" xfId="1" applyNumberFormat="1"/>
    <xf numFmtId="2" fontId="13" fillId="10" borderId="3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38100</xdr:rowOff>
    </xdr:from>
    <xdr:to>
      <xdr:col>7</xdr:col>
      <xdr:colOff>485775</xdr:colOff>
      <xdr:row>51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1C94C9CC-2CE5-471A-89DD-B3C7307BA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5705475"/>
          <a:ext cx="4152900" cy="2809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114300</xdr:rowOff>
    </xdr:from>
    <xdr:to>
      <xdr:col>12</xdr:col>
      <xdr:colOff>533400</xdr:colOff>
      <xdr:row>18</xdr:row>
      <xdr:rowOff>28575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EE86C678-31C3-4321-B090-976F9C381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14300"/>
          <a:ext cx="1866900" cy="2905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J8" sqref="J8"/>
    </sheetView>
  </sheetViews>
  <sheetFormatPr defaultRowHeight="12.75" x14ac:dyDescent="0.2"/>
  <cols>
    <col min="1" max="1" width="18.42578125" customWidth="1"/>
    <col min="2" max="2" width="20" customWidth="1"/>
    <col min="3" max="9" width="11" customWidth="1"/>
    <col min="12" max="12" width="18.7109375" customWidth="1"/>
  </cols>
  <sheetData>
    <row r="1" spans="1:10" ht="20.25" customHeight="1" x14ac:dyDescent="0.3">
      <c r="B1" s="39" t="s">
        <v>0</v>
      </c>
      <c r="C1" s="39"/>
      <c r="D1" s="39"/>
      <c r="E1" s="39"/>
      <c r="F1" s="39"/>
      <c r="G1" s="39"/>
      <c r="H1" s="39"/>
    </row>
    <row r="2" spans="1:10" x14ac:dyDescent="0.2">
      <c r="B2" s="40" t="s">
        <v>1</v>
      </c>
      <c r="C2" s="40"/>
      <c r="D2" s="40"/>
      <c r="E2" s="40"/>
      <c r="F2" s="40"/>
      <c r="G2" s="40"/>
      <c r="H2" s="40"/>
    </row>
    <row r="3" spans="1:10" x14ac:dyDescent="0.2">
      <c r="A3" s="41" t="s">
        <v>2</v>
      </c>
      <c r="B3" s="41"/>
      <c r="C3" s="42" t="s">
        <v>3</v>
      </c>
      <c r="D3" s="42" t="s">
        <v>4</v>
      </c>
      <c r="E3" s="42" t="s">
        <v>5</v>
      </c>
      <c r="F3" s="42" t="s">
        <v>4</v>
      </c>
      <c r="G3" s="42" t="s">
        <v>5</v>
      </c>
      <c r="H3" s="42" t="s">
        <v>6</v>
      </c>
      <c r="I3" s="42" t="s">
        <v>7</v>
      </c>
      <c r="J3" s="42" t="s">
        <v>68</v>
      </c>
    </row>
    <row r="4" spans="1:10" x14ac:dyDescent="0.2">
      <c r="A4" s="1"/>
      <c r="B4" s="2"/>
      <c r="C4" s="42"/>
      <c r="D4" s="42"/>
      <c r="E4" s="42"/>
      <c r="F4" s="42"/>
      <c r="G4" s="42"/>
      <c r="H4" s="42"/>
      <c r="I4" s="42"/>
      <c r="J4" s="42"/>
    </row>
    <row r="5" spans="1:10" x14ac:dyDescent="0.2">
      <c r="B5" s="3" t="s">
        <v>8</v>
      </c>
      <c r="C5" s="4">
        <v>9</v>
      </c>
      <c r="D5" s="4">
        <v>5</v>
      </c>
      <c r="E5" s="4">
        <v>5</v>
      </c>
      <c r="F5" s="4">
        <v>12</v>
      </c>
      <c r="G5" s="4">
        <v>12</v>
      </c>
      <c r="H5" s="4">
        <v>12</v>
      </c>
      <c r="I5" s="4">
        <v>12</v>
      </c>
      <c r="J5" s="4">
        <v>5</v>
      </c>
    </row>
    <row r="6" spans="1:10" x14ac:dyDescent="0.2">
      <c r="B6" s="5" t="s">
        <v>9</v>
      </c>
      <c r="C6" s="6">
        <v>170</v>
      </c>
      <c r="D6" s="6">
        <v>180</v>
      </c>
      <c r="E6" s="6">
        <v>180</v>
      </c>
      <c r="F6" s="6">
        <v>180</v>
      </c>
      <c r="G6" s="6">
        <v>180</v>
      </c>
      <c r="H6" s="6">
        <v>180</v>
      </c>
      <c r="I6" s="6">
        <v>180</v>
      </c>
      <c r="J6" s="6">
        <v>180</v>
      </c>
    </row>
    <row r="7" spans="1:10" x14ac:dyDescent="0.2">
      <c r="B7" s="3" t="s">
        <v>10</v>
      </c>
      <c r="C7" s="4">
        <v>330</v>
      </c>
      <c r="D7" s="4">
        <v>100</v>
      </c>
      <c r="E7" s="4">
        <v>100</v>
      </c>
      <c r="F7" s="4">
        <v>100</v>
      </c>
      <c r="G7" s="4">
        <v>100</v>
      </c>
      <c r="H7" s="4">
        <v>330</v>
      </c>
      <c r="I7" s="4">
        <v>330</v>
      </c>
      <c r="J7" s="4">
        <v>220</v>
      </c>
    </row>
    <row r="8" spans="1:10" x14ac:dyDescent="0.2">
      <c r="B8" s="5" t="s">
        <v>11</v>
      </c>
      <c r="C8" s="6">
        <v>0.65500000000000003</v>
      </c>
      <c r="D8" s="6">
        <v>1.2</v>
      </c>
      <c r="E8" s="6">
        <v>0.67</v>
      </c>
      <c r="F8" s="6">
        <v>1.2</v>
      </c>
      <c r="G8" s="6">
        <v>0.67</v>
      </c>
      <c r="H8" s="6">
        <v>0.73</v>
      </c>
      <c r="I8" s="6">
        <v>0.38</v>
      </c>
      <c r="J8" s="6">
        <v>0.8</v>
      </c>
    </row>
    <row r="9" spans="1:10" x14ac:dyDescent="0.2">
      <c r="B9" s="5" t="s">
        <v>12</v>
      </c>
      <c r="C9" s="7">
        <f t="shared" ref="C9:J9" si="0">C7*C8</f>
        <v>216.15</v>
      </c>
      <c r="D9" s="7">
        <f t="shared" si="0"/>
        <v>120</v>
      </c>
      <c r="E9" s="7">
        <f t="shared" si="0"/>
        <v>67</v>
      </c>
      <c r="F9" s="7">
        <f t="shared" si="0"/>
        <v>120</v>
      </c>
      <c r="G9" s="7">
        <f t="shared" si="0"/>
        <v>67</v>
      </c>
      <c r="H9" s="7">
        <f t="shared" si="0"/>
        <v>240.9</v>
      </c>
      <c r="I9" s="7">
        <f t="shared" si="0"/>
        <v>125.4</v>
      </c>
      <c r="J9" s="7">
        <f t="shared" si="0"/>
        <v>176</v>
      </c>
    </row>
    <row r="10" spans="1:10" x14ac:dyDescent="0.2">
      <c r="A10" s="41" t="s">
        <v>13</v>
      </c>
      <c r="B10" s="41"/>
      <c r="C10" s="6"/>
      <c r="D10" s="6"/>
      <c r="E10" s="6"/>
      <c r="F10" s="6"/>
      <c r="G10" s="6"/>
      <c r="H10" s="6"/>
      <c r="I10" s="6"/>
      <c r="J10" s="6"/>
    </row>
    <row r="11" spans="1:10" x14ac:dyDescent="0.2">
      <c r="B11" s="5" t="s">
        <v>14</v>
      </c>
      <c r="C11" s="8">
        <f t="shared" ref="C11:I11" si="1">(C8)/(C5/C7)</f>
        <v>24.016666666666669</v>
      </c>
      <c r="D11" s="8">
        <f t="shared" si="1"/>
        <v>23.999999999999996</v>
      </c>
      <c r="E11" s="8">
        <f t="shared" si="1"/>
        <v>13.4</v>
      </c>
      <c r="F11" s="8">
        <f t="shared" si="1"/>
        <v>10</v>
      </c>
      <c r="G11" s="8">
        <f t="shared" si="1"/>
        <v>5.5833333333333339</v>
      </c>
      <c r="H11" s="8">
        <f t="shared" si="1"/>
        <v>20.074999999999999</v>
      </c>
      <c r="I11" s="8">
        <f t="shared" si="1"/>
        <v>10.450000000000001</v>
      </c>
      <c r="J11" s="8">
        <f t="shared" ref="J11" si="2">(J8)/(J5/J7)</f>
        <v>35.200000000000003</v>
      </c>
    </row>
    <row r="12" spans="1:10" x14ac:dyDescent="0.2">
      <c r="B12" s="5" t="s">
        <v>15</v>
      </c>
      <c r="C12" s="8">
        <f t="shared" ref="C12:J12" si="3">(C11*(C5*C5))/(2*C7)</f>
        <v>2.9475000000000002</v>
      </c>
      <c r="D12" s="8">
        <f t="shared" si="3"/>
        <v>2.9999999999999996</v>
      </c>
      <c r="E12" s="8">
        <f t="shared" si="3"/>
        <v>1.675</v>
      </c>
      <c r="F12" s="8">
        <f t="shared" si="3"/>
        <v>7.2</v>
      </c>
      <c r="G12" s="8">
        <f t="shared" si="3"/>
        <v>4.0200000000000005</v>
      </c>
      <c r="H12" s="8">
        <f t="shared" si="3"/>
        <v>4.38</v>
      </c>
      <c r="I12" s="8">
        <f t="shared" si="3"/>
        <v>2.2800000000000002</v>
      </c>
      <c r="J12" s="8">
        <f t="shared" si="3"/>
        <v>2.0000000000000004</v>
      </c>
    </row>
    <row r="13" spans="1:10" x14ac:dyDescent="0.2">
      <c r="B13" s="5" t="s">
        <v>16</v>
      </c>
      <c r="C13" s="8">
        <f t="shared" ref="C13:J13" si="4">(C12/C6)*1000</f>
        <v>17.338235294117649</v>
      </c>
      <c r="D13" s="8">
        <f t="shared" si="4"/>
        <v>16.666666666666664</v>
      </c>
      <c r="E13" s="8">
        <f t="shared" si="4"/>
        <v>9.3055555555555571</v>
      </c>
      <c r="F13" s="8">
        <f t="shared" si="4"/>
        <v>40</v>
      </c>
      <c r="G13" s="8">
        <f t="shared" si="4"/>
        <v>22.333333333333336</v>
      </c>
      <c r="H13" s="8">
        <f t="shared" si="4"/>
        <v>24.333333333333332</v>
      </c>
      <c r="I13" s="8">
        <f t="shared" si="4"/>
        <v>12.666666666666668</v>
      </c>
      <c r="J13" s="8">
        <f t="shared" si="4"/>
        <v>11.111111111111112</v>
      </c>
    </row>
    <row r="14" spans="1:10" x14ac:dyDescent="0.2">
      <c r="B14" s="5" t="s">
        <v>17</v>
      </c>
      <c r="C14" s="8">
        <f>(0-C8)/((C5-C6)/C7)</f>
        <v>1.3425465838509318</v>
      </c>
      <c r="D14" s="8">
        <f>(0-D8)/((D$5-D$6)/D$7)</f>
        <v>0.68571428571428572</v>
      </c>
      <c r="E14" s="8">
        <f>(0-E8)/((E5-E6)/E7)</f>
        <v>0.3828571428571429</v>
      </c>
      <c r="F14" s="8">
        <f>(0-F8)/((F5-F6)/F7)</f>
        <v>0.7142857142857143</v>
      </c>
      <c r="G14" s="8">
        <f>(0-G8)/((G5-G6)/G7)</f>
        <v>0.39880952380952384</v>
      </c>
      <c r="H14" s="8">
        <f>(0-H8)/((H5-H6)/H7)</f>
        <v>1.4339285714285714</v>
      </c>
      <c r="I14" s="8">
        <f>(0-I8)/((I5-I6)/I7)</f>
        <v>0.74642857142857155</v>
      </c>
      <c r="J14" s="8">
        <f>(0-J8)/((J5-J6)/J7)</f>
        <v>1.0057142857142858</v>
      </c>
    </row>
    <row r="15" spans="1:10" x14ac:dyDescent="0.2">
      <c r="B15" t="s">
        <v>18</v>
      </c>
    </row>
    <row r="17" spans="1:15" ht="18" x14ac:dyDescent="0.25">
      <c r="B17" s="43" t="s">
        <v>19</v>
      </c>
      <c r="C17" s="43"/>
      <c r="D17" s="43"/>
      <c r="E17" s="43"/>
      <c r="F17" s="43"/>
      <c r="G17" s="43"/>
      <c r="H17" s="43"/>
      <c r="I17" s="43"/>
    </row>
    <row r="18" spans="1:15" x14ac:dyDescent="0.2">
      <c r="B18" s="40" t="s">
        <v>20</v>
      </c>
      <c r="C18" s="40"/>
      <c r="D18" s="40"/>
      <c r="E18" s="40"/>
      <c r="F18" s="40"/>
      <c r="G18" s="40"/>
      <c r="H18" s="40"/>
      <c r="I18" s="40"/>
    </row>
    <row r="19" spans="1:15" x14ac:dyDescent="0.2">
      <c r="C19" s="42" t="s">
        <v>3</v>
      </c>
      <c r="D19" s="42" t="s">
        <v>4</v>
      </c>
      <c r="E19" s="42" t="s">
        <v>5</v>
      </c>
      <c r="F19" s="42" t="s">
        <v>4</v>
      </c>
      <c r="G19" s="42" t="s">
        <v>5</v>
      </c>
      <c r="H19" s="42" t="s">
        <v>6</v>
      </c>
      <c r="I19" s="42" t="s">
        <v>7</v>
      </c>
      <c r="J19" s="42" t="s">
        <v>69</v>
      </c>
      <c r="L19" s="48" t="s">
        <v>68</v>
      </c>
      <c r="M19" s="48"/>
    </row>
    <row r="20" spans="1:15" x14ac:dyDescent="0.2">
      <c r="B20" s="9" t="s">
        <v>2</v>
      </c>
      <c r="C20" s="42"/>
      <c r="D20" s="42"/>
      <c r="E20" s="42"/>
      <c r="F20" s="42"/>
      <c r="G20" s="42"/>
      <c r="H20" s="42"/>
      <c r="I20" s="42"/>
      <c r="J20" s="42"/>
      <c r="L20" s="48"/>
      <c r="M20" s="48"/>
    </row>
    <row r="21" spans="1:15" ht="15" x14ac:dyDescent="0.25">
      <c r="B21" s="5" t="s">
        <v>21</v>
      </c>
      <c r="C21" s="6">
        <v>20</v>
      </c>
      <c r="D21" s="6">
        <v>8</v>
      </c>
      <c r="E21" s="6">
        <v>8</v>
      </c>
      <c r="F21" s="6">
        <v>8</v>
      </c>
      <c r="G21" s="6">
        <v>8</v>
      </c>
      <c r="H21" s="6">
        <v>8</v>
      </c>
      <c r="I21" s="6">
        <v>8</v>
      </c>
      <c r="J21" s="6">
        <v>80</v>
      </c>
      <c r="L21" t="s">
        <v>72</v>
      </c>
      <c r="M21" s="50">
        <f>1/J26*M24*1000</f>
        <v>15.980113636363637</v>
      </c>
      <c r="O21" s="49" t="s">
        <v>76</v>
      </c>
    </row>
    <row r="22" spans="1:15" ht="15" x14ac:dyDescent="0.25">
      <c r="B22" s="5" t="s">
        <v>22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L22" t="s">
        <v>70</v>
      </c>
      <c r="M22" s="51">
        <v>1024</v>
      </c>
      <c r="O22" s="49" t="s">
        <v>75</v>
      </c>
    </row>
    <row r="23" spans="1:15" ht="15" x14ac:dyDescent="0.25">
      <c r="B23" s="9" t="s">
        <v>23</v>
      </c>
      <c r="C23" s="10"/>
      <c r="D23" s="10"/>
      <c r="E23" s="10"/>
      <c r="F23" s="10"/>
      <c r="G23" s="10"/>
      <c r="H23" s="10"/>
      <c r="I23" s="10"/>
      <c r="J23" s="10"/>
      <c r="L23" t="s">
        <v>71</v>
      </c>
      <c r="M23" s="53">
        <f>1/M21*1000</f>
        <v>62.577777777777776</v>
      </c>
    </row>
    <row r="24" spans="1:15" ht="15" x14ac:dyDescent="0.25">
      <c r="A24" s="11" t="s">
        <v>24</v>
      </c>
      <c r="B24" s="5" t="s">
        <v>25</v>
      </c>
      <c r="C24" s="12" t="s">
        <v>26</v>
      </c>
      <c r="D24" s="12">
        <f t="shared" ref="D24:I24" si="5">D11</f>
        <v>23.999999999999996</v>
      </c>
      <c r="E24" s="12">
        <f t="shared" si="5"/>
        <v>13.4</v>
      </c>
      <c r="F24" s="12">
        <f t="shared" si="5"/>
        <v>10</v>
      </c>
      <c r="G24" s="12">
        <f t="shared" si="5"/>
        <v>5.5833333333333339</v>
      </c>
      <c r="H24" s="12">
        <f t="shared" si="5"/>
        <v>20.074999999999999</v>
      </c>
      <c r="I24" s="12">
        <f t="shared" si="5"/>
        <v>10.450000000000001</v>
      </c>
      <c r="J24" s="12">
        <f>J11</f>
        <v>35.200000000000003</v>
      </c>
      <c r="L24" t="s">
        <v>73</v>
      </c>
      <c r="M24" s="52">
        <v>0.75</v>
      </c>
    </row>
    <row r="25" spans="1:15" ht="15" x14ac:dyDescent="0.25">
      <c r="A25" s="11" t="s">
        <v>27</v>
      </c>
      <c r="B25" s="5" t="s">
        <v>28</v>
      </c>
      <c r="C25" s="13" t="e">
        <f t="shared" ref="C25:J25" si="6">C24/((1/C21)*C22)</f>
        <v>#VALUE!</v>
      </c>
      <c r="D25" s="13">
        <f t="shared" si="6"/>
        <v>191.99999999999997</v>
      </c>
      <c r="E25" s="13">
        <f t="shared" si="6"/>
        <v>107.2</v>
      </c>
      <c r="F25" s="13">
        <f t="shared" si="6"/>
        <v>80</v>
      </c>
      <c r="G25" s="13">
        <f t="shared" si="6"/>
        <v>44.666666666666671</v>
      </c>
      <c r="H25" s="13">
        <f t="shared" si="6"/>
        <v>160.6</v>
      </c>
      <c r="I25" s="13">
        <f t="shared" si="6"/>
        <v>83.600000000000009</v>
      </c>
      <c r="J25" s="13">
        <f>J24/((1/J21)*J22)</f>
        <v>2816</v>
      </c>
      <c r="L25" t="s">
        <v>74</v>
      </c>
      <c r="M25" s="53">
        <f>M23*M24</f>
        <v>46.93333333333333</v>
      </c>
    </row>
    <row r="26" spans="1:15" x14ac:dyDescent="0.2">
      <c r="A26" s="11"/>
      <c r="B26" s="3" t="s">
        <v>29</v>
      </c>
      <c r="C26" s="14">
        <v>12.8</v>
      </c>
      <c r="D26" s="14">
        <f t="shared" ref="D26:I26" si="7">D24+((1/3)*D24)</f>
        <v>31.999999999999993</v>
      </c>
      <c r="E26" s="14">
        <f t="shared" si="7"/>
        <v>17.866666666666667</v>
      </c>
      <c r="F26" s="14">
        <f t="shared" si="7"/>
        <v>13.333333333333332</v>
      </c>
      <c r="G26" s="14">
        <f t="shared" si="7"/>
        <v>7.4444444444444446</v>
      </c>
      <c r="H26" s="14">
        <f t="shared" si="7"/>
        <v>26.766666666666666</v>
      </c>
      <c r="I26" s="14">
        <f t="shared" si="7"/>
        <v>13.933333333333334</v>
      </c>
      <c r="J26" s="14">
        <f>J24+((1/3)*J24)</f>
        <v>46.933333333333337</v>
      </c>
    </row>
    <row r="27" spans="1:15" x14ac:dyDescent="0.2">
      <c r="A27" s="11"/>
      <c r="B27" s="15" t="s">
        <v>30</v>
      </c>
      <c r="C27" s="16">
        <f t="shared" ref="C27:J27" si="8">(1/C26)*1000</f>
        <v>78.125</v>
      </c>
      <c r="D27" s="16">
        <f t="shared" si="8"/>
        <v>31.250000000000007</v>
      </c>
      <c r="E27" s="16">
        <f t="shared" si="8"/>
        <v>55.970149253731343</v>
      </c>
      <c r="F27" s="16">
        <f t="shared" si="8"/>
        <v>75.000000000000014</v>
      </c>
      <c r="G27" s="16">
        <f t="shared" si="8"/>
        <v>134.32835820895522</v>
      </c>
      <c r="H27" s="16">
        <f t="shared" si="8"/>
        <v>37.359900373599004</v>
      </c>
      <c r="I27" s="16">
        <f t="shared" si="8"/>
        <v>71.770334928229659</v>
      </c>
      <c r="J27" s="16">
        <f>(1/J26)*1000</f>
        <v>21.30681818181818</v>
      </c>
    </row>
    <row r="28" spans="1:15" x14ac:dyDescent="0.2">
      <c r="A28" s="11" t="s">
        <v>31</v>
      </c>
      <c r="B28" s="17" t="s">
        <v>32</v>
      </c>
      <c r="C28" s="18">
        <f t="shared" ref="C28:I28" si="9">(C26/(4*(1/C21)*C22))-1</f>
        <v>63</v>
      </c>
      <c r="D28" s="18">
        <f t="shared" si="9"/>
        <v>62.999999999999986</v>
      </c>
      <c r="E28" s="18">
        <f t="shared" si="9"/>
        <v>34.733333333333334</v>
      </c>
      <c r="F28" s="18">
        <f t="shared" si="9"/>
        <v>25.666666666666664</v>
      </c>
      <c r="G28" s="18">
        <f t="shared" si="9"/>
        <v>13.888888888888889</v>
      </c>
      <c r="H28" s="18">
        <f t="shared" si="9"/>
        <v>52.533333333333331</v>
      </c>
      <c r="I28" s="18">
        <f t="shared" si="9"/>
        <v>26.866666666666667</v>
      </c>
      <c r="J28" s="18">
        <f>(J26/(4*(1/J21)*J22))-1</f>
        <v>937.66666666666674</v>
      </c>
    </row>
    <row r="29" spans="1:15" x14ac:dyDescent="0.2">
      <c r="B29" s="5" t="s">
        <v>33</v>
      </c>
      <c r="C29" s="19">
        <f t="shared" ref="C29:I29" si="10">(LN((C26/((1/C21)*C22)))/(LN(2)))</f>
        <v>8</v>
      </c>
      <c r="D29" s="20">
        <f t="shared" si="10"/>
        <v>8</v>
      </c>
      <c r="E29" s="20">
        <f t="shared" si="10"/>
        <v>7.1591985948492534</v>
      </c>
      <c r="F29" s="20">
        <f t="shared" si="10"/>
        <v>6.7369655941662066</v>
      </c>
      <c r="G29" s="20">
        <f t="shared" si="10"/>
        <v>5.8961641890154608</v>
      </c>
      <c r="H29" s="20">
        <f t="shared" si="10"/>
        <v>7.7423655819087953</v>
      </c>
      <c r="I29" s="20">
        <f t="shared" si="10"/>
        <v>6.8004685364723638</v>
      </c>
      <c r="J29" s="20">
        <f t="shared" ref="J29" si="11">(LN((J26/((1/J21)*J22)))/(LN(2)))</f>
        <v>11.87446911791614</v>
      </c>
    </row>
    <row r="30" spans="1:15" x14ac:dyDescent="0.2">
      <c r="B30" t="s">
        <v>34</v>
      </c>
    </row>
    <row r="31" spans="1:15" x14ac:dyDescent="0.2">
      <c r="B31" t="s">
        <v>35</v>
      </c>
    </row>
    <row r="32" spans="1:15" x14ac:dyDescent="0.2">
      <c r="B32" s="21" t="s">
        <v>36</v>
      </c>
    </row>
  </sheetData>
  <mergeCells count="23">
    <mergeCell ref="I19:I20"/>
    <mergeCell ref="J3:J4"/>
    <mergeCell ref="J19:J20"/>
    <mergeCell ref="L19:M20"/>
    <mergeCell ref="I3:I4"/>
    <mergeCell ref="A10:B10"/>
    <mergeCell ref="B17:I17"/>
    <mergeCell ref="B18:I18"/>
    <mergeCell ref="C19:C20"/>
    <mergeCell ref="D19:D20"/>
    <mergeCell ref="E19:E20"/>
    <mergeCell ref="F19:F20"/>
    <mergeCell ref="G19:G20"/>
    <mergeCell ref="H19:H20"/>
    <mergeCell ref="B1:H1"/>
    <mergeCell ref="B2:H2"/>
    <mergeCell ref="A3:B3"/>
    <mergeCell ref="C3:C4"/>
    <mergeCell ref="D3:D4"/>
    <mergeCell ref="E3:E4"/>
    <mergeCell ref="F3:F4"/>
    <mergeCell ref="G3:G4"/>
    <mergeCell ref="H3:H4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workbookViewId="0"/>
  </sheetViews>
  <sheetFormatPr defaultRowHeight="12.75" x14ac:dyDescent="0.2"/>
  <cols>
    <col min="2" max="2" width="4.140625" customWidth="1"/>
    <col min="3" max="3" width="12.28515625" customWidth="1"/>
    <col min="4" max="5" width="7.7109375" customWidth="1"/>
    <col min="6" max="6" width="9.85546875" customWidth="1"/>
    <col min="7" max="9" width="7.7109375" customWidth="1"/>
  </cols>
  <sheetData>
    <row r="2" spans="1:9" ht="15.75" x14ac:dyDescent="0.25">
      <c r="C2" s="44" t="s">
        <v>37</v>
      </c>
      <c r="D2" s="44"/>
      <c r="E2" s="44"/>
      <c r="F2" s="44"/>
      <c r="G2" s="44"/>
      <c r="H2" s="44"/>
      <c r="I2" s="44"/>
    </row>
    <row r="4" spans="1:9" x14ac:dyDescent="0.2">
      <c r="C4" s="23" t="s">
        <v>38</v>
      </c>
      <c r="D4">
        <v>180</v>
      </c>
      <c r="E4">
        <v>180</v>
      </c>
      <c r="F4">
        <v>180</v>
      </c>
      <c r="G4">
        <v>180</v>
      </c>
      <c r="H4">
        <v>180</v>
      </c>
      <c r="I4">
        <v>180</v>
      </c>
    </row>
    <row r="5" spans="1:9" x14ac:dyDescent="0.2">
      <c r="C5" s="23" t="s">
        <v>39</v>
      </c>
      <c r="D5">
        <v>120</v>
      </c>
      <c r="E5">
        <v>120</v>
      </c>
      <c r="F5">
        <v>120</v>
      </c>
      <c r="G5">
        <v>220</v>
      </c>
      <c r="H5">
        <v>220</v>
      </c>
      <c r="I5">
        <v>220</v>
      </c>
    </row>
    <row r="6" spans="1:9" x14ac:dyDescent="0.2">
      <c r="C6" s="23" t="s">
        <v>40</v>
      </c>
      <c r="D6">
        <v>0</v>
      </c>
      <c r="E6">
        <v>0.5</v>
      </c>
      <c r="F6">
        <v>1</v>
      </c>
      <c r="G6">
        <v>0</v>
      </c>
      <c r="H6">
        <v>0.5</v>
      </c>
      <c r="I6">
        <v>1</v>
      </c>
    </row>
    <row r="7" spans="1:9" x14ac:dyDescent="0.2">
      <c r="C7" s="23" t="s">
        <v>41</v>
      </c>
      <c r="D7">
        <v>0.47</v>
      </c>
      <c r="E7">
        <v>0.47</v>
      </c>
      <c r="F7">
        <v>0.47</v>
      </c>
      <c r="G7">
        <v>0.47</v>
      </c>
      <c r="H7">
        <v>0.47</v>
      </c>
      <c r="I7">
        <v>0.47</v>
      </c>
    </row>
    <row r="8" spans="1:9" x14ac:dyDescent="0.2">
      <c r="C8" s="23"/>
    </row>
    <row r="9" spans="1:9" x14ac:dyDescent="0.2">
      <c r="C9" s="23" t="s">
        <v>42</v>
      </c>
      <c r="D9" s="24">
        <f t="shared" ref="D9:I9" si="0">D4*((D7+D6+D5)/SUM(D5:D7))</f>
        <v>180</v>
      </c>
      <c r="E9" s="24">
        <f t="shared" si="0"/>
        <v>180</v>
      </c>
      <c r="F9" s="24">
        <f t="shared" si="0"/>
        <v>180</v>
      </c>
      <c r="G9" s="24">
        <f t="shared" si="0"/>
        <v>180</v>
      </c>
      <c r="H9" s="24">
        <f t="shared" si="0"/>
        <v>180</v>
      </c>
      <c r="I9" s="24">
        <f t="shared" si="0"/>
        <v>180</v>
      </c>
    </row>
    <row r="10" spans="1:9" x14ac:dyDescent="0.2">
      <c r="A10" t="s">
        <v>43</v>
      </c>
      <c r="C10" s="23" t="s">
        <v>44</v>
      </c>
      <c r="D10" s="25">
        <f t="shared" ref="D10:I10" si="1">D4*((D7+D6)/SUM(D5:D7))</f>
        <v>0.70224952270274754</v>
      </c>
      <c r="E10" s="25">
        <f t="shared" si="1"/>
        <v>1.4433330577829215</v>
      </c>
      <c r="F10" s="25">
        <f t="shared" si="1"/>
        <v>2.1783156334897504</v>
      </c>
      <c r="G10" s="25">
        <f t="shared" si="1"/>
        <v>0.38372567696285204</v>
      </c>
      <c r="H10" s="25">
        <f t="shared" si="1"/>
        <v>0.79015250939041493</v>
      </c>
      <c r="I10" s="25">
        <f t="shared" si="1"/>
        <v>1.1947442091479659</v>
      </c>
    </row>
    <row r="11" spans="1:9" x14ac:dyDescent="0.2">
      <c r="C11" s="23" t="s">
        <v>45</v>
      </c>
      <c r="D11" s="24">
        <f t="shared" ref="D11:I11" si="2">D4*((D7)/SUM(D5:D7))</f>
        <v>0.70224952270274754</v>
      </c>
      <c r="E11" s="24">
        <f t="shared" si="2"/>
        <v>0.69934694552368348</v>
      </c>
      <c r="F11" s="24">
        <f t="shared" si="2"/>
        <v>0.69646826376883186</v>
      </c>
      <c r="G11" s="24">
        <f t="shared" si="2"/>
        <v>0.38372567696285204</v>
      </c>
      <c r="H11" s="24">
        <f t="shared" si="2"/>
        <v>0.38285740145721142</v>
      </c>
      <c r="I11" s="24">
        <f t="shared" si="2"/>
        <v>0.38199304646227478</v>
      </c>
    </row>
    <row r="12" spans="1:9" x14ac:dyDescent="0.2">
      <c r="C12" s="26" t="s">
        <v>46</v>
      </c>
      <c r="D12" s="27"/>
      <c r="E12" s="28">
        <f>E9/E10</f>
        <v>124.71134020618555</v>
      </c>
      <c r="F12" s="28"/>
      <c r="G12" s="28"/>
      <c r="H12" s="28">
        <f>H9/H10</f>
        <v>227.80412371134022</v>
      </c>
      <c r="I12" s="27"/>
    </row>
    <row r="13" spans="1:9" x14ac:dyDescent="0.2">
      <c r="F13" t="s">
        <v>47</v>
      </c>
    </row>
    <row r="14" spans="1:9" x14ac:dyDescent="0.2">
      <c r="F14" t="s">
        <v>48</v>
      </c>
    </row>
    <row r="16" spans="1:9" ht="15.75" x14ac:dyDescent="0.25">
      <c r="C16" s="45" t="s">
        <v>49</v>
      </c>
      <c r="D16" s="45"/>
      <c r="E16" s="45"/>
      <c r="F16" s="45"/>
      <c r="G16" s="45"/>
      <c r="H16" s="45"/>
      <c r="I16" s="45"/>
    </row>
    <row r="18" spans="1:11" x14ac:dyDescent="0.2">
      <c r="C18" s="29" t="s">
        <v>50</v>
      </c>
      <c r="D18" s="30"/>
      <c r="E18">
        <f>E4</f>
        <v>180</v>
      </c>
      <c r="F18" t="s">
        <v>51</v>
      </c>
      <c r="H18">
        <f>H4</f>
        <v>180</v>
      </c>
    </row>
    <row r="19" spans="1:11" x14ac:dyDescent="0.2">
      <c r="C19" s="46" t="s">
        <v>52</v>
      </c>
      <c r="D19" s="46"/>
      <c r="E19" s="31">
        <f>E12</f>
        <v>124.71134020618555</v>
      </c>
      <c r="F19" t="s">
        <v>51</v>
      </c>
      <c r="H19" s="31">
        <f>H12</f>
        <v>227.80412371134022</v>
      </c>
    </row>
    <row r="20" spans="1:11" x14ac:dyDescent="0.2">
      <c r="C20" s="46" t="s">
        <v>53</v>
      </c>
      <c r="D20" s="46"/>
      <c r="E20">
        <v>5.0999999999999996</v>
      </c>
      <c r="F20" t="s">
        <v>54</v>
      </c>
      <c r="H20">
        <v>5.0999999999999996</v>
      </c>
      <c r="K20" t="s">
        <v>55</v>
      </c>
    </row>
    <row r="21" spans="1:11" x14ac:dyDescent="0.2">
      <c r="C21" s="46" t="s">
        <v>56</v>
      </c>
      <c r="D21" s="46"/>
      <c r="E21" s="32">
        <v>1024</v>
      </c>
      <c r="H21" s="32">
        <v>1024</v>
      </c>
    </row>
    <row r="22" spans="1:11" x14ac:dyDescent="0.2">
      <c r="C22" s="47" t="s">
        <v>57</v>
      </c>
      <c r="D22" s="47"/>
      <c r="E22" s="33">
        <f>((E18/E19)/E20)*E21</f>
        <v>289.7986374842572</v>
      </c>
      <c r="H22" s="33">
        <f>((H18/H19)/H20)*H21</f>
        <v>158.65022933642842</v>
      </c>
      <c r="K22" t="s">
        <v>58</v>
      </c>
    </row>
    <row r="23" spans="1:11" x14ac:dyDescent="0.2">
      <c r="K23" t="s">
        <v>59</v>
      </c>
    </row>
    <row r="24" spans="1:11" ht="15.75" x14ac:dyDescent="0.25">
      <c r="C24" s="34" t="s">
        <v>60</v>
      </c>
      <c r="D24" s="22"/>
      <c r="E24" s="22"/>
      <c r="F24" s="22"/>
      <c r="G24" s="22"/>
      <c r="H24" s="22"/>
      <c r="I24" s="22"/>
    </row>
    <row r="26" spans="1:11" x14ac:dyDescent="0.2">
      <c r="C26" s="23" t="s">
        <v>38</v>
      </c>
      <c r="D26">
        <v>2.5</v>
      </c>
      <c r="E26" s="35">
        <v>3</v>
      </c>
      <c r="F26" s="35">
        <v>6</v>
      </c>
      <c r="G26" s="35">
        <v>9</v>
      </c>
      <c r="H26" s="35">
        <v>12</v>
      </c>
      <c r="I26" s="35">
        <v>16</v>
      </c>
    </row>
    <row r="27" spans="1:11" x14ac:dyDescent="0.2">
      <c r="C27" s="23" t="s">
        <v>61</v>
      </c>
      <c r="D27">
        <v>100</v>
      </c>
      <c r="E27" s="36">
        <f t="shared" ref="E27:I28" si="3">$D27</f>
        <v>100</v>
      </c>
      <c r="F27" s="36">
        <f t="shared" si="3"/>
        <v>100</v>
      </c>
      <c r="G27" s="36">
        <f t="shared" si="3"/>
        <v>100</v>
      </c>
      <c r="H27" s="36">
        <f t="shared" si="3"/>
        <v>100</v>
      </c>
      <c r="I27" s="36">
        <f t="shared" si="3"/>
        <v>100</v>
      </c>
    </row>
    <row r="28" spans="1:11" x14ac:dyDescent="0.2">
      <c r="C28" s="23" t="s">
        <v>41</v>
      </c>
      <c r="D28">
        <v>10</v>
      </c>
      <c r="E28" s="36">
        <f t="shared" si="3"/>
        <v>10</v>
      </c>
      <c r="F28" s="36">
        <f t="shared" si="3"/>
        <v>10</v>
      </c>
      <c r="G28" s="36">
        <f t="shared" si="3"/>
        <v>10</v>
      </c>
      <c r="H28" s="36">
        <f t="shared" si="3"/>
        <v>10</v>
      </c>
      <c r="I28" s="36">
        <f t="shared" si="3"/>
        <v>10</v>
      </c>
    </row>
    <row r="29" spans="1:11" x14ac:dyDescent="0.2">
      <c r="C29" s="23"/>
    </row>
    <row r="30" spans="1:11" x14ac:dyDescent="0.2">
      <c r="C30" s="23" t="s">
        <v>44</v>
      </c>
      <c r="D30" s="37">
        <f t="shared" ref="D30:I30" si="4">D26*((D28+D27)/SUM(D27:D28))</f>
        <v>2.5</v>
      </c>
      <c r="E30" s="37">
        <f t="shared" si="4"/>
        <v>3</v>
      </c>
      <c r="F30" s="37">
        <f t="shared" si="4"/>
        <v>6</v>
      </c>
      <c r="G30" s="37">
        <f t="shared" si="4"/>
        <v>9</v>
      </c>
      <c r="H30" s="37">
        <f t="shared" si="4"/>
        <v>12</v>
      </c>
      <c r="I30" s="37">
        <f t="shared" si="4"/>
        <v>16</v>
      </c>
    </row>
    <row r="31" spans="1:11" x14ac:dyDescent="0.2">
      <c r="A31" t="s">
        <v>43</v>
      </c>
      <c r="C31" s="23" t="s">
        <v>45</v>
      </c>
      <c r="D31" s="37">
        <f t="shared" ref="D31:I31" si="5">D26*((D28)/SUM(D27:D28))</f>
        <v>0.22727272727272729</v>
      </c>
      <c r="E31" s="37">
        <f t="shared" si="5"/>
        <v>0.27272727272727271</v>
      </c>
      <c r="F31" s="37">
        <f t="shared" si="5"/>
        <v>0.54545454545454541</v>
      </c>
      <c r="G31" s="37">
        <f t="shared" si="5"/>
        <v>0.81818181818181823</v>
      </c>
      <c r="H31" s="37">
        <f t="shared" si="5"/>
        <v>1.0909090909090908</v>
      </c>
      <c r="I31" s="37">
        <f t="shared" si="5"/>
        <v>1.4545454545454546</v>
      </c>
    </row>
    <row r="32" spans="1:11" x14ac:dyDescent="0.2">
      <c r="C32" s="26" t="s">
        <v>62</v>
      </c>
      <c r="D32" s="28">
        <f t="shared" ref="D32:I32" si="6">D26/D31</f>
        <v>10.999999999999998</v>
      </c>
      <c r="E32" s="28">
        <f t="shared" si="6"/>
        <v>11</v>
      </c>
      <c r="F32" s="28">
        <f t="shared" si="6"/>
        <v>11</v>
      </c>
      <c r="G32" s="28">
        <f t="shared" si="6"/>
        <v>11</v>
      </c>
      <c r="H32" s="28">
        <f t="shared" si="6"/>
        <v>11</v>
      </c>
      <c r="I32" s="28">
        <f t="shared" si="6"/>
        <v>11</v>
      </c>
    </row>
    <row r="33" spans="3:9" x14ac:dyDescent="0.2">
      <c r="F33" t="s">
        <v>47</v>
      </c>
    </row>
    <row r="34" spans="3:9" x14ac:dyDescent="0.2">
      <c r="F34" t="s">
        <v>48</v>
      </c>
    </row>
    <row r="35" spans="3:9" x14ac:dyDescent="0.2">
      <c r="F35" t="s">
        <v>63</v>
      </c>
    </row>
    <row r="37" spans="3:9" ht="15.75" x14ac:dyDescent="0.25">
      <c r="C37" s="45" t="s">
        <v>64</v>
      </c>
      <c r="D37" s="45"/>
      <c r="E37" s="45"/>
      <c r="F37" s="45"/>
      <c r="G37" s="45"/>
      <c r="H37" s="45"/>
      <c r="I37" s="45"/>
    </row>
    <row r="39" spans="3:9" x14ac:dyDescent="0.2">
      <c r="C39" s="46" t="s">
        <v>65</v>
      </c>
      <c r="D39" s="46"/>
      <c r="E39">
        <v>5.1000000000000005</v>
      </c>
    </row>
    <row r="40" spans="3:9" x14ac:dyDescent="0.2">
      <c r="C40" s="46" t="s">
        <v>66</v>
      </c>
      <c r="D40" s="46"/>
      <c r="E40">
        <v>0.48</v>
      </c>
    </row>
    <row r="41" spans="3:9" x14ac:dyDescent="0.2">
      <c r="C41" s="47" t="s">
        <v>67</v>
      </c>
      <c r="D41" s="47"/>
      <c r="E41" s="38">
        <f>E39/E40</f>
        <v>10.625000000000002</v>
      </c>
    </row>
  </sheetData>
  <mergeCells count="10">
    <mergeCell ref="C37:I37"/>
    <mergeCell ref="C39:D39"/>
    <mergeCell ref="C40:D40"/>
    <mergeCell ref="C41:D41"/>
    <mergeCell ref="C2:I2"/>
    <mergeCell ref="C16:I16"/>
    <mergeCell ref="C19:D19"/>
    <mergeCell ref="C20:D20"/>
    <mergeCell ref="C21:D21"/>
    <mergeCell ref="C22:D22"/>
  </mergeCells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Coil Calcs</vt:lpstr>
      <vt:lpstr>Reference 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Joost</dc:creator>
  <cp:keywords/>
  <dc:description/>
  <cp:lastModifiedBy>Joost</cp:lastModifiedBy>
  <cp:revision>1</cp:revision>
  <cp:lastPrinted>2005-12-26T09:34:13Z</cp:lastPrinted>
  <dcterms:created xsi:type="dcterms:W3CDTF">2005-12-25T20:18:16Z</dcterms:created>
  <dcterms:modified xsi:type="dcterms:W3CDTF">2019-06-11T06:02:36Z</dcterms:modified>
</cp:coreProperties>
</file>