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05" yWindow="-105" windowWidth="23250" windowHeight="13170" tabRatio="827" firstSheet="3" activeTab="8"/>
  </bookViews>
  <sheets>
    <sheet name="Assumptions" sheetId="1" r:id="rId1"/>
    <sheet name="convertor" sheetId="10" r:id="rId2"/>
    <sheet name="monthly revenue " sheetId="9" r:id="rId3"/>
    <sheet name="monthly p&amp;l" sheetId="8" r:id="rId4"/>
    <sheet name="capital structure" sheetId="7" r:id="rId5"/>
    <sheet name="fixed assest schedule" sheetId="6" r:id="rId6"/>
    <sheet name="working capital" sheetId="5" r:id="rId7"/>
    <sheet name="annual p&amp;l" sheetId="4" r:id="rId8"/>
    <sheet name="balance-sheet" sheetId="3" r:id="rId9"/>
    <sheet name="cash flow statement " sheetId="2" r:id="rId10"/>
  </sheets>
  <definedNames>
    <definedName name="Den">convertor!$D$1</definedName>
  </definedNames>
  <calcPr calcId="152511" iterateCount="50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3" l="1"/>
  <c r="A32" i="3"/>
  <c r="A33" i="3"/>
  <c r="A34" i="3"/>
  <c r="A31" i="3"/>
  <c r="A26" i="3"/>
  <c r="A25" i="3"/>
  <c r="A24" i="3"/>
  <c r="A23" i="3"/>
  <c r="A16" i="3"/>
  <c r="F12" i="3"/>
  <c r="G12" i="3"/>
  <c r="E12" i="3"/>
  <c r="A15" i="3"/>
  <c r="A12" i="3"/>
  <c r="A13" i="3"/>
  <c r="A14" i="3"/>
  <c r="A11" i="3"/>
  <c r="F19" i="2"/>
  <c r="G19" i="2"/>
  <c r="F15" i="2"/>
  <c r="G15" i="2"/>
  <c r="A5" i="2"/>
  <c r="D3" i="4"/>
  <c r="A29" i="4"/>
  <c r="A28" i="4"/>
  <c r="A27" i="4"/>
  <c r="A26" i="4"/>
  <c r="A25" i="4"/>
  <c r="A24" i="4"/>
  <c r="A23" i="4"/>
  <c r="A22" i="4"/>
  <c r="A21" i="4"/>
  <c r="A15" i="4"/>
  <c r="A14" i="4"/>
  <c r="A13" i="4"/>
  <c r="A10" i="4"/>
  <c r="A9" i="4"/>
  <c r="A8" i="4"/>
  <c r="A7" i="4"/>
  <c r="A25" i="6"/>
  <c r="A18" i="6"/>
  <c r="A11" i="6"/>
  <c r="A4" i="6"/>
  <c r="A6" i="7"/>
  <c r="A7" i="7"/>
  <c r="A8" i="7"/>
  <c r="A9" i="7"/>
  <c r="E26" i="8"/>
  <c r="E27" i="8"/>
  <c r="E24" i="8"/>
  <c r="E25" i="8"/>
  <c r="E23" i="8"/>
  <c r="E16" i="8"/>
  <c r="E20" i="8"/>
  <c r="A22" i="8"/>
  <c r="A23" i="8"/>
  <c r="A24" i="8"/>
  <c r="A25" i="8"/>
  <c r="A26" i="8"/>
  <c r="A27" i="8"/>
  <c r="A28" i="8"/>
  <c r="A29" i="8"/>
  <c r="A21" i="8"/>
  <c r="A14" i="8"/>
  <c r="A15" i="8"/>
  <c r="A13" i="8"/>
  <c r="A10" i="8"/>
  <c r="A9" i="8"/>
  <c r="A8" i="8"/>
  <c r="A7" i="8"/>
  <c r="E44" i="9"/>
  <c r="F44" i="9" s="1"/>
  <c r="E43" i="9"/>
  <c r="F43" i="9" s="1"/>
  <c r="G43" i="9" s="1"/>
  <c r="H43" i="9" s="1"/>
  <c r="I43" i="9" s="1"/>
  <c r="J43" i="9" s="1"/>
  <c r="K43" i="9" s="1"/>
  <c r="L43" i="9" s="1"/>
  <c r="M43" i="9" s="1"/>
  <c r="N43" i="9" s="1"/>
  <c r="O43" i="9" s="1"/>
  <c r="P43" i="9" s="1"/>
  <c r="Q43" i="9" s="1"/>
  <c r="R43" i="9" s="1"/>
  <c r="S43" i="9" s="1"/>
  <c r="T43" i="9" s="1"/>
  <c r="U43" i="9" s="1"/>
  <c r="V43" i="9" s="1"/>
  <c r="W43" i="9" s="1"/>
  <c r="X43" i="9" s="1"/>
  <c r="Y43" i="9" s="1"/>
  <c r="Z43" i="9" s="1"/>
  <c r="AA43" i="9" s="1"/>
  <c r="AB43" i="9" s="1"/>
  <c r="AC43" i="9" s="1"/>
  <c r="AD43" i="9" s="1"/>
  <c r="AE43" i="9" s="1"/>
  <c r="AF43" i="9" s="1"/>
  <c r="AG43" i="9" s="1"/>
  <c r="AH43" i="9" s="1"/>
  <c r="AI43" i="9" s="1"/>
  <c r="AJ43" i="9" s="1"/>
  <c r="AK43" i="9" s="1"/>
  <c r="AL43" i="9" s="1"/>
  <c r="AM43" i="9" s="1"/>
  <c r="AN43" i="9" s="1"/>
  <c r="E42" i="9"/>
  <c r="F42" i="9" s="1"/>
  <c r="G42" i="9" s="1"/>
  <c r="H42" i="9" s="1"/>
  <c r="I42" i="9" s="1"/>
  <c r="J42" i="9" s="1"/>
  <c r="K42" i="9" s="1"/>
  <c r="L42" i="9" s="1"/>
  <c r="M42" i="9" s="1"/>
  <c r="N42" i="9" s="1"/>
  <c r="O42" i="9" s="1"/>
  <c r="P42" i="9" s="1"/>
  <c r="Q42" i="9" s="1"/>
  <c r="R42" i="9" s="1"/>
  <c r="S42" i="9" s="1"/>
  <c r="T42" i="9" s="1"/>
  <c r="U42" i="9" s="1"/>
  <c r="V42" i="9" s="1"/>
  <c r="W42" i="9" s="1"/>
  <c r="X42" i="9" s="1"/>
  <c r="Y42" i="9" s="1"/>
  <c r="Z42" i="9" s="1"/>
  <c r="AA42" i="9" s="1"/>
  <c r="AB42" i="9" s="1"/>
  <c r="AC42" i="9" s="1"/>
  <c r="AD42" i="9" s="1"/>
  <c r="AE42" i="9" s="1"/>
  <c r="AF42" i="9" s="1"/>
  <c r="AG42" i="9" s="1"/>
  <c r="AH42" i="9" s="1"/>
  <c r="AI42" i="9" s="1"/>
  <c r="AJ42" i="9" s="1"/>
  <c r="AK42" i="9" s="1"/>
  <c r="AL42" i="9" s="1"/>
  <c r="AM42" i="9" s="1"/>
  <c r="AN42" i="9" s="1"/>
  <c r="E38" i="9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Q38" i="9" s="1"/>
  <c r="R38" i="9" s="1"/>
  <c r="S38" i="9" s="1"/>
  <c r="T38" i="9" s="1"/>
  <c r="U38" i="9" s="1"/>
  <c r="V38" i="9" s="1"/>
  <c r="W38" i="9" s="1"/>
  <c r="X38" i="9" s="1"/>
  <c r="Y38" i="9" s="1"/>
  <c r="Z38" i="9" s="1"/>
  <c r="AA38" i="9" s="1"/>
  <c r="AB38" i="9" s="1"/>
  <c r="AC38" i="9" s="1"/>
  <c r="AD38" i="9" s="1"/>
  <c r="AE38" i="9" s="1"/>
  <c r="AF38" i="9" s="1"/>
  <c r="AG38" i="9" s="1"/>
  <c r="AH38" i="9" s="1"/>
  <c r="AI38" i="9" s="1"/>
  <c r="AJ38" i="9" s="1"/>
  <c r="AK38" i="9" s="1"/>
  <c r="AL38" i="9" s="1"/>
  <c r="AM38" i="9" s="1"/>
  <c r="AN38" i="9" s="1"/>
  <c r="E37" i="9"/>
  <c r="E36" i="9"/>
  <c r="F36" i="9" s="1"/>
  <c r="G36" i="9" s="1"/>
  <c r="H36" i="9" s="1"/>
  <c r="I36" i="9" s="1"/>
  <c r="J36" i="9" s="1"/>
  <c r="K36" i="9" s="1"/>
  <c r="L36" i="9" s="1"/>
  <c r="M36" i="9" s="1"/>
  <c r="N36" i="9" s="1"/>
  <c r="O36" i="9" s="1"/>
  <c r="P36" i="9" s="1"/>
  <c r="Q36" i="9" s="1"/>
  <c r="R36" i="9" s="1"/>
  <c r="S36" i="9" s="1"/>
  <c r="T36" i="9" s="1"/>
  <c r="U36" i="9" s="1"/>
  <c r="V36" i="9" s="1"/>
  <c r="W36" i="9" s="1"/>
  <c r="X36" i="9" s="1"/>
  <c r="Y36" i="9" s="1"/>
  <c r="Z36" i="9" s="1"/>
  <c r="AA36" i="9" s="1"/>
  <c r="AB36" i="9" s="1"/>
  <c r="AC36" i="9" s="1"/>
  <c r="AD36" i="9" s="1"/>
  <c r="AE36" i="9" s="1"/>
  <c r="AF36" i="9" s="1"/>
  <c r="AG36" i="9" s="1"/>
  <c r="AH36" i="9" s="1"/>
  <c r="AI36" i="9" s="1"/>
  <c r="AJ36" i="9" s="1"/>
  <c r="AK36" i="9" s="1"/>
  <c r="AL36" i="9" s="1"/>
  <c r="AM36" i="9" s="1"/>
  <c r="AN36" i="9" s="1"/>
  <c r="E31" i="9"/>
  <c r="F31" i="9" s="1"/>
  <c r="G31" i="9" s="1"/>
  <c r="H31" i="9" s="1"/>
  <c r="I31" i="9" s="1"/>
  <c r="J31" i="9" s="1"/>
  <c r="K31" i="9" s="1"/>
  <c r="L31" i="9" s="1"/>
  <c r="M31" i="9" s="1"/>
  <c r="N31" i="9" s="1"/>
  <c r="O31" i="9" s="1"/>
  <c r="P31" i="9" s="1"/>
  <c r="Q31" i="9" s="1"/>
  <c r="R31" i="9" s="1"/>
  <c r="S31" i="9" s="1"/>
  <c r="T31" i="9" s="1"/>
  <c r="U31" i="9" s="1"/>
  <c r="V31" i="9" s="1"/>
  <c r="W31" i="9" s="1"/>
  <c r="X31" i="9" s="1"/>
  <c r="Y31" i="9" s="1"/>
  <c r="Z31" i="9" s="1"/>
  <c r="AA31" i="9" s="1"/>
  <c r="AB31" i="9" s="1"/>
  <c r="AC31" i="9" s="1"/>
  <c r="AD31" i="9" s="1"/>
  <c r="AE31" i="9" s="1"/>
  <c r="AF31" i="9" s="1"/>
  <c r="AG31" i="9" s="1"/>
  <c r="AH31" i="9" s="1"/>
  <c r="AI31" i="9" s="1"/>
  <c r="AJ31" i="9" s="1"/>
  <c r="AK31" i="9" s="1"/>
  <c r="AL31" i="9" s="1"/>
  <c r="AM31" i="9" s="1"/>
  <c r="AN31" i="9" s="1"/>
  <c r="E30" i="9"/>
  <c r="F30" i="9" s="1"/>
  <c r="G30" i="9" s="1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AD30" i="9" s="1"/>
  <c r="AE30" i="9" s="1"/>
  <c r="AF30" i="9" s="1"/>
  <c r="AG30" i="9" s="1"/>
  <c r="AH30" i="9" s="1"/>
  <c r="AI30" i="9" s="1"/>
  <c r="AJ30" i="9" s="1"/>
  <c r="AK30" i="9" s="1"/>
  <c r="AL30" i="9" s="1"/>
  <c r="AM30" i="9" s="1"/>
  <c r="AN30" i="9" s="1"/>
  <c r="E29" i="9"/>
  <c r="E25" i="9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AH25" i="9" s="1"/>
  <c r="AI25" i="9" s="1"/>
  <c r="AJ25" i="9" s="1"/>
  <c r="AK25" i="9" s="1"/>
  <c r="AL25" i="9" s="1"/>
  <c r="AM25" i="9" s="1"/>
  <c r="AN25" i="9" s="1"/>
  <c r="E24" i="9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AH24" i="9" s="1"/>
  <c r="AI24" i="9" s="1"/>
  <c r="AJ24" i="9" s="1"/>
  <c r="AK24" i="9" s="1"/>
  <c r="AL24" i="9" s="1"/>
  <c r="AM24" i="9" s="1"/>
  <c r="AN24" i="9" s="1"/>
  <c r="E23" i="9"/>
  <c r="F23" i="9" s="1"/>
  <c r="G23" i="9" s="1"/>
  <c r="H23" i="9" s="1"/>
  <c r="I23" i="9" s="1"/>
  <c r="J23" i="9" s="1"/>
  <c r="K23" i="9" s="1"/>
  <c r="L23" i="9" s="1"/>
  <c r="M23" i="9" s="1"/>
  <c r="N23" i="9" s="1"/>
  <c r="O23" i="9" s="1"/>
  <c r="P23" i="9" s="1"/>
  <c r="Q23" i="9" s="1"/>
  <c r="R23" i="9" s="1"/>
  <c r="S23" i="9" s="1"/>
  <c r="T23" i="9" s="1"/>
  <c r="U23" i="9" s="1"/>
  <c r="V23" i="9" s="1"/>
  <c r="W23" i="9" s="1"/>
  <c r="X23" i="9" s="1"/>
  <c r="Y23" i="9" s="1"/>
  <c r="Z23" i="9" s="1"/>
  <c r="AA23" i="9" s="1"/>
  <c r="AB23" i="9" s="1"/>
  <c r="AC23" i="9" s="1"/>
  <c r="AD23" i="9" s="1"/>
  <c r="AE23" i="9" s="1"/>
  <c r="AF23" i="9" s="1"/>
  <c r="AG23" i="9" s="1"/>
  <c r="AH23" i="9" s="1"/>
  <c r="AI23" i="9" s="1"/>
  <c r="AJ23" i="9" s="1"/>
  <c r="AK23" i="9" s="1"/>
  <c r="AL23" i="9" s="1"/>
  <c r="E18" i="4" l="1"/>
  <c r="E31" i="4"/>
  <c r="E19" i="4"/>
  <c r="E12" i="4"/>
  <c r="F23" i="8"/>
  <c r="G23" i="8" s="1"/>
  <c r="F25" i="8"/>
  <c r="F20" i="8"/>
  <c r="G20" i="8" s="1"/>
  <c r="F24" i="8"/>
  <c r="G24" i="8" s="1"/>
  <c r="F16" i="8"/>
  <c r="AI26" i="9"/>
  <c r="S26" i="9"/>
  <c r="AE26" i="9"/>
  <c r="O26" i="9"/>
  <c r="AA26" i="9"/>
  <c r="K26" i="9"/>
  <c r="W26" i="9"/>
  <c r="G26" i="9"/>
  <c r="F37" i="9"/>
  <c r="E39" i="9"/>
  <c r="AM23" i="9"/>
  <c r="AL26" i="9"/>
  <c r="F29" i="9"/>
  <c r="E32" i="9"/>
  <c r="G44" i="9"/>
  <c r="H44" i="9" s="1"/>
  <c r="I44" i="9" s="1"/>
  <c r="F45" i="9"/>
  <c r="E26" i="9"/>
  <c r="AH26" i="9"/>
  <c r="AD26" i="9"/>
  <c r="Z26" i="9"/>
  <c r="V26" i="9"/>
  <c r="R26" i="9"/>
  <c r="N26" i="9"/>
  <c r="J26" i="9"/>
  <c r="F26" i="9"/>
  <c r="AK26" i="9"/>
  <c r="AG26" i="9"/>
  <c r="AC26" i="9"/>
  <c r="Y26" i="9"/>
  <c r="U26" i="9"/>
  <c r="Q26" i="9"/>
  <c r="M26" i="9"/>
  <c r="I26" i="9"/>
  <c r="E45" i="9"/>
  <c r="AJ26" i="9"/>
  <c r="AF26" i="9"/>
  <c r="AB26" i="9"/>
  <c r="X26" i="9"/>
  <c r="T26" i="9"/>
  <c r="P26" i="9"/>
  <c r="L26" i="9"/>
  <c r="H26" i="9"/>
  <c r="G45" i="9"/>
  <c r="F6" i="9"/>
  <c r="F7" i="9" s="1"/>
  <c r="G6" i="9"/>
  <c r="G7" i="9" s="1"/>
  <c r="E6" i="9"/>
  <c r="F3" i="3"/>
  <c r="G3" i="3" s="1"/>
  <c r="E3" i="5"/>
  <c r="F3" i="5" s="1"/>
  <c r="G3" i="5" s="1"/>
  <c r="E3" i="4"/>
  <c r="E3" i="3"/>
  <c r="E3" i="2"/>
  <c r="F3" i="2" s="1"/>
  <c r="G3" i="2" s="1"/>
  <c r="E3" i="6"/>
  <c r="B1" i="5"/>
  <c r="B1" i="4"/>
  <c r="B1" i="3"/>
  <c r="B1" i="2"/>
  <c r="B1" i="6"/>
  <c r="C4" i="7"/>
  <c r="B1" i="7"/>
  <c r="G3" i="8"/>
  <c r="H3" i="8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F3" i="8"/>
  <c r="F26" i="8" s="1"/>
  <c r="G26" i="8" s="1"/>
  <c r="F3" i="9"/>
  <c r="E4" i="8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E4" i="9"/>
  <c r="F4" i="9" s="1"/>
  <c r="G4" i="9" s="1"/>
  <c r="H4" i="9" s="1"/>
  <c r="B1" i="8"/>
  <c r="B1" i="9"/>
  <c r="D1" i="10"/>
  <c r="C11" i="7" l="1"/>
  <c r="C7" i="7"/>
  <c r="E13" i="6" s="1"/>
  <c r="C6" i="7"/>
  <c r="C9" i="7"/>
  <c r="E27" i="6" s="1"/>
  <c r="C12" i="7"/>
  <c r="C8" i="7"/>
  <c r="E20" i="6" s="1"/>
  <c r="E15" i="6"/>
  <c r="E16" i="6" s="1"/>
  <c r="F3" i="4"/>
  <c r="F11" i="4"/>
  <c r="E11" i="4"/>
  <c r="E22" i="6"/>
  <c r="E23" i="6" s="1"/>
  <c r="F3" i="6"/>
  <c r="G3" i="6" s="1"/>
  <c r="E29" i="6"/>
  <c r="E30" i="6" s="1"/>
  <c r="G16" i="8"/>
  <c r="G25" i="8"/>
  <c r="E25" i="4" s="1"/>
  <c r="F27" i="8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AB27" i="8" s="1"/>
  <c r="AC27" i="8" s="1"/>
  <c r="AD27" i="8" s="1"/>
  <c r="AE27" i="8" s="1"/>
  <c r="AF27" i="8" s="1"/>
  <c r="AG27" i="8" s="1"/>
  <c r="AH27" i="8" s="1"/>
  <c r="AI27" i="8" s="1"/>
  <c r="AJ27" i="8" s="1"/>
  <c r="AK27" i="8" s="1"/>
  <c r="AL27" i="8" s="1"/>
  <c r="AM27" i="8" s="1"/>
  <c r="AN27" i="8" s="1"/>
  <c r="H20" i="8"/>
  <c r="H26" i="8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AG26" i="8" s="1"/>
  <c r="AH26" i="8" s="1"/>
  <c r="AI26" i="8" s="1"/>
  <c r="AJ26" i="8" s="1"/>
  <c r="AK26" i="8" s="1"/>
  <c r="AL26" i="8" s="1"/>
  <c r="AM26" i="8" s="1"/>
  <c r="AN26" i="8" s="1"/>
  <c r="H23" i="8"/>
  <c r="I23" i="8" s="1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X23" i="8" s="1"/>
  <c r="Y23" i="8" s="1"/>
  <c r="Z23" i="8" s="1"/>
  <c r="AA23" i="8" s="1"/>
  <c r="AB23" i="8" s="1"/>
  <c r="AC23" i="8" s="1"/>
  <c r="AD23" i="8" s="1"/>
  <c r="AE23" i="8" s="1"/>
  <c r="AF23" i="8" s="1"/>
  <c r="AG23" i="8" s="1"/>
  <c r="AH23" i="8" s="1"/>
  <c r="AI23" i="8" s="1"/>
  <c r="AJ23" i="8" s="1"/>
  <c r="AK23" i="8" s="1"/>
  <c r="AL23" i="8" s="1"/>
  <c r="AM23" i="8" s="1"/>
  <c r="AN23" i="8" s="1"/>
  <c r="H25" i="8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AB25" i="8" s="1"/>
  <c r="AC25" i="8" s="1"/>
  <c r="AD25" i="8" s="1"/>
  <c r="AE25" i="8" s="1"/>
  <c r="AF25" i="8" s="1"/>
  <c r="AG25" i="8" s="1"/>
  <c r="AH25" i="8" s="1"/>
  <c r="AI25" i="8" s="1"/>
  <c r="AJ25" i="8" s="1"/>
  <c r="AK25" i="8" s="1"/>
  <c r="AL25" i="8" s="1"/>
  <c r="AM25" i="8" s="1"/>
  <c r="AN25" i="8" s="1"/>
  <c r="H24" i="8"/>
  <c r="H16" i="8"/>
  <c r="I16" i="8" s="1"/>
  <c r="F70" i="9"/>
  <c r="J70" i="9"/>
  <c r="N70" i="9"/>
  <c r="R70" i="9"/>
  <c r="V70" i="9"/>
  <c r="Z70" i="9"/>
  <c r="AD70" i="9"/>
  <c r="AH70" i="9"/>
  <c r="AL70" i="9"/>
  <c r="G71" i="9"/>
  <c r="G70" i="9"/>
  <c r="K70" i="9"/>
  <c r="O70" i="9"/>
  <c r="S70" i="9"/>
  <c r="W70" i="9"/>
  <c r="AA70" i="9"/>
  <c r="AE70" i="9"/>
  <c r="AI70" i="9"/>
  <c r="AM70" i="9"/>
  <c r="H71" i="9"/>
  <c r="L71" i="9"/>
  <c r="P71" i="9"/>
  <c r="T71" i="9"/>
  <c r="X71" i="9"/>
  <c r="AB71" i="9"/>
  <c r="AF71" i="9"/>
  <c r="AJ71" i="9"/>
  <c r="AN71" i="9"/>
  <c r="I72" i="9"/>
  <c r="M72" i="9"/>
  <c r="Q72" i="9"/>
  <c r="U72" i="9"/>
  <c r="Y72" i="9"/>
  <c r="AC72" i="9"/>
  <c r="AG72" i="9"/>
  <c r="AK72" i="9"/>
  <c r="E72" i="9"/>
  <c r="G64" i="9"/>
  <c r="K64" i="9"/>
  <c r="O64" i="9"/>
  <c r="S64" i="9"/>
  <c r="W64" i="9"/>
  <c r="AA64" i="9"/>
  <c r="AE64" i="9"/>
  <c r="AI64" i="9"/>
  <c r="AM64" i="9"/>
  <c r="H65" i="9"/>
  <c r="L65" i="9"/>
  <c r="P65" i="9"/>
  <c r="T65" i="9"/>
  <c r="X65" i="9"/>
  <c r="AB65" i="9"/>
  <c r="AF65" i="9"/>
  <c r="AJ65" i="9"/>
  <c r="AN65" i="9"/>
  <c r="I66" i="9"/>
  <c r="M66" i="9"/>
  <c r="Q66" i="9"/>
  <c r="U66" i="9"/>
  <c r="Y66" i="9"/>
  <c r="AC66" i="9"/>
  <c r="AG66" i="9"/>
  <c r="AK66" i="9"/>
  <c r="E66" i="9"/>
  <c r="G57" i="9"/>
  <c r="K57" i="9"/>
  <c r="O57" i="9"/>
  <c r="S57" i="9"/>
  <c r="W57" i="9"/>
  <c r="AA57" i="9"/>
  <c r="AE57" i="9"/>
  <c r="AI57" i="9"/>
  <c r="AM57" i="9"/>
  <c r="H58" i="9"/>
  <c r="L58" i="9"/>
  <c r="P58" i="9"/>
  <c r="T58" i="9"/>
  <c r="X58" i="9"/>
  <c r="AB58" i="9"/>
  <c r="AF58" i="9"/>
  <c r="AJ58" i="9"/>
  <c r="AN58" i="9"/>
  <c r="I59" i="9"/>
  <c r="M59" i="9"/>
  <c r="Q59" i="9"/>
  <c r="U59" i="9"/>
  <c r="Y59" i="9"/>
  <c r="AC59" i="9"/>
  <c r="AG59" i="9"/>
  <c r="AK59" i="9"/>
  <c r="H70" i="9"/>
  <c r="L70" i="9"/>
  <c r="P70" i="9"/>
  <c r="T70" i="9"/>
  <c r="X70" i="9"/>
  <c r="I70" i="9"/>
  <c r="Y70" i="9"/>
  <c r="AG70" i="9"/>
  <c r="F71" i="9"/>
  <c r="M71" i="9"/>
  <c r="R71" i="9"/>
  <c r="W71" i="9"/>
  <c r="AC71" i="9"/>
  <c r="AH71" i="9"/>
  <c r="AM71" i="9"/>
  <c r="J72" i="9"/>
  <c r="O72" i="9"/>
  <c r="T72" i="9"/>
  <c r="Z72" i="9"/>
  <c r="AE72" i="9"/>
  <c r="AJ72" i="9"/>
  <c r="E71" i="9"/>
  <c r="I64" i="9"/>
  <c r="N64" i="9"/>
  <c r="T64" i="9"/>
  <c r="Y64" i="9"/>
  <c r="AD64" i="9"/>
  <c r="AJ64" i="9"/>
  <c r="F65" i="9"/>
  <c r="K65" i="9"/>
  <c r="Q65" i="9"/>
  <c r="V65" i="9"/>
  <c r="AA65" i="9"/>
  <c r="AG65" i="9"/>
  <c r="AL65" i="9"/>
  <c r="H66" i="9"/>
  <c r="N66" i="9"/>
  <c r="S66" i="9"/>
  <c r="X66" i="9"/>
  <c r="AD66" i="9"/>
  <c r="AI66" i="9"/>
  <c r="AN66" i="9"/>
  <c r="H57" i="9"/>
  <c r="M57" i="9"/>
  <c r="R57" i="9"/>
  <c r="X57" i="9"/>
  <c r="AC57" i="9"/>
  <c r="AH57" i="9"/>
  <c r="AN57" i="9"/>
  <c r="J58" i="9"/>
  <c r="O58" i="9"/>
  <c r="U58" i="9"/>
  <c r="Z58" i="9"/>
  <c r="AE58" i="9"/>
  <c r="AK58" i="9"/>
  <c r="G59" i="9"/>
  <c r="L59" i="9"/>
  <c r="R59" i="9"/>
  <c r="W59" i="9"/>
  <c r="AB59" i="9"/>
  <c r="AH59" i="9"/>
  <c r="AM59" i="9"/>
  <c r="K58" i="9"/>
  <c r="Q58" i="9"/>
  <c r="AA58" i="9"/>
  <c r="AG58" i="9"/>
  <c r="H59" i="9"/>
  <c r="S59" i="9"/>
  <c r="AD59" i="9"/>
  <c r="AN59" i="9"/>
  <c r="Q70" i="9"/>
  <c r="AC70" i="9"/>
  <c r="AK70" i="9"/>
  <c r="O71" i="9"/>
  <c r="U71" i="9"/>
  <c r="AE71" i="9"/>
  <c r="AK71" i="9"/>
  <c r="L72" i="9"/>
  <c r="W72" i="9"/>
  <c r="AH72" i="9"/>
  <c r="F64" i="9"/>
  <c r="Q64" i="9"/>
  <c r="AB64" i="9"/>
  <c r="AL64" i="9"/>
  <c r="N65" i="9"/>
  <c r="Y65" i="9"/>
  <c r="AD65" i="9"/>
  <c r="F66" i="9"/>
  <c r="P66" i="9"/>
  <c r="AA66" i="9"/>
  <c r="M70" i="9"/>
  <c r="AB70" i="9"/>
  <c r="AJ70" i="9"/>
  <c r="AJ73" i="9" s="1"/>
  <c r="I71" i="9"/>
  <c r="N71" i="9"/>
  <c r="S71" i="9"/>
  <c r="Y71" i="9"/>
  <c r="AD71" i="9"/>
  <c r="AI71" i="9"/>
  <c r="F72" i="9"/>
  <c r="K72" i="9"/>
  <c r="P72" i="9"/>
  <c r="V72" i="9"/>
  <c r="AA72" i="9"/>
  <c r="AF72" i="9"/>
  <c r="AL72" i="9"/>
  <c r="E70" i="9"/>
  <c r="J64" i="9"/>
  <c r="P64" i="9"/>
  <c r="U64" i="9"/>
  <c r="Z64" i="9"/>
  <c r="AF64" i="9"/>
  <c r="AK64" i="9"/>
  <c r="G65" i="9"/>
  <c r="M65" i="9"/>
  <c r="R65" i="9"/>
  <c r="W65" i="9"/>
  <c r="AC65" i="9"/>
  <c r="AH65" i="9"/>
  <c r="AM65" i="9"/>
  <c r="J66" i="9"/>
  <c r="O66" i="9"/>
  <c r="T66" i="9"/>
  <c r="Z66" i="9"/>
  <c r="AE66" i="9"/>
  <c r="AJ66" i="9"/>
  <c r="E65" i="9"/>
  <c r="I57" i="9"/>
  <c r="N57" i="9"/>
  <c r="T57" i="9"/>
  <c r="Y57" i="9"/>
  <c r="AD57" i="9"/>
  <c r="AJ57" i="9"/>
  <c r="F58" i="9"/>
  <c r="V58" i="9"/>
  <c r="AL58" i="9"/>
  <c r="N59" i="9"/>
  <c r="X59" i="9"/>
  <c r="AI59" i="9"/>
  <c r="J71" i="9"/>
  <c r="Z71" i="9"/>
  <c r="G72" i="9"/>
  <c r="R72" i="9"/>
  <c r="AB72" i="9"/>
  <c r="AM72" i="9"/>
  <c r="L64" i="9"/>
  <c r="V64" i="9"/>
  <c r="AG64" i="9"/>
  <c r="I65" i="9"/>
  <c r="S65" i="9"/>
  <c r="AI65" i="9"/>
  <c r="K66" i="9"/>
  <c r="V66" i="9"/>
  <c r="AF66" i="9"/>
  <c r="U70" i="9"/>
  <c r="Q71" i="9"/>
  <c r="AL71" i="9"/>
  <c r="X72" i="9"/>
  <c r="H64" i="9"/>
  <c r="AC64" i="9"/>
  <c r="O65" i="9"/>
  <c r="AK65" i="9"/>
  <c r="W66" i="9"/>
  <c r="AM66" i="9"/>
  <c r="L57" i="9"/>
  <c r="L60" i="9" s="1"/>
  <c r="V57" i="9"/>
  <c r="AG57" i="9"/>
  <c r="I58" i="9"/>
  <c r="S58" i="9"/>
  <c r="AD58" i="9"/>
  <c r="F59" i="9"/>
  <c r="P59" i="9"/>
  <c r="AA59" i="9"/>
  <c r="AL59" i="9"/>
  <c r="U65" i="9"/>
  <c r="AB66" i="9"/>
  <c r="P57" i="9"/>
  <c r="Z57" i="9"/>
  <c r="AK57" i="9"/>
  <c r="W58" i="9"/>
  <c r="AH58" i="9"/>
  <c r="T59" i="9"/>
  <c r="AE59" i="9"/>
  <c r="AI72" i="9"/>
  <c r="Z65" i="9"/>
  <c r="AH66" i="9"/>
  <c r="Q57" i="9"/>
  <c r="N58" i="9"/>
  <c r="AI58" i="9"/>
  <c r="AF59" i="9"/>
  <c r="K71" i="9"/>
  <c r="S72" i="9"/>
  <c r="X64" i="9"/>
  <c r="R66" i="9"/>
  <c r="U57" i="9"/>
  <c r="R58" i="9"/>
  <c r="O59" i="9"/>
  <c r="AF70" i="9"/>
  <c r="V71" i="9"/>
  <c r="H72" i="9"/>
  <c r="AD72" i="9"/>
  <c r="M64" i="9"/>
  <c r="AH64" i="9"/>
  <c r="G66" i="9"/>
  <c r="E64" i="9"/>
  <c r="M58" i="9"/>
  <c r="J59" i="9"/>
  <c r="AN64" i="9"/>
  <c r="F57" i="9"/>
  <c r="AL57" i="9"/>
  <c r="K59" i="9"/>
  <c r="J65" i="9"/>
  <c r="AL66" i="9"/>
  <c r="AF57" i="9"/>
  <c r="AF60" i="9" s="1"/>
  <c r="AC58" i="9"/>
  <c r="Z59" i="9"/>
  <c r="AN70" i="9"/>
  <c r="AA71" i="9"/>
  <c r="N72" i="9"/>
  <c r="R64" i="9"/>
  <c r="L66" i="9"/>
  <c r="AB57" i="9"/>
  <c r="Y58" i="9"/>
  <c r="V59" i="9"/>
  <c r="AG71" i="9"/>
  <c r="AN72" i="9"/>
  <c r="AE65" i="9"/>
  <c r="J57" i="9"/>
  <c r="G58" i="9"/>
  <c r="AM58" i="9"/>
  <c r="AJ59" i="9"/>
  <c r="E59" i="9"/>
  <c r="G51" i="9"/>
  <c r="K51" i="9"/>
  <c r="O51" i="9"/>
  <c r="S51" i="9"/>
  <c r="W51" i="9"/>
  <c r="AA51" i="9"/>
  <c r="AE51" i="9"/>
  <c r="AI51" i="9"/>
  <c r="AM51" i="9"/>
  <c r="H52" i="9"/>
  <c r="L52" i="9"/>
  <c r="P52" i="9"/>
  <c r="T52" i="9"/>
  <c r="X52" i="9"/>
  <c r="AB52" i="9"/>
  <c r="AF52" i="9"/>
  <c r="AJ52" i="9"/>
  <c r="AN52" i="9"/>
  <c r="I53" i="9"/>
  <c r="M53" i="9"/>
  <c r="Q53" i="9"/>
  <c r="U53" i="9"/>
  <c r="Y53" i="9"/>
  <c r="AC53" i="9"/>
  <c r="AG53" i="9"/>
  <c r="AK53" i="9"/>
  <c r="E53" i="9"/>
  <c r="E57" i="9"/>
  <c r="M51" i="9"/>
  <c r="U51" i="9"/>
  <c r="AC51" i="9"/>
  <c r="AK51" i="9"/>
  <c r="J52" i="9"/>
  <c r="R52" i="9"/>
  <c r="Z52" i="9"/>
  <c r="AH52" i="9"/>
  <c r="G53" i="9"/>
  <c r="O53" i="9"/>
  <c r="AA53" i="9"/>
  <c r="AI53" i="9"/>
  <c r="E51" i="9"/>
  <c r="J51" i="9"/>
  <c r="R51" i="9"/>
  <c r="Z51" i="9"/>
  <c r="AH51" i="9"/>
  <c r="G52" i="9"/>
  <c r="O52" i="9"/>
  <c r="W52" i="9"/>
  <c r="AE52" i="9"/>
  <c r="AM52" i="9"/>
  <c r="L53" i="9"/>
  <c r="T53" i="9"/>
  <c r="AB53" i="9"/>
  <c r="AJ53" i="9"/>
  <c r="E58" i="9"/>
  <c r="H51" i="9"/>
  <c r="L51" i="9"/>
  <c r="P51" i="9"/>
  <c r="T51" i="9"/>
  <c r="X51" i="9"/>
  <c r="AB51" i="9"/>
  <c r="AF51" i="9"/>
  <c r="AJ51" i="9"/>
  <c r="AN51" i="9"/>
  <c r="I52" i="9"/>
  <c r="M52" i="9"/>
  <c r="Q52" i="9"/>
  <c r="U52" i="9"/>
  <c r="Y52" i="9"/>
  <c r="AC52" i="9"/>
  <c r="AG52" i="9"/>
  <c r="AK52" i="9"/>
  <c r="F53" i="9"/>
  <c r="J53" i="9"/>
  <c r="N53" i="9"/>
  <c r="R53" i="9"/>
  <c r="V53" i="9"/>
  <c r="Z53" i="9"/>
  <c r="AD53" i="9"/>
  <c r="AH53" i="9"/>
  <c r="AL53" i="9"/>
  <c r="E52" i="9"/>
  <c r="I51" i="9"/>
  <c r="Q51" i="9"/>
  <c r="Y51" i="9"/>
  <c r="AG51" i="9"/>
  <c r="F52" i="9"/>
  <c r="N52" i="9"/>
  <c r="V52" i="9"/>
  <c r="AD52" i="9"/>
  <c r="AL52" i="9"/>
  <c r="K53" i="9"/>
  <c r="S53" i="9"/>
  <c r="W53" i="9"/>
  <c r="AE53" i="9"/>
  <c r="AM53" i="9"/>
  <c r="F51" i="9"/>
  <c r="N51" i="9"/>
  <c r="V51" i="9"/>
  <c r="AD51" i="9"/>
  <c r="AL51" i="9"/>
  <c r="K52" i="9"/>
  <c r="S52" i="9"/>
  <c r="AA52" i="9"/>
  <c r="AI52" i="9"/>
  <c r="H53" i="9"/>
  <c r="P53" i="9"/>
  <c r="X53" i="9"/>
  <c r="AF53" i="9"/>
  <c r="AN53" i="9"/>
  <c r="AN78" i="9" s="1"/>
  <c r="AN9" i="8" s="1"/>
  <c r="AN15" i="8" s="1"/>
  <c r="AN23" i="9"/>
  <c r="AN26" i="9" s="1"/>
  <c r="AM26" i="9"/>
  <c r="J44" i="9"/>
  <c r="I45" i="9"/>
  <c r="H45" i="9"/>
  <c r="G29" i="9"/>
  <c r="F32" i="9"/>
  <c r="G37" i="9"/>
  <c r="F39" i="9"/>
  <c r="I4" i="9"/>
  <c r="H5" i="9"/>
  <c r="G13" i="9"/>
  <c r="G12" i="9"/>
  <c r="F17" i="9"/>
  <c r="F16" i="9"/>
  <c r="F12" i="9"/>
  <c r="F13" i="9"/>
  <c r="E12" i="9"/>
  <c r="E13" i="9"/>
  <c r="E7" i="9"/>
  <c r="G16" i="9"/>
  <c r="G17" i="9"/>
  <c r="F10" i="1"/>
  <c r="F19" i="6" l="1"/>
  <c r="F22" i="6" s="1"/>
  <c r="E25" i="3"/>
  <c r="F26" i="4"/>
  <c r="E23" i="4"/>
  <c r="F12" i="6"/>
  <c r="E24" i="3"/>
  <c r="E6" i="6"/>
  <c r="E8" i="6" s="1"/>
  <c r="C10" i="7"/>
  <c r="G9" i="5"/>
  <c r="G35" i="3" s="1"/>
  <c r="G17" i="5"/>
  <c r="G15" i="3" s="1"/>
  <c r="I24" i="8"/>
  <c r="J24" i="8" s="1"/>
  <c r="K24" i="8" s="1"/>
  <c r="L24" i="8" s="1"/>
  <c r="M24" i="8" s="1"/>
  <c r="N24" i="8" s="1"/>
  <c r="O24" i="8" s="1"/>
  <c r="P24" i="8" s="1"/>
  <c r="Q24" i="8" s="1"/>
  <c r="E24" i="4"/>
  <c r="F26" i="6"/>
  <c r="E26" i="3"/>
  <c r="E26" i="4"/>
  <c r="E14" i="2"/>
  <c r="E28" i="3"/>
  <c r="F28" i="3" s="1"/>
  <c r="G28" i="3" s="1"/>
  <c r="E27" i="4"/>
  <c r="F23" i="4"/>
  <c r="G3" i="4"/>
  <c r="G11" i="4"/>
  <c r="G19" i="4"/>
  <c r="G23" i="4"/>
  <c r="G27" i="4"/>
  <c r="G31" i="4"/>
  <c r="G18" i="4"/>
  <c r="G26" i="4"/>
  <c r="G25" i="4"/>
  <c r="G12" i="4"/>
  <c r="F19" i="4"/>
  <c r="F25" i="4"/>
  <c r="F18" i="4"/>
  <c r="F27" i="4"/>
  <c r="F12" i="4"/>
  <c r="F31" i="4"/>
  <c r="F15" i="6"/>
  <c r="F16" i="6" s="1"/>
  <c r="F23" i="6"/>
  <c r="F76" i="9"/>
  <c r="F7" i="8" s="1"/>
  <c r="F13" i="8" s="1"/>
  <c r="I20" i="8"/>
  <c r="AI77" i="9"/>
  <c r="AI8" i="8" s="1"/>
  <c r="AI14" i="8" s="1"/>
  <c r="U77" i="9"/>
  <c r="U8" i="8" s="1"/>
  <c r="U14" i="8" s="1"/>
  <c r="K77" i="9"/>
  <c r="K8" i="8" s="1"/>
  <c r="K14" i="8" s="1"/>
  <c r="W78" i="9"/>
  <c r="W9" i="8" s="1"/>
  <c r="W15" i="8" s="1"/>
  <c r="AD77" i="9"/>
  <c r="AD8" i="8" s="1"/>
  <c r="AD14" i="8" s="1"/>
  <c r="E77" i="9"/>
  <c r="E8" i="8" s="1"/>
  <c r="M77" i="9"/>
  <c r="M8" i="8" s="1"/>
  <c r="M14" i="8" s="1"/>
  <c r="M67" i="9"/>
  <c r="N77" i="9"/>
  <c r="N8" i="8" s="1"/>
  <c r="N14" i="8" s="1"/>
  <c r="AD76" i="9"/>
  <c r="AD7" i="8" s="1"/>
  <c r="AD13" i="8" s="1"/>
  <c r="H76" i="9"/>
  <c r="H7" i="8" s="1"/>
  <c r="H13" i="8" s="1"/>
  <c r="AI78" i="9"/>
  <c r="AI9" i="8" s="1"/>
  <c r="AI15" i="8" s="1"/>
  <c r="K78" i="9"/>
  <c r="K9" i="8" s="1"/>
  <c r="K15" i="8" s="1"/>
  <c r="W77" i="9"/>
  <c r="W8" i="8" s="1"/>
  <c r="W14" i="8" s="1"/>
  <c r="AK76" i="9"/>
  <c r="AK7" i="8" s="1"/>
  <c r="AK13" i="8" s="1"/>
  <c r="N78" i="9"/>
  <c r="N9" i="8" s="1"/>
  <c r="N15" i="8" s="1"/>
  <c r="H78" i="9"/>
  <c r="H9" i="8" s="1"/>
  <c r="H15" i="8" s="1"/>
  <c r="N76" i="9"/>
  <c r="N7" i="8" s="1"/>
  <c r="N13" i="8" s="1"/>
  <c r="AG76" i="9"/>
  <c r="AG7" i="8" s="1"/>
  <c r="AG13" i="8" s="1"/>
  <c r="Z78" i="9"/>
  <c r="Z9" i="8" s="1"/>
  <c r="Z15" i="8" s="1"/>
  <c r="J78" i="9"/>
  <c r="J9" i="8" s="1"/>
  <c r="J15" i="8" s="1"/>
  <c r="AC77" i="9"/>
  <c r="AC8" i="8" s="1"/>
  <c r="AC14" i="8" s="1"/>
  <c r="AJ78" i="9"/>
  <c r="AJ9" i="8" s="1"/>
  <c r="AJ15" i="8" s="1"/>
  <c r="AM77" i="9"/>
  <c r="AM8" i="8" s="1"/>
  <c r="AM14" i="8" s="1"/>
  <c r="J76" i="9"/>
  <c r="J7" i="8" s="1"/>
  <c r="J13" i="8" s="1"/>
  <c r="R77" i="9"/>
  <c r="R8" i="8" s="1"/>
  <c r="R14" i="8" s="1"/>
  <c r="AK78" i="9"/>
  <c r="AK9" i="8" s="1"/>
  <c r="AK15" i="8" s="1"/>
  <c r="U78" i="9"/>
  <c r="U9" i="8" s="1"/>
  <c r="U15" i="8" s="1"/>
  <c r="AN77" i="9"/>
  <c r="AN8" i="8" s="1"/>
  <c r="AN14" i="8" s="1"/>
  <c r="X77" i="9"/>
  <c r="X8" i="8" s="1"/>
  <c r="X14" i="8" s="1"/>
  <c r="H77" i="9"/>
  <c r="H8" i="8" s="1"/>
  <c r="H14" i="8" s="1"/>
  <c r="AA76" i="9"/>
  <c r="AA7" i="8" s="1"/>
  <c r="AA13" i="8" s="1"/>
  <c r="K76" i="9"/>
  <c r="K7" i="8" s="1"/>
  <c r="K13" i="8" s="1"/>
  <c r="AB60" i="9"/>
  <c r="AL60" i="9"/>
  <c r="AF73" i="9"/>
  <c r="Q67" i="9"/>
  <c r="AN76" i="9"/>
  <c r="AN7" i="8" s="1"/>
  <c r="AN13" i="8" s="1"/>
  <c r="Z77" i="9"/>
  <c r="Z8" i="8" s="1"/>
  <c r="Z14" i="8" s="1"/>
  <c r="P76" i="9"/>
  <c r="P7" i="8" s="1"/>
  <c r="P13" i="8" s="1"/>
  <c r="G77" i="9"/>
  <c r="G8" i="8" s="1"/>
  <c r="G14" i="8" s="1"/>
  <c r="O78" i="9"/>
  <c r="O9" i="8" s="1"/>
  <c r="O15" i="8" s="1"/>
  <c r="L67" i="9"/>
  <c r="U67" i="9"/>
  <c r="Z60" i="9"/>
  <c r="V60" i="9"/>
  <c r="S60" i="9"/>
  <c r="V77" i="9"/>
  <c r="V8" i="8" s="1"/>
  <c r="V14" i="8" s="1"/>
  <c r="V78" i="9"/>
  <c r="V9" i="8" s="1"/>
  <c r="V15" i="8" s="1"/>
  <c r="F78" i="9"/>
  <c r="F9" i="8" s="1"/>
  <c r="F15" i="8" s="1"/>
  <c r="AB78" i="9"/>
  <c r="AB9" i="8" s="1"/>
  <c r="AB15" i="8" s="1"/>
  <c r="E76" i="9"/>
  <c r="E7" i="8" s="1"/>
  <c r="AG78" i="9"/>
  <c r="AG9" i="8" s="1"/>
  <c r="AG15" i="8" s="1"/>
  <c r="Q78" i="9"/>
  <c r="Q9" i="8" s="1"/>
  <c r="Q15" i="8" s="1"/>
  <c r="AJ77" i="9"/>
  <c r="AJ8" i="8" s="1"/>
  <c r="AJ14" i="8" s="1"/>
  <c r="T77" i="9"/>
  <c r="T8" i="8" s="1"/>
  <c r="T14" i="8" s="1"/>
  <c r="AM76" i="9"/>
  <c r="AM7" i="8" s="1"/>
  <c r="AM13" i="8" s="1"/>
  <c r="W76" i="9"/>
  <c r="W7" i="8" s="1"/>
  <c r="W13" i="8" s="1"/>
  <c r="G76" i="9"/>
  <c r="G7" i="8" s="1"/>
  <c r="G13" i="8" s="1"/>
  <c r="AE78" i="9"/>
  <c r="AE9" i="8" s="1"/>
  <c r="AE15" i="8" s="1"/>
  <c r="AL77" i="9"/>
  <c r="AL8" i="8" s="1"/>
  <c r="AL14" i="8" s="1"/>
  <c r="AD78" i="9"/>
  <c r="AD9" i="8" s="1"/>
  <c r="AD15" i="8" s="1"/>
  <c r="Q77" i="9"/>
  <c r="Q8" i="8" s="1"/>
  <c r="AJ76" i="9"/>
  <c r="AJ7" i="8" s="1"/>
  <c r="AJ13" i="8" s="1"/>
  <c r="AC76" i="9"/>
  <c r="AC7" i="8" s="1"/>
  <c r="AC13" i="8" s="1"/>
  <c r="U60" i="9"/>
  <c r="Q60" i="9"/>
  <c r="AK60" i="9"/>
  <c r="J16" i="8"/>
  <c r="Y76" i="9"/>
  <c r="Y7" i="8" s="1"/>
  <c r="Y13" i="8" s="1"/>
  <c r="I77" i="9"/>
  <c r="I8" i="8" s="1"/>
  <c r="I14" i="8" s="1"/>
  <c r="AH76" i="9"/>
  <c r="AH7" i="8" s="1"/>
  <c r="AH13" i="8" s="1"/>
  <c r="G78" i="9"/>
  <c r="G9" i="8" s="1"/>
  <c r="G15" i="8" s="1"/>
  <c r="M76" i="9"/>
  <c r="AF54" i="9"/>
  <c r="AF76" i="9"/>
  <c r="AF7" i="8" s="1"/>
  <c r="AF13" i="8" s="1"/>
  <c r="U54" i="9"/>
  <c r="U76" i="9"/>
  <c r="Y77" i="9"/>
  <c r="Y8" i="8" s="1"/>
  <c r="Y14" i="8" s="1"/>
  <c r="L76" i="9"/>
  <c r="L7" i="8" s="1"/>
  <c r="L13" i="8" s="1"/>
  <c r="J77" i="9"/>
  <c r="X78" i="9"/>
  <c r="X9" i="8" s="1"/>
  <c r="X15" i="8" s="1"/>
  <c r="AA77" i="9"/>
  <c r="AM78" i="9"/>
  <c r="Q76" i="9"/>
  <c r="AH78" i="9"/>
  <c r="AH9" i="8" s="1"/>
  <c r="AH15" i="8" s="1"/>
  <c r="R78" i="9"/>
  <c r="R9" i="8" s="1"/>
  <c r="R15" i="8" s="1"/>
  <c r="AK77" i="9"/>
  <c r="X76" i="9"/>
  <c r="X7" i="8" s="1"/>
  <c r="X13" i="8" s="1"/>
  <c r="T78" i="9"/>
  <c r="T9" i="8" s="1"/>
  <c r="T15" i="8" s="1"/>
  <c r="Z76" i="9"/>
  <c r="AH77" i="9"/>
  <c r="AH8" i="8" s="1"/>
  <c r="AH14" i="8" s="1"/>
  <c r="AC78" i="9"/>
  <c r="M78" i="9"/>
  <c r="M9" i="8" s="1"/>
  <c r="M15" i="8" s="1"/>
  <c r="AF77" i="9"/>
  <c r="AF8" i="8" s="1"/>
  <c r="AF14" i="8" s="1"/>
  <c r="P77" i="9"/>
  <c r="AI76" i="9"/>
  <c r="S76" i="9"/>
  <c r="AF78" i="9"/>
  <c r="AF9" i="8" s="1"/>
  <c r="AF15" i="8" s="1"/>
  <c r="AL76" i="9"/>
  <c r="AL7" i="8" s="1"/>
  <c r="AL13" i="8" s="1"/>
  <c r="S78" i="9"/>
  <c r="S9" i="8" s="1"/>
  <c r="S15" i="8" s="1"/>
  <c r="AL78" i="9"/>
  <c r="AL9" i="8" s="1"/>
  <c r="AL15" i="8" s="1"/>
  <c r="AB76" i="9"/>
  <c r="AE77" i="9"/>
  <c r="AE8" i="8" s="1"/>
  <c r="AE14" i="8" s="1"/>
  <c r="P78" i="9"/>
  <c r="P9" i="8" s="1"/>
  <c r="P15" i="8" s="1"/>
  <c r="S77" i="9"/>
  <c r="S8" i="8" s="1"/>
  <c r="S14" i="8" s="1"/>
  <c r="V76" i="9"/>
  <c r="F77" i="9"/>
  <c r="F8" i="8" s="1"/>
  <c r="F14" i="8" s="1"/>
  <c r="I76" i="9"/>
  <c r="I7" i="8" s="1"/>
  <c r="I13" i="8" s="1"/>
  <c r="AG77" i="9"/>
  <c r="T76" i="9"/>
  <c r="T7" i="8" s="1"/>
  <c r="T13" i="8" s="1"/>
  <c r="L78" i="9"/>
  <c r="L9" i="8" s="1"/>
  <c r="L15" i="8" s="1"/>
  <c r="O77" i="9"/>
  <c r="O8" i="8" s="1"/>
  <c r="O14" i="8" s="1"/>
  <c r="R76" i="9"/>
  <c r="AA78" i="9"/>
  <c r="AA9" i="8" s="1"/>
  <c r="AA15" i="8" s="1"/>
  <c r="E78" i="9"/>
  <c r="Y78" i="9"/>
  <c r="Y9" i="8" s="1"/>
  <c r="Y15" i="8" s="1"/>
  <c r="I78" i="9"/>
  <c r="I9" i="8" s="1"/>
  <c r="I15" i="8" s="1"/>
  <c r="AB77" i="9"/>
  <c r="AB8" i="8" s="1"/>
  <c r="AB14" i="8" s="1"/>
  <c r="L77" i="9"/>
  <c r="L8" i="8" s="1"/>
  <c r="L14" i="8" s="1"/>
  <c r="AE76" i="9"/>
  <c r="O76" i="9"/>
  <c r="O7" i="8" s="1"/>
  <c r="O13" i="8" s="1"/>
  <c r="AC73" i="9"/>
  <c r="V54" i="9"/>
  <c r="I54" i="9"/>
  <c r="AJ54" i="9"/>
  <c r="T54" i="9"/>
  <c r="R54" i="9"/>
  <c r="AG60" i="9"/>
  <c r="H67" i="9"/>
  <c r="U73" i="9"/>
  <c r="V67" i="9"/>
  <c r="Z67" i="9"/>
  <c r="Q73" i="9"/>
  <c r="Y73" i="9"/>
  <c r="AE73" i="9"/>
  <c r="AG54" i="9"/>
  <c r="J54" i="9"/>
  <c r="K54" i="9"/>
  <c r="X60" i="9"/>
  <c r="I73" i="9"/>
  <c r="AE67" i="9"/>
  <c r="AA73" i="9"/>
  <c r="R73" i="9"/>
  <c r="AL54" i="9"/>
  <c r="F54" i="9"/>
  <c r="Y54" i="9"/>
  <c r="AB54" i="9"/>
  <c r="L54" i="9"/>
  <c r="AH54" i="9"/>
  <c r="E54" i="9"/>
  <c r="M54" i="9"/>
  <c r="AM54" i="9"/>
  <c r="W54" i="9"/>
  <c r="G54" i="9"/>
  <c r="AN73" i="9"/>
  <c r="F60" i="9"/>
  <c r="E67" i="9"/>
  <c r="X67" i="9"/>
  <c r="P60" i="9"/>
  <c r="AJ60" i="9"/>
  <c r="N60" i="9"/>
  <c r="AK67" i="9"/>
  <c r="P67" i="9"/>
  <c r="F67" i="9"/>
  <c r="AK73" i="9"/>
  <c r="AN60" i="9"/>
  <c r="R60" i="9"/>
  <c r="T67" i="9"/>
  <c r="X73" i="9"/>
  <c r="H73" i="9"/>
  <c r="AE60" i="9"/>
  <c r="O60" i="9"/>
  <c r="AA67" i="9"/>
  <c r="K67" i="9"/>
  <c r="AM73" i="9"/>
  <c r="W73" i="9"/>
  <c r="G73" i="9"/>
  <c r="AD73" i="9"/>
  <c r="N73" i="9"/>
  <c r="N54" i="9"/>
  <c r="P54" i="9"/>
  <c r="AA54" i="9"/>
  <c r="T60" i="9"/>
  <c r="Y67" i="9"/>
  <c r="L73" i="9"/>
  <c r="AI60" i="9"/>
  <c r="O67" i="9"/>
  <c r="K73" i="9"/>
  <c r="AH73" i="9"/>
  <c r="AD54" i="9"/>
  <c r="Q54" i="9"/>
  <c r="AN54" i="9"/>
  <c r="X54" i="9"/>
  <c r="H54" i="9"/>
  <c r="Z54" i="9"/>
  <c r="AK54" i="9"/>
  <c r="E60" i="9"/>
  <c r="AI54" i="9"/>
  <c r="S54" i="9"/>
  <c r="J60" i="9"/>
  <c r="R67" i="9"/>
  <c r="AN67" i="9"/>
  <c r="AC67" i="9"/>
  <c r="AG67" i="9"/>
  <c r="AD60" i="9"/>
  <c r="I60" i="9"/>
  <c r="AF67" i="9"/>
  <c r="J67" i="9"/>
  <c r="AB73" i="9"/>
  <c r="AL67" i="9"/>
  <c r="AH60" i="9"/>
  <c r="M60" i="9"/>
  <c r="AJ67" i="9"/>
  <c r="N67" i="9"/>
  <c r="AG73" i="9"/>
  <c r="T73" i="9"/>
  <c r="AA60" i="9"/>
  <c r="K60" i="9"/>
  <c r="AM67" i="9"/>
  <c r="W67" i="9"/>
  <c r="G67" i="9"/>
  <c r="AI73" i="9"/>
  <c r="S73" i="9"/>
  <c r="Z73" i="9"/>
  <c r="J73" i="9"/>
  <c r="AC54" i="9"/>
  <c r="AE54" i="9"/>
  <c r="O54" i="9"/>
  <c r="AH67" i="9"/>
  <c r="Y60" i="9"/>
  <c r="E73" i="9"/>
  <c r="M73" i="9"/>
  <c r="AB67" i="9"/>
  <c r="AC60" i="9"/>
  <c r="H60" i="9"/>
  <c r="AD67" i="9"/>
  <c r="I67" i="9"/>
  <c r="P73" i="9"/>
  <c r="AM60" i="9"/>
  <c r="W60" i="9"/>
  <c r="G60" i="9"/>
  <c r="AI67" i="9"/>
  <c r="S67" i="9"/>
  <c r="O73" i="9"/>
  <c r="AL73" i="9"/>
  <c r="V73" i="9"/>
  <c r="F73" i="9"/>
  <c r="H37" i="9"/>
  <c r="G39" i="9"/>
  <c r="K44" i="9"/>
  <c r="J45" i="9"/>
  <c r="H29" i="9"/>
  <c r="G32" i="9"/>
  <c r="E16" i="9"/>
  <c r="E17" i="9"/>
  <c r="H6" i="9"/>
  <c r="J4" i="9"/>
  <c r="I5" i="9"/>
  <c r="G5" i="1"/>
  <c r="G101" i="1"/>
  <c r="E9" i="5" l="1"/>
  <c r="E35" i="3" s="1"/>
  <c r="E17" i="5"/>
  <c r="E15" i="3" s="1"/>
  <c r="G8" i="5"/>
  <c r="G34" i="3" s="1"/>
  <c r="G16" i="5"/>
  <c r="G14" i="3" s="1"/>
  <c r="G19" i="6"/>
  <c r="G22" i="6" s="1"/>
  <c r="F25" i="3"/>
  <c r="G7" i="4"/>
  <c r="Q14" i="8"/>
  <c r="F8" i="4"/>
  <c r="E13" i="8"/>
  <c r="E7" i="5"/>
  <c r="E15" i="5"/>
  <c r="E13" i="3" s="1"/>
  <c r="F9" i="4"/>
  <c r="G8" i="4"/>
  <c r="F29" i="6"/>
  <c r="F30" i="6"/>
  <c r="E13" i="2"/>
  <c r="E15" i="2" s="1"/>
  <c r="C14" i="7"/>
  <c r="F8" i="5"/>
  <c r="F34" i="3" s="1"/>
  <c r="F16" i="5"/>
  <c r="F14" i="3" s="1"/>
  <c r="F9" i="5"/>
  <c r="F17" i="5"/>
  <c r="F15" i="3" s="1"/>
  <c r="F15" i="4"/>
  <c r="G7" i="5"/>
  <c r="G15" i="5"/>
  <c r="G13" i="3" s="1"/>
  <c r="E14" i="8"/>
  <c r="E14" i="4" s="1"/>
  <c r="G12" i="6"/>
  <c r="G15" i="6" s="1"/>
  <c r="G16" i="6" s="1"/>
  <c r="G24" i="3" s="1"/>
  <c r="F24" i="3"/>
  <c r="R24" i="8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E9" i="6"/>
  <c r="E33" i="4"/>
  <c r="E6" i="2" s="1"/>
  <c r="G23" i="6"/>
  <c r="G25" i="3" s="1"/>
  <c r="AN79" i="9"/>
  <c r="AN10" i="8" s="1"/>
  <c r="H79" i="9"/>
  <c r="H10" i="8" s="1"/>
  <c r="H17" i="8"/>
  <c r="J20" i="8"/>
  <c r="AN28" i="8"/>
  <c r="AN22" i="8"/>
  <c r="AN21" i="8"/>
  <c r="AN29" i="8"/>
  <c r="K79" i="9"/>
  <c r="K10" i="8" s="1"/>
  <c r="N79" i="9"/>
  <c r="N10" i="8" s="1"/>
  <c r="I17" i="8"/>
  <c r="AJ79" i="9"/>
  <c r="AJ10" i="8" s="1"/>
  <c r="G79" i="9"/>
  <c r="G10" i="8" s="1"/>
  <c r="AE79" i="9"/>
  <c r="AE10" i="8" s="1"/>
  <c r="AE7" i="8"/>
  <c r="AE13" i="8" s="1"/>
  <c r="G13" i="4" s="1"/>
  <c r="E79" i="9"/>
  <c r="E10" i="8" s="1"/>
  <c r="E10" i="4" s="1"/>
  <c r="E9" i="8"/>
  <c r="S79" i="9"/>
  <c r="S10" i="8" s="1"/>
  <c r="S7" i="8"/>
  <c r="S13" i="8" s="1"/>
  <c r="AK79" i="9"/>
  <c r="AK10" i="8" s="1"/>
  <c r="AK8" i="8"/>
  <c r="AK14" i="8" s="1"/>
  <c r="AM79" i="9"/>
  <c r="AM10" i="8" s="1"/>
  <c r="AM9" i="8"/>
  <c r="AM15" i="8" s="1"/>
  <c r="J79" i="9"/>
  <c r="J10" i="8" s="1"/>
  <c r="J8" i="8"/>
  <c r="J14" i="8" s="1"/>
  <c r="W79" i="9"/>
  <c r="W10" i="8" s="1"/>
  <c r="Z79" i="9"/>
  <c r="Z10" i="8" s="1"/>
  <c r="Z7" i="8"/>
  <c r="Z13" i="8" s="1"/>
  <c r="Q79" i="9"/>
  <c r="Q10" i="8" s="1"/>
  <c r="Q7" i="8"/>
  <c r="U79" i="9"/>
  <c r="U10" i="8" s="1"/>
  <c r="U7" i="8"/>
  <c r="U13" i="8" s="1"/>
  <c r="F17" i="8"/>
  <c r="AI79" i="9"/>
  <c r="AI10" i="8" s="1"/>
  <c r="AI7" i="8"/>
  <c r="AI13" i="8" s="1"/>
  <c r="AC79" i="9"/>
  <c r="AC10" i="8" s="1"/>
  <c r="AC9" i="8"/>
  <c r="AD79" i="9"/>
  <c r="AD10" i="8" s="1"/>
  <c r="M79" i="9"/>
  <c r="M10" i="8" s="1"/>
  <c r="M7" i="8"/>
  <c r="M13" i="8" s="1"/>
  <c r="AG79" i="9"/>
  <c r="AG10" i="8" s="1"/>
  <c r="AG8" i="8"/>
  <c r="AG14" i="8" s="1"/>
  <c r="G14" i="4" s="1"/>
  <c r="R79" i="9"/>
  <c r="R10" i="8" s="1"/>
  <c r="R7" i="8"/>
  <c r="R13" i="8" s="1"/>
  <c r="V79" i="9"/>
  <c r="V10" i="8" s="1"/>
  <c r="V7" i="8"/>
  <c r="V13" i="8" s="1"/>
  <c r="AB79" i="9"/>
  <c r="AB10" i="8" s="1"/>
  <c r="AB7" i="8"/>
  <c r="AB13" i="8" s="1"/>
  <c r="P79" i="9"/>
  <c r="P10" i="8" s="1"/>
  <c r="P8" i="8"/>
  <c r="P14" i="8" s="1"/>
  <c r="AA79" i="9"/>
  <c r="AA10" i="8" s="1"/>
  <c r="AA8" i="8"/>
  <c r="AA14" i="8" s="1"/>
  <c r="F79" i="9"/>
  <c r="F10" i="8" s="1"/>
  <c r="G17" i="8"/>
  <c r="K16" i="8"/>
  <c r="J17" i="8"/>
  <c r="Y79" i="9"/>
  <c r="Y10" i="8" s="1"/>
  <c r="I79" i="9"/>
  <c r="I10" i="8" s="1"/>
  <c r="AH79" i="9"/>
  <c r="AH10" i="8" s="1"/>
  <c r="O79" i="9"/>
  <c r="O10" i="8" s="1"/>
  <c r="T79" i="9"/>
  <c r="T10" i="8" s="1"/>
  <c r="AL79" i="9"/>
  <c r="AL10" i="8" s="1"/>
  <c r="X79" i="9"/>
  <c r="X10" i="8" s="1"/>
  <c r="L79" i="9"/>
  <c r="L10" i="8" s="1"/>
  <c r="AF79" i="9"/>
  <c r="AF10" i="8" s="1"/>
  <c r="L44" i="9"/>
  <c r="K45" i="9"/>
  <c r="I29" i="9"/>
  <c r="H32" i="9"/>
  <c r="I37" i="9"/>
  <c r="H39" i="9"/>
  <c r="H12" i="9"/>
  <c r="H13" i="9"/>
  <c r="H7" i="9"/>
  <c r="I6" i="9"/>
  <c r="I7" i="9" s="1"/>
  <c r="K4" i="9"/>
  <c r="J5" i="9"/>
  <c r="G87" i="1"/>
  <c r="G67" i="1"/>
  <c r="G40" i="1"/>
  <c r="G50" i="1"/>
  <c r="G10" i="1"/>
  <c r="C10" i="1"/>
  <c r="B10" i="1"/>
  <c r="E17" i="8" l="1"/>
  <c r="AD24" i="8"/>
  <c r="AE24" i="8" s="1"/>
  <c r="AF24" i="8" s="1"/>
  <c r="AG24" i="8" s="1"/>
  <c r="AH24" i="8" s="1"/>
  <c r="AI24" i="8" s="1"/>
  <c r="AJ24" i="8" s="1"/>
  <c r="AK24" i="8" s="1"/>
  <c r="AL24" i="8" s="1"/>
  <c r="AM24" i="8" s="1"/>
  <c r="AN24" i="8" s="1"/>
  <c r="G24" i="4"/>
  <c r="G10" i="5"/>
  <c r="G33" i="3"/>
  <c r="F7" i="5"/>
  <c r="F33" i="3" s="1"/>
  <c r="F15" i="5"/>
  <c r="F13" i="3" s="1"/>
  <c r="AC15" i="8"/>
  <c r="G15" i="4" s="1"/>
  <c r="G9" i="4"/>
  <c r="F10" i="4"/>
  <c r="E15" i="8"/>
  <c r="E15" i="4" s="1"/>
  <c r="E9" i="4"/>
  <c r="F24" i="4"/>
  <c r="E8" i="4"/>
  <c r="E33" i="3"/>
  <c r="F14" i="4"/>
  <c r="G10" i="4"/>
  <c r="C18" i="7"/>
  <c r="C17" i="7"/>
  <c r="E7" i="4"/>
  <c r="E8" i="5"/>
  <c r="E34" i="3" s="1"/>
  <c r="E16" i="5"/>
  <c r="E14" i="3" s="1"/>
  <c r="F10" i="5"/>
  <c r="F35" i="3"/>
  <c r="E13" i="4"/>
  <c r="Q13" i="8"/>
  <c r="F13" i="4" s="1"/>
  <c r="F7" i="4"/>
  <c r="F5" i="6"/>
  <c r="E23" i="3"/>
  <c r="E29" i="3" s="1"/>
  <c r="G26" i="6"/>
  <c r="F26" i="3"/>
  <c r="M29" i="8"/>
  <c r="M28" i="8"/>
  <c r="M21" i="8"/>
  <c r="M22" i="8"/>
  <c r="U22" i="8"/>
  <c r="U21" i="8"/>
  <c r="U28" i="8"/>
  <c r="U29" i="8"/>
  <c r="Z22" i="8"/>
  <c r="Z29" i="8"/>
  <c r="Z21" i="8"/>
  <c r="Z28" i="8"/>
  <c r="AL28" i="8"/>
  <c r="AL21" i="8"/>
  <c r="AL22" i="8"/>
  <c r="AL29" i="8"/>
  <c r="AF28" i="8"/>
  <c r="AF22" i="8"/>
  <c r="AF21" i="8"/>
  <c r="AF29" i="8"/>
  <c r="F28" i="8"/>
  <c r="F21" i="8"/>
  <c r="F29" i="8"/>
  <c r="F22" i="8"/>
  <c r="V28" i="8"/>
  <c r="V21" i="8"/>
  <c r="V22" i="8"/>
  <c r="V29" i="8"/>
  <c r="AG28" i="8"/>
  <c r="AG21" i="8"/>
  <c r="AG22" i="8"/>
  <c r="AG29" i="8"/>
  <c r="AD29" i="8"/>
  <c r="AD28" i="8"/>
  <c r="AD21" i="8"/>
  <c r="AD22" i="8"/>
  <c r="AI29" i="8"/>
  <c r="AI22" i="8"/>
  <c r="AI28" i="8"/>
  <c r="AI21" i="8"/>
  <c r="W29" i="8"/>
  <c r="W28" i="8"/>
  <c r="W21" i="8"/>
  <c r="W22" i="8"/>
  <c r="AM29" i="8"/>
  <c r="AM28" i="8"/>
  <c r="AM22" i="8"/>
  <c r="AM21" i="8"/>
  <c r="S29" i="8"/>
  <c r="S28" i="8"/>
  <c r="S22" i="8"/>
  <c r="S21" i="8"/>
  <c r="AE29" i="8"/>
  <c r="AE22" i="8"/>
  <c r="AE28" i="8"/>
  <c r="AE21" i="8"/>
  <c r="N29" i="8"/>
  <c r="N22" i="8"/>
  <c r="N21" i="8"/>
  <c r="N28" i="8"/>
  <c r="K20" i="8"/>
  <c r="I29" i="8"/>
  <c r="I28" i="8"/>
  <c r="I22" i="8"/>
  <c r="I21" i="8"/>
  <c r="T28" i="8"/>
  <c r="T22" i="8"/>
  <c r="T21" i="8"/>
  <c r="T29" i="8"/>
  <c r="L28" i="8"/>
  <c r="L22" i="8"/>
  <c r="L21" i="8"/>
  <c r="L29" i="8"/>
  <c r="K29" i="8"/>
  <c r="K28" i="8"/>
  <c r="K21" i="8"/>
  <c r="K22" i="8"/>
  <c r="Y29" i="8"/>
  <c r="Y22" i="8"/>
  <c r="Y21" i="8"/>
  <c r="Y28" i="8"/>
  <c r="P28" i="8"/>
  <c r="P22" i="8"/>
  <c r="P21" i="8"/>
  <c r="P29" i="8"/>
  <c r="O29" i="8"/>
  <c r="O22" i="8"/>
  <c r="O21" i="8"/>
  <c r="O28" i="8"/>
  <c r="Q28" i="8"/>
  <c r="Q21" i="8"/>
  <c r="F21" i="4" s="1"/>
  <c r="Q22" i="8"/>
  <c r="Q29" i="8"/>
  <c r="F29" i="4" s="1"/>
  <c r="G28" i="8"/>
  <c r="G21" i="8"/>
  <c r="G22" i="8"/>
  <c r="G29" i="8"/>
  <c r="X28" i="8"/>
  <c r="X22" i="8"/>
  <c r="X21" i="8"/>
  <c r="X29" i="8"/>
  <c r="AH29" i="8"/>
  <c r="AH28" i="8"/>
  <c r="AH21" i="8"/>
  <c r="AH22" i="8"/>
  <c r="AA29" i="8"/>
  <c r="AA28" i="8"/>
  <c r="AA21" i="8"/>
  <c r="AA22" i="8"/>
  <c r="AB28" i="8"/>
  <c r="AB22" i="8"/>
  <c r="AB21" i="8"/>
  <c r="AB29" i="8"/>
  <c r="R29" i="8"/>
  <c r="R28" i="8"/>
  <c r="R21" i="8"/>
  <c r="R22" i="8"/>
  <c r="AC29" i="8"/>
  <c r="AC28" i="8"/>
  <c r="AC22" i="8"/>
  <c r="AC21" i="8"/>
  <c r="G21" i="4" s="1"/>
  <c r="J22" i="8"/>
  <c r="J21" i="8"/>
  <c r="J28" i="8"/>
  <c r="J29" i="8"/>
  <c r="AK22" i="8"/>
  <c r="AK29" i="8"/>
  <c r="AK21" i="8"/>
  <c r="AK28" i="8"/>
  <c r="E28" i="8"/>
  <c r="E22" i="8"/>
  <c r="E22" i="4" s="1"/>
  <c r="E21" i="8"/>
  <c r="E29" i="8"/>
  <c r="E29" i="4" s="1"/>
  <c r="AJ28" i="8"/>
  <c r="AJ22" i="8"/>
  <c r="AJ21" i="8"/>
  <c r="AJ29" i="8"/>
  <c r="H29" i="8"/>
  <c r="H28" i="8"/>
  <c r="H22" i="8"/>
  <c r="H21" i="8"/>
  <c r="L16" i="8"/>
  <c r="K17" i="8"/>
  <c r="J29" i="9"/>
  <c r="I32" i="9"/>
  <c r="J37" i="9"/>
  <c r="I39" i="9"/>
  <c r="M44" i="9"/>
  <c r="L45" i="9"/>
  <c r="J6" i="9"/>
  <c r="J7" i="9"/>
  <c r="H16" i="9"/>
  <c r="I16" i="9" s="1"/>
  <c r="H17" i="9"/>
  <c r="I17" i="9" s="1"/>
  <c r="I13" i="9"/>
  <c r="J13" i="9" s="1"/>
  <c r="L4" i="9"/>
  <c r="K5" i="9"/>
  <c r="I12" i="9"/>
  <c r="E21" i="4" l="1"/>
  <c r="G22" i="4"/>
  <c r="F22" i="4"/>
  <c r="E5" i="3"/>
  <c r="E18" i="2"/>
  <c r="E19" i="2" s="1"/>
  <c r="C20" i="7"/>
  <c r="E10" i="5"/>
  <c r="G28" i="4"/>
  <c r="G29" i="6"/>
  <c r="G30" i="6" s="1"/>
  <c r="G26" i="3" s="1"/>
  <c r="E28" i="4"/>
  <c r="G29" i="4"/>
  <c r="F28" i="4"/>
  <c r="F8" i="6"/>
  <c r="F33" i="4" s="1"/>
  <c r="F6" i="2" s="1"/>
  <c r="F9" i="6"/>
  <c r="H30" i="8"/>
  <c r="H32" i="8" s="1"/>
  <c r="H34" i="8" s="1"/>
  <c r="J30" i="8"/>
  <c r="J32" i="8" s="1"/>
  <c r="J34" i="8" s="1"/>
  <c r="L20" i="8"/>
  <c r="K30" i="8"/>
  <c r="K32" i="8" s="1"/>
  <c r="K34" i="8" s="1"/>
  <c r="F30" i="8"/>
  <c r="F32" i="8" s="1"/>
  <c r="F34" i="8" s="1"/>
  <c r="G30" i="8"/>
  <c r="G32" i="8" s="1"/>
  <c r="G34" i="8" s="1"/>
  <c r="E30" i="8"/>
  <c r="I30" i="8"/>
  <c r="I32" i="8" s="1"/>
  <c r="I34" i="8" s="1"/>
  <c r="M16" i="8"/>
  <c r="L17" i="8"/>
  <c r="K37" i="9"/>
  <c r="J39" i="9"/>
  <c r="N44" i="9"/>
  <c r="M45" i="9"/>
  <c r="K29" i="9"/>
  <c r="J32" i="9"/>
  <c r="J17" i="9"/>
  <c r="J12" i="9"/>
  <c r="J16" i="9"/>
  <c r="M4" i="9"/>
  <c r="L5" i="9"/>
  <c r="K6" i="9"/>
  <c r="K7" i="9" s="1"/>
  <c r="K17" i="9" s="1"/>
  <c r="E32" i="8" l="1"/>
  <c r="G5" i="6"/>
  <c r="G8" i="6" s="1"/>
  <c r="F23" i="3"/>
  <c r="F29" i="3" s="1"/>
  <c r="F5" i="3"/>
  <c r="M20" i="8"/>
  <c r="L30" i="8"/>
  <c r="L32" i="8" s="1"/>
  <c r="L34" i="8" s="1"/>
  <c r="N16" i="8"/>
  <c r="M17" i="8"/>
  <c r="O44" i="9"/>
  <c r="N45" i="9"/>
  <c r="L29" i="9"/>
  <c r="K32" i="9"/>
  <c r="L37" i="9"/>
  <c r="K39" i="9"/>
  <c r="K12" i="9"/>
  <c r="K13" i="9"/>
  <c r="K16" i="9"/>
  <c r="L6" i="9"/>
  <c r="L7" i="9" s="1"/>
  <c r="N4" i="9"/>
  <c r="M5" i="9"/>
  <c r="G5" i="3" l="1"/>
  <c r="G9" i="6"/>
  <c r="G23" i="3" s="1"/>
  <c r="G29" i="3" s="1"/>
  <c r="G33" i="4"/>
  <c r="G6" i="2" s="1"/>
  <c r="E34" i="8"/>
  <c r="N20" i="8"/>
  <c r="M30" i="8"/>
  <c r="N17" i="8"/>
  <c r="O16" i="8"/>
  <c r="M29" i="9"/>
  <c r="L32" i="9"/>
  <c r="M37" i="9"/>
  <c r="L39" i="9"/>
  <c r="P44" i="9"/>
  <c r="O45" i="9"/>
  <c r="L12" i="9"/>
  <c r="L13" i="9"/>
  <c r="O4" i="9"/>
  <c r="N5" i="9"/>
  <c r="M6" i="9"/>
  <c r="L16" i="9"/>
  <c r="L17" i="9"/>
  <c r="M32" i="8" l="1"/>
  <c r="O20" i="8"/>
  <c r="N30" i="8"/>
  <c r="N32" i="8" s="1"/>
  <c r="N34" i="8" s="1"/>
  <c r="P16" i="8"/>
  <c r="O17" i="8"/>
  <c r="N37" i="9"/>
  <c r="M39" i="9"/>
  <c r="Q44" i="9"/>
  <c r="P45" i="9"/>
  <c r="N29" i="9"/>
  <c r="M32" i="9"/>
  <c r="M13" i="9"/>
  <c r="M7" i="9"/>
  <c r="M17" i="9" s="1"/>
  <c r="M12" i="9"/>
  <c r="N6" i="9"/>
  <c r="P4" i="9"/>
  <c r="O5" i="9"/>
  <c r="M34" i="8" l="1"/>
  <c r="P20" i="8"/>
  <c r="O30" i="8"/>
  <c r="Q16" i="8"/>
  <c r="P17" i="8"/>
  <c r="R44" i="9"/>
  <c r="Q45" i="9"/>
  <c r="N13" i="9"/>
  <c r="O37" i="9"/>
  <c r="N39" i="9"/>
  <c r="O29" i="9"/>
  <c r="N32" i="9"/>
  <c r="M16" i="9"/>
  <c r="O6" i="9"/>
  <c r="N12" i="9"/>
  <c r="Q4" i="9"/>
  <c r="P5" i="9"/>
  <c r="N7" i="9"/>
  <c r="O32" i="8" l="1"/>
  <c r="E30" i="4"/>
  <c r="Q20" i="8"/>
  <c r="P30" i="8"/>
  <c r="R16" i="8"/>
  <c r="Q17" i="8"/>
  <c r="P29" i="9"/>
  <c r="O32" i="9"/>
  <c r="P37" i="9"/>
  <c r="O39" i="9"/>
  <c r="O13" i="9"/>
  <c r="S44" i="9"/>
  <c r="R45" i="9"/>
  <c r="O12" i="9"/>
  <c r="N16" i="9"/>
  <c r="N17" i="9"/>
  <c r="O7" i="9"/>
  <c r="O16" i="9" s="1"/>
  <c r="P6" i="9"/>
  <c r="P13" i="9" s="1"/>
  <c r="R4" i="9"/>
  <c r="Q5" i="9"/>
  <c r="O34" i="8" l="1"/>
  <c r="E32" i="4"/>
  <c r="E35" i="4" s="1"/>
  <c r="E38" i="4" s="1"/>
  <c r="P32" i="8"/>
  <c r="P34" i="8" s="1"/>
  <c r="E13" i="5"/>
  <c r="R20" i="8"/>
  <c r="Q30" i="8"/>
  <c r="S16" i="8"/>
  <c r="R17" i="8"/>
  <c r="Q37" i="9"/>
  <c r="P39" i="9"/>
  <c r="T44" i="9"/>
  <c r="S45" i="9"/>
  <c r="Q29" i="9"/>
  <c r="P32" i="9"/>
  <c r="O17" i="9"/>
  <c r="P7" i="9"/>
  <c r="P16" i="9" s="1"/>
  <c r="P12" i="9"/>
  <c r="S4" i="9"/>
  <c r="R5" i="9"/>
  <c r="Q6" i="9"/>
  <c r="Q13" i="9" s="1"/>
  <c r="E39" i="4" l="1"/>
  <c r="E40" i="4" s="1"/>
  <c r="E18" i="5"/>
  <c r="E11" i="3"/>
  <c r="Q32" i="8"/>
  <c r="S20" i="8"/>
  <c r="R30" i="8"/>
  <c r="R32" i="8" s="1"/>
  <c r="R34" i="8" s="1"/>
  <c r="T16" i="8"/>
  <c r="S17" i="8"/>
  <c r="U44" i="9"/>
  <c r="T45" i="9"/>
  <c r="R29" i="9"/>
  <c r="Q32" i="9"/>
  <c r="R37" i="9"/>
  <c r="Q39" i="9"/>
  <c r="R6" i="9"/>
  <c r="R13" i="9" s="1"/>
  <c r="P17" i="9"/>
  <c r="T4" i="9"/>
  <c r="S5" i="9"/>
  <c r="Q7" i="9"/>
  <c r="Q16" i="9" s="1"/>
  <c r="Q12" i="9"/>
  <c r="E6" i="3" l="1"/>
  <c r="E5" i="2"/>
  <c r="E7" i="2" s="1"/>
  <c r="E42" i="4"/>
  <c r="Q34" i="8"/>
  <c r="E16" i="3"/>
  <c r="E20" i="5"/>
  <c r="E21" i="5" s="1"/>
  <c r="E8" i="2" s="1"/>
  <c r="T20" i="8"/>
  <c r="S30" i="8"/>
  <c r="U16" i="8"/>
  <c r="T17" i="8"/>
  <c r="S29" i="9"/>
  <c r="R32" i="9"/>
  <c r="S37" i="9"/>
  <c r="R39" i="9"/>
  <c r="V44" i="9"/>
  <c r="U45" i="9"/>
  <c r="U4" i="9"/>
  <c r="T5" i="9"/>
  <c r="S6" i="9"/>
  <c r="S7" i="9" s="1"/>
  <c r="R7" i="9"/>
  <c r="R16" i="9" s="1"/>
  <c r="R12" i="9"/>
  <c r="Q17" i="9"/>
  <c r="E8" i="3" l="1"/>
  <c r="E18" i="3" s="1"/>
  <c r="S32" i="8"/>
  <c r="E10" i="2"/>
  <c r="E21" i="2" s="1"/>
  <c r="E23" i="2" s="1"/>
  <c r="U20" i="8"/>
  <c r="T30" i="8"/>
  <c r="T32" i="8"/>
  <c r="T34" i="8" s="1"/>
  <c r="V16" i="8"/>
  <c r="U17" i="8"/>
  <c r="T37" i="9"/>
  <c r="S39" i="9"/>
  <c r="W44" i="9"/>
  <c r="V45" i="9"/>
  <c r="T29" i="9"/>
  <c r="S32" i="9"/>
  <c r="S16" i="9"/>
  <c r="S12" i="9"/>
  <c r="T6" i="9"/>
  <c r="T7" i="9"/>
  <c r="S13" i="9"/>
  <c r="V4" i="9"/>
  <c r="U5" i="9"/>
  <c r="R17" i="9"/>
  <c r="S17" i="9" s="1"/>
  <c r="T17" i="9" s="1"/>
  <c r="E36" i="3" l="1"/>
  <c r="E38" i="3" s="1"/>
  <c r="E40" i="3" s="1"/>
  <c r="F22" i="2"/>
  <c r="S34" i="8"/>
  <c r="V20" i="8"/>
  <c r="U30" i="8"/>
  <c r="W16" i="8"/>
  <c r="V17" i="8"/>
  <c r="X44" i="9"/>
  <c r="W45" i="9"/>
  <c r="U29" i="9"/>
  <c r="T32" i="9"/>
  <c r="U37" i="9"/>
  <c r="T39" i="9"/>
  <c r="T16" i="9"/>
  <c r="T13" i="9"/>
  <c r="T12" i="9"/>
  <c r="W4" i="9"/>
  <c r="V5" i="9"/>
  <c r="U6" i="9"/>
  <c r="U13" i="9" s="1"/>
  <c r="U32" i="8" l="1"/>
  <c r="W20" i="8"/>
  <c r="V30" i="8"/>
  <c r="V32" i="8" s="1"/>
  <c r="V34" i="8" s="1"/>
  <c r="X16" i="8"/>
  <c r="W17" i="8"/>
  <c r="V29" i="9"/>
  <c r="U32" i="9"/>
  <c r="V37" i="9"/>
  <c r="U39" i="9"/>
  <c r="Y44" i="9"/>
  <c r="X45" i="9"/>
  <c r="U7" i="9"/>
  <c r="U16" i="9" s="1"/>
  <c r="X4" i="9"/>
  <c r="W5" i="9"/>
  <c r="U12" i="9"/>
  <c r="U17" i="9"/>
  <c r="V6" i="9"/>
  <c r="V13" i="9" s="1"/>
  <c r="U34" i="8" l="1"/>
  <c r="X20" i="8"/>
  <c r="W30" i="8"/>
  <c r="Y16" i="8"/>
  <c r="X17" i="8"/>
  <c r="W37" i="9"/>
  <c r="V39" i="9"/>
  <c r="Z44" i="9"/>
  <c r="Y45" i="9"/>
  <c r="W29" i="9"/>
  <c r="V32" i="9"/>
  <c r="V12" i="9"/>
  <c r="Y4" i="9"/>
  <c r="X5" i="9"/>
  <c r="W6" i="9"/>
  <c r="W13" i="9" s="1"/>
  <c r="V7" i="9"/>
  <c r="V16" i="9" s="1"/>
  <c r="W32" i="8" l="1"/>
  <c r="Y20" i="8"/>
  <c r="X30" i="8"/>
  <c r="X32" i="8" s="1"/>
  <c r="X34" i="8" s="1"/>
  <c r="Z16" i="8"/>
  <c r="Y17" i="8"/>
  <c r="AA44" i="9"/>
  <c r="Z45" i="9"/>
  <c r="X29" i="9"/>
  <c r="W32" i="9"/>
  <c r="X37" i="9"/>
  <c r="W39" i="9"/>
  <c r="V17" i="9"/>
  <c r="Z4" i="9"/>
  <c r="Y5" i="9"/>
  <c r="X6" i="9"/>
  <c r="X13" i="9" s="1"/>
  <c r="W12" i="9"/>
  <c r="W7" i="9"/>
  <c r="W34" i="8" l="1"/>
  <c r="Z20" i="8"/>
  <c r="Y30" i="8"/>
  <c r="AA16" i="8"/>
  <c r="Z17" i="8"/>
  <c r="Y29" i="9"/>
  <c r="X32" i="9"/>
  <c r="Y37" i="9"/>
  <c r="X39" i="9"/>
  <c r="AB44" i="9"/>
  <c r="AA45" i="9"/>
  <c r="W17" i="9"/>
  <c r="X12" i="9"/>
  <c r="W16" i="9"/>
  <c r="X7" i="9"/>
  <c r="Y6" i="9"/>
  <c r="Y13" i="9" s="1"/>
  <c r="AA4" i="9"/>
  <c r="Z5" i="9"/>
  <c r="Y32" i="8" l="1"/>
  <c r="AA20" i="8"/>
  <c r="Z30" i="8"/>
  <c r="Z32" i="8" s="1"/>
  <c r="Z34" i="8" s="1"/>
  <c r="AB16" i="8"/>
  <c r="AA17" i="8"/>
  <c r="Z37" i="9"/>
  <c r="Y39" i="9"/>
  <c r="X17" i="9"/>
  <c r="Y17" i="9" s="1"/>
  <c r="AC44" i="9"/>
  <c r="AB45" i="9"/>
  <c r="Z29" i="9"/>
  <c r="Y32" i="9"/>
  <c r="Y12" i="9"/>
  <c r="X16" i="9"/>
  <c r="Y7" i="9"/>
  <c r="Y16" i="9" s="1"/>
  <c r="AB4" i="9"/>
  <c r="AA5" i="9"/>
  <c r="Z6" i="9"/>
  <c r="Z7" i="9" s="1"/>
  <c r="Y34" i="8" l="1"/>
  <c r="AB20" i="8"/>
  <c r="AA30" i="8"/>
  <c r="AA32" i="8" s="1"/>
  <c r="AA34" i="8" s="1"/>
  <c r="AC16" i="8"/>
  <c r="AB17" i="8"/>
  <c r="AD44" i="9"/>
  <c r="AC45" i="9"/>
  <c r="AA29" i="9"/>
  <c r="Z32" i="9"/>
  <c r="AA37" i="9"/>
  <c r="Z39" i="9"/>
  <c r="Z17" i="9"/>
  <c r="Z12" i="9"/>
  <c r="AA6" i="9"/>
  <c r="Z13" i="9"/>
  <c r="AC4" i="9"/>
  <c r="AB5" i="9"/>
  <c r="Z16" i="9"/>
  <c r="AC20" i="8" l="1"/>
  <c r="AB30" i="8"/>
  <c r="AD16" i="8"/>
  <c r="AC17" i="8"/>
  <c r="AB29" i="9"/>
  <c r="AA32" i="9"/>
  <c r="AB37" i="9"/>
  <c r="AA39" i="9"/>
  <c r="AE44" i="9"/>
  <c r="AD45" i="9"/>
  <c r="AA13" i="9"/>
  <c r="AA12" i="9"/>
  <c r="AB6" i="9"/>
  <c r="AD4" i="9"/>
  <c r="AC5" i="9"/>
  <c r="AA7" i="9"/>
  <c r="AA17" i="9" s="1"/>
  <c r="AB32" i="8" l="1"/>
  <c r="AB34" i="8" s="1"/>
  <c r="F13" i="5"/>
  <c r="AD20" i="8"/>
  <c r="AC30" i="8"/>
  <c r="AE16" i="8"/>
  <c r="AD17" i="8"/>
  <c r="AC37" i="9"/>
  <c r="AB39" i="9"/>
  <c r="AB12" i="9"/>
  <c r="AF44" i="9"/>
  <c r="AE45" i="9"/>
  <c r="AC29" i="9"/>
  <c r="AB32" i="9"/>
  <c r="AC6" i="9"/>
  <c r="AC12" i="9" s="1"/>
  <c r="AA16" i="9"/>
  <c r="AE4" i="9"/>
  <c r="AD5" i="9"/>
  <c r="AB13" i="9"/>
  <c r="AB7" i="9"/>
  <c r="AB17" i="9" s="1"/>
  <c r="F11" i="3" l="1"/>
  <c r="F18" i="5"/>
  <c r="AC32" i="8"/>
  <c r="AE20" i="8"/>
  <c r="AD30" i="8"/>
  <c r="AD32" i="8" s="1"/>
  <c r="AD34" i="8" s="1"/>
  <c r="AF16" i="8"/>
  <c r="AE17" i="8"/>
  <c r="AD29" i="9"/>
  <c r="AC32" i="9"/>
  <c r="AG44" i="9"/>
  <c r="AF45" i="9"/>
  <c r="AD37" i="9"/>
  <c r="AC39" i="9"/>
  <c r="AC13" i="9"/>
  <c r="AC7" i="9"/>
  <c r="AC17" i="9" s="1"/>
  <c r="AF4" i="9"/>
  <c r="AE5" i="9"/>
  <c r="AD6" i="9"/>
  <c r="AD13" i="9" s="1"/>
  <c r="AB16" i="9"/>
  <c r="AC16" i="9" s="1"/>
  <c r="AC34" i="8" l="1"/>
  <c r="F16" i="3"/>
  <c r="F20" i="5"/>
  <c r="F21" i="5" s="1"/>
  <c r="F8" i="2" s="1"/>
  <c r="AF20" i="8"/>
  <c r="AE30" i="8"/>
  <c r="AG16" i="8"/>
  <c r="AF17" i="8"/>
  <c r="AH44" i="9"/>
  <c r="AG45" i="9"/>
  <c r="AE37" i="9"/>
  <c r="AD39" i="9"/>
  <c r="AE29" i="9"/>
  <c r="AD32" i="9"/>
  <c r="AE6" i="9"/>
  <c r="AE13" i="9" s="1"/>
  <c r="AG4" i="9"/>
  <c r="AF5" i="9"/>
  <c r="AD7" i="9"/>
  <c r="AD17" i="9" s="1"/>
  <c r="AD12" i="9"/>
  <c r="AE32" i="8" l="1"/>
  <c r="AG20" i="8"/>
  <c r="AF30" i="8"/>
  <c r="AF32" i="8" s="1"/>
  <c r="AF34" i="8" s="1"/>
  <c r="AH16" i="8"/>
  <c r="AG17" i="8"/>
  <c r="AF37" i="9"/>
  <c r="AE39" i="9"/>
  <c r="AF29" i="9"/>
  <c r="AE32" i="9"/>
  <c r="AI44" i="9"/>
  <c r="AH45" i="9"/>
  <c r="AF6" i="9"/>
  <c r="AF13" i="9" s="1"/>
  <c r="AD16" i="9"/>
  <c r="AE12" i="9"/>
  <c r="AE7" i="9"/>
  <c r="AE17" i="9" s="1"/>
  <c r="AH4" i="9"/>
  <c r="AG5" i="9"/>
  <c r="AE34" i="8" l="1"/>
  <c r="AH20" i="8"/>
  <c r="AG30" i="8"/>
  <c r="AI16" i="8"/>
  <c r="AH17" i="8"/>
  <c r="AG29" i="9"/>
  <c r="AF32" i="9"/>
  <c r="AJ44" i="9"/>
  <c r="AI45" i="9"/>
  <c r="AG37" i="9"/>
  <c r="AF39" i="9"/>
  <c r="AE16" i="9"/>
  <c r="AF7" i="9"/>
  <c r="AF16" i="9" s="1"/>
  <c r="AI4" i="9"/>
  <c r="AH5" i="9"/>
  <c r="AG6" i="9"/>
  <c r="AG13" i="9" s="1"/>
  <c r="AF12" i="9"/>
  <c r="AG32" i="8" l="1"/>
  <c r="AI20" i="8"/>
  <c r="AH30" i="8"/>
  <c r="AH32" i="8" s="1"/>
  <c r="AH34" i="8" s="1"/>
  <c r="AJ16" i="8"/>
  <c r="AI17" i="8"/>
  <c r="AK44" i="9"/>
  <c r="AJ45" i="9"/>
  <c r="AF17" i="9"/>
  <c r="AH37" i="9"/>
  <c r="AG39" i="9"/>
  <c r="AH29" i="9"/>
  <c r="AG32" i="9"/>
  <c r="AG12" i="9"/>
  <c r="AJ4" i="9"/>
  <c r="AI5" i="9"/>
  <c r="AG7" i="9"/>
  <c r="AH6" i="9"/>
  <c r="AH13" i="9" s="1"/>
  <c r="AG34" i="8" l="1"/>
  <c r="AJ20" i="8"/>
  <c r="AI30" i="8"/>
  <c r="AK16" i="8"/>
  <c r="AJ17" i="8"/>
  <c r="AI29" i="9"/>
  <c r="AH32" i="9"/>
  <c r="AI37" i="9"/>
  <c r="AH39" i="9"/>
  <c r="AL44" i="9"/>
  <c r="AK45" i="9"/>
  <c r="AI6" i="9"/>
  <c r="AI13" i="9" s="1"/>
  <c r="AK4" i="9"/>
  <c r="AJ5" i="9"/>
  <c r="AH7" i="9"/>
  <c r="AH12" i="9"/>
  <c r="AG17" i="9"/>
  <c r="AG16" i="9"/>
  <c r="AI32" i="8" l="1"/>
  <c r="AK20" i="8"/>
  <c r="AJ30" i="8"/>
  <c r="AJ32" i="8" s="1"/>
  <c r="AJ34" i="8" s="1"/>
  <c r="AL16" i="8"/>
  <c r="AK17" i="8"/>
  <c r="AJ37" i="9"/>
  <c r="AI39" i="9"/>
  <c r="AM44" i="9"/>
  <c r="AL45" i="9"/>
  <c r="AJ29" i="9"/>
  <c r="AI32" i="9"/>
  <c r="AH16" i="9"/>
  <c r="AH17" i="9"/>
  <c r="AI7" i="9"/>
  <c r="AL4" i="9"/>
  <c r="AK5" i="9"/>
  <c r="AI12" i="9"/>
  <c r="AJ6" i="9"/>
  <c r="AJ13" i="9" s="1"/>
  <c r="AI34" i="8" l="1"/>
  <c r="AL20" i="8"/>
  <c r="AK30" i="8"/>
  <c r="AM16" i="8"/>
  <c r="AL17" i="8"/>
  <c r="AN44" i="9"/>
  <c r="AN45" i="9" s="1"/>
  <c r="AM45" i="9"/>
  <c r="AK29" i="9"/>
  <c r="AJ32" i="9"/>
  <c r="AK37" i="9"/>
  <c r="AJ39" i="9"/>
  <c r="AI17" i="9"/>
  <c r="AI16" i="9"/>
  <c r="AM4" i="9"/>
  <c r="AL5" i="9"/>
  <c r="AJ12" i="9"/>
  <c r="AJ7" i="9"/>
  <c r="AJ17" i="9" s="1"/>
  <c r="AK6" i="9"/>
  <c r="AK13" i="9" s="1"/>
  <c r="AK32" i="8" l="1"/>
  <c r="AM20" i="8"/>
  <c r="AL30" i="8"/>
  <c r="AL32" i="8" s="1"/>
  <c r="AL34" i="8" s="1"/>
  <c r="AN16" i="8"/>
  <c r="AM17" i="8"/>
  <c r="AL29" i="9"/>
  <c r="AK32" i="9"/>
  <c r="AL37" i="9"/>
  <c r="AK39" i="9"/>
  <c r="AK12" i="9"/>
  <c r="AN4" i="9"/>
  <c r="AN5" i="9" s="1"/>
  <c r="AM5" i="9"/>
  <c r="AJ16" i="9"/>
  <c r="AK7" i="9"/>
  <c r="AK17" i="9" s="1"/>
  <c r="AL6" i="9"/>
  <c r="AL13" i="9" s="1"/>
  <c r="AN17" i="8" l="1"/>
  <c r="E16" i="4"/>
  <c r="F16" i="4"/>
  <c r="G16" i="4"/>
  <c r="AK34" i="8"/>
  <c r="AN20" i="8"/>
  <c r="AM30" i="8"/>
  <c r="AM32" i="8" s="1"/>
  <c r="AM34" i="8" s="1"/>
  <c r="AM37" i="9"/>
  <c r="AL39" i="9"/>
  <c r="AM29" i="9"/>
  <c r="AL32" i="9"/>
  <c r="AL7" i="9"/>
  <c r="AL17" i="9" s="1"/>
  <c r="AL12" i="9"/>
  <c r="AN6" i="9"/>
  <c r="AN7" i="9" s="1"/>
  <c r="AK16" i="9"/>
  <c r="AL16" i="9" s="1"/>
  <c r="AM6" i="9"/>
  <c r="AM13" i="9" s="1"/>
  <c r="AN30" i="8" l="1"/>
  <c r="E20" i="4"/>
  <c r="F20" i="4"/>
  <c r="G20" i="4"/>
  <c r="E17" i="4"/>
  <c r="F17" i="4"/>
  <c r="G17" i="4"/>
  <c r="AN29" i="9"/>
  <c r="AN32" i="9" s="1"/>
  <c r="AM32" i="9"/>
  <c r="AN37" i="9"/>
  <c r="AN39" i="9" s="1"/>
  <c r="AM39" i="9"/>
  <c r="AN13" i="9"/>
  <c r="AM7" i="9"/>
  <c r="AM17" i="9" s="1"/>
  <c r="AN17" i="9" s="1"/>
  <c r="AM12" i="9"/>
  <c r="AN12" i="9" s="1"/>
  <c r="AM16" i="9"/>
  <c r="AN16" i="9" s="1"/>
  <c r="AN32" i="8" l="1"/>
  <c r="G13" i="5"/>
  <c r="F30" i="4"/>
  <c r="G30" i="4"/>
  <c r="G11" i="3" l="1"/>
  <c r="G18" i="5"/>
  <c r="AN34" i="8"/>
  <c r="F32" i="4"/>
  <c r="F35" i="4" s="1"/>
  <c r="F38" i="4" s="1"/>
  <c r="G32" i="4"/>
  <c r="G35" i="4" s="1"/>
  <c r="G38" i="4" s="1"/>
  <c r="F39" i="4" l="1"/>
  <c r="F40" i="4"/>
  <c r="G16" i="3"/>
  <c r="G20" i="5"/>
  <c r="G21" i="5" s="1"/>
  <c r="G8" i="2" s="1"/>
  <c r="G39" i="4"/>
  <c r="G40" i="4"/>
  <c r="G5" i="2" l="1"/>
  <c r="G7" i="2" s="1"/>
  <c r="G10" i="2" s="1"/>
  <c r="G21" i="2" s="1"/>
  <c r="G42" i="4"/>
  <c r="F5" i="2"/>
  <c r="F7" i="2" s="1"/>
  <c r="F10" i="2" s="1"/>
  <c r="F21" i="2" s="1"/>
  <c r="F23" i="2" s="1"/>
  <c r="F42" i="4"/>
  <c r="F6" i="3"/>
  <c r="F36" i="3" l="1"/>
  <c r="F38" i="3" s="1"/>
  <c r="F40" i="3" s="1"/>
  <c r="G22" i="2"/>
  <c r="G23" i="2" s="1"/>
  <c r="G36" i="3" s="1"/>
  <c r="G38" i="3" s="1"/>
  <c r="G40" i="3" s="1"/>
  <c r="G6" i="3"/>
  <c r="G8" i="3" s="1"/>
  <c r="G18" i="3" s="1"/>
  <c r="F8" i="3"/>
  <c r="F18" i="3" s="1"/>
</calcChain>
</file>

<file path=xl/sharedStrings.xml><?xml version="1.0" encoding="utf-8"?>
<sst xmlns="http://schemas.openxmlformats.org/spreadsheetml/2006/main" count="303" uniqueCount="184">
  <si>
    <t>Revenue</t>
  </si>
  <si>
    <t>Particulars</t>
  </si>
  <si>
    <t>Weekdays</t>
  </si>
  <si>
    <t>Weekend</t>
  </si>
  <si>
    <t>Lunch</t>
  </si>
  <si>
    <t>APC</t>
  </si>
  <si>
    <t>Alcoholic Beverages</t>
  </si>
  <si>
    <t>Non Alcoholic Beverages</t>
  </si>
  <si>
    <t>Food</t>
  </si>
  <si>
    <t>Y-O-Y Growth price rate</t>
  </si>
  <si>
    <t>Occupancy</t>
  </si>
  <si>
    <t>Number of Covers Available</t>
  </si>
  <si>
    <t>Number of Rounds Available</t>
  </si>
  <si>
    <t>Number of Covers Occupied/ Round</t>
  </si>
  <si>
    <t>MoM growth</t>
  </si>
  <si>
    <t>Maximum Occupancy/Round</t>
  </si>
  <si>
    <t>Dinner</t>
  </si>
  <si>
    <t>Y-O-Y Price Growth rate</t>
  </si>
  <si>
    <t xml:space="preserve">Direct Expenses </t>
  </si>
  <si>
    <t>Alcoholic Beverage cost (% of revenue)</t>
  </si>
  <si>
    <t>Non Alcoholic Beverages (% of revenue)</t>
  </si>
  <si>
    <t>Food (% of revenue)</t>
  </si>
  <si>
    <t>Members of Team</t>
  </si>
  <si>
    <t>Number of Employees</t>
  </si>
  <si>
    <t>Salary</t>
  </si>
  <si>
    <t>Receptionist</t>
  </si>
  <si>
    <t>Restaurants Manager</t>
  </si>
  <si>
    <t>Waiters</t>
  </si>
  <si>
    <t>Head Chef</t>
  </si>
  <si>
    <t>Chefs</t>
  </si>
  <si>
    <t>Assistant Chef</t>
  </si>
  <si>
    <t>Valet Parking</t>
  </si>
  <si>
    <t>Cleaners</t>
  </si>
  <si>
    <t>Bartender</t>
  </si>
  <si>
    <t>Salary / M</t>
  </si>
  <si>
    <t>Indirect Expenses</t>
  </si>
  <si>
    <t>Rent (as per contract) (% of revenue)</t>
  </si>
  <si>
    <t>Conversion Rate</t>
  </si>
  <si>
    <t>Serving Area (% of carpet area)</t>
  </si>
  <si>
    <t>Serving Area</t>
  </si>
  <si>
    <t>Kitchen Area</t>
  </si>
  <si>
    <t>Area per cover (Sq.Ft.)</t>
  </si>
  <si>
    <t>Covers</t>
  </si>
  <si>
    <t>Sitting per table</t>
  </si>
  <si>
    <t>Number of Tables</t>
  </si>
  <si>
    <t>Housekeeping  &amp; Consumables (% of revenue)</t>
  </si>
  <si>
    <t>Payment Settlement Charges (% or revenue)</t>
  </si>
  <si>
    <t>HR Manager</t>
  </si>
  <si>
    <t>Assistant Manager</t>
  </si>
  <si>
    <t>Security</t>
  </si>
  <si>
    <t>Purchase Manager</t>
  </si>
  <si>
    <t>Accountant</t>
  </si>
  <si>
    <t xml:space="preserve"> Others </t>
  </si>
  <si>
    <t xml:space="preserve"> Indirect expenses will increase Y-o-Y basis </t>
  </si>
  <si>
    <t>Total</t>
  </si>
  <si>
    <t>Numbers of Tables  occupied opting for card payment</t>
  </si>
  <si>
    <t>Electricity (Based on area Rs./sq. Ft.)</t>
  </si>
  <si>
    <t>Area specifications</t>
  </si>
  <si>
    <t>Capital Expenditure</t>
  </si>
  <si>
    <t>Equipments</t>
  </si>
  <si>
    <t>Furniture &amp; Fixtures</t>
  </si>
  <si>
    <t>Restaurants Décor</t>
  </si>
  <si>
    <t>Rate per Sq Ft</t>
  </si>
  <si>
    <t>Working capital</t>
  </si>
  <si>
    <t>Inventory</t>
  </si>
  <si>
    <t>Non-Alcoholic Beverages</t>
  </si>
  <si>
    <t>Creditor For Raw material</t>
  </si>
  <si>
    <t>Creditor For Expenses</t>
  </si>
  <si>
    <t>Days</t>
  </si>
  <si>
    <t>Maintenance (per month)</t>
  </si>
  <si>
    <t>Water Cost (per month)</t>
  </si>
  <si>
    <t>Marketing cost (per month)</t>
  </si>
  <si>
    <t>Phone and internet (per month)</t>
  </si>
  <si>
    <t xml:space="preserve">Depreciation </t>
  </si>
  <si>
    <t xml:space="preserve"> Equipments </t>
  </si>
  <si>
    <t xml:space="preserve"> Furniture &amp; Fixtures and Restaurant  décor </t>
  </si>
  <si>
    <t>Capital Structure</t>
  </si>
  <si>
    <t>Equity</t>
  </si>
  <si>
    <t>Debt</t>
  </si>
  <si>
    <t>Tax Rate</t>
  </si>
  <si>
    <t>Period of Construction of restaurant – 3 Months.</t>
  </si>
  <si>
    <t>Start of  Construction</t>
  </si>
  <si>
    <t>Construction period</t>
  </si>
  <si>
    <t>3 Months</t>
  </si>
  <si>
    <t>Date of Operations</t>
  </si>
  <si>
    <t>Rotalty to brand (% Of Revenue)</t>
  </si>
  <si>
    <t xml:space="preserve"> Staff salary will increase Y-o-Y basis </t>
  </si>
  <si>
    <t>Carpet Area required (Sq. ft.)</t>
  </si>
  <si>
    <t>Super Built up area to be rented (Sq. ft.)</t>
  </si>
  <si>
    <t>Kitchen Equipments and cutlery</t>
  </si>
  <si>
    <t>Initial working capital introduced</t>
  </si>
  <si>
    <t>End of sheet</t>
  </si>
  <si>
    <t>Cash credit limit will be availed if required</t>
  </si>
  <si>
    <t>Rate of Interest on CC Limit</t>
  </si>
  <si>
    <t xml:space="preserve">Rent Deposits </t>
  </si>
  <si>
    <t>Refrigeration Equipments</t>
  </si>
  <si>
    <t xml:space="preserve">ones </t>
  </si>
  <si>
    <t xml:space="preserve">tens </t>
  </si>
  <si>
    <t xml:space="preserve">hundreds </t>
  </si>
  <si>
    <t xml:space="preserve">thousands </t>
  </si>
  <si>
    <t xml:space="preserve">lakhs </t>
  </si>
  <si>
    <t xml:space="preserve">millons </t>
  </si>
  <si>
    <t xml:space="preserve">crores </t>
  </si>
  <si>
    <t xml:space="preserve">model in </t>
  </si>
  <si>
    <t>currency in INR</t>
  </si>
  <si>
    <t xml:space="preserve">all final values in </t>
  </si>
  <si>
    <t xml:space="preserve">operating days </t>
  </si>
  <si>
    <t>No of week days in a month</t>
  </si>
  <si>
    <t>No of weekend days in a month</t>
  </si>
  <si>
    <t>weekdays</t>
  </si>
  <si>
    <t>lunch</t>
  </si>
  <si>
    <t xml:space="preserve">dinner </t>
  </si>
  <si>
    <t xml:space="preserve"> </t>
  </si>
  <si>
    <t>weekends</t>
  </si>
  <si>
    <t xml:space="preserve">NO. of guests per day </t>
  </si>
  <si>
    <t xml:space="preserve">Revenue per month </t>
  </si>
  <si>
    <t xml:space="preserve">Total revenues for month </t>
  </si>
  <si>
    <t xml:space="preserve">Revenues </t>
  </si>
  <si>
    <t xml:space="preserve">Less : Direct expenses </t>
  </si>
  <si>
    <t xml:space="preserve">Staff Salary </t>
  </si>
  <si>
    <t xml:space="preserve">Total Direct expenses </t>
  </si>
  <si>
    <t xml:space="preserve">Less : Indirect Expenses </t>
  </si>
  <si>
    <t xml:space="preserve">Other staff salary </t>
  </si>
  <si>
    <t xml:space="preserve">Total indirect expenses </t>
  </si>
  <si>
    <t>EBITDA</t>
  </si>
  <si>
    <t>EBITDA Margins %</t>
  </si>
  <si>
    <t xml:space="preserve">Fixed assets </t>
  </si>
  <si>
    <t xml:space="preserve">Add: Rent deposit </t>
  </si>
  <si>
    <t xml:space="preserve">Add: Woking capital </t>
  </si>
  <si>
    <t xml:space="preserve">Total funds required </t>
  </si>
  <si>
    <t xml:space="preserve">Sources of funds </t>
  </si>
  <si>
    <t xml:space="preserve">Equity capital </t>
  </si>
  <si>
    <t xml:space="preserve">Debt </t>
  </si>
  <si>
    <t xml:space="preserve">Total funds contributes </t>
  </si>
  <si>
    <t>Opening Balance</t>
  </si>
  <si>
    <t xml:space="preserve">Add: Purchases </t>
  </si>
  <si>
    <t xml:space="preserve">Less :Sales </t>
  </si>
  <si>
    <t xml:space="preserve">Less: Depreciation </t>
  </si>
  <si>
    <t>Closing Balance</t>
  </si>
  <si>
    <t xml:space="preserve">End Of Sheet </t>
  </si>
  <si>
    <t>End Of Sheet</t>
  </si>
  <si>
    <t xml:space="preserve">Current assets </t>
  </si>
  <si>
    <t xml:space="preserve">Alcoholic beverages </t>
  </si>
  <si>
    <t xml:space="preserve">Non alcoholic beverages </t>
  </si>
  <si>
    <t xml:space="preserve">Food </t>
  </si>
  <si>
    <t xml:space="preserve">Total </t>
  </si>
  <si>
    <t>Current Liabilities</t>
  </si>
  <si>
    <t xml:space="preserve">Creditors for Raw material </t>
  </si>
  <si>
    <t xml:space="preserve">Creditors for beverages </t>
  </si>
  <si>
    <t xml:space="preserve">Working Capital </t>
  </si>
  <si>
    <t>Change in working capital</t>
  </si>
  <si>
    <t xml:space="preserve">Less : Depreciation </t>
  </si>
  <si>
    <t>EBIT</t>
  </si>
  <si>
    <t>Less: Interest</t>
  </si>
  <si>
    <t>EBT</t>
  </si>
  <si>
    <t>Less : Taxes</t>
  </si>
  <si>
    <t>EAT</t>
  </si>
  <si>
    <t>(Transferred To Reserved)</t>
  </si>
  <si>
    <t>NP Margins %</t>
  </si>
  <si>
    <t xml:space="preserve">Operating Activities </t>
  </si>
  <si>
    <t xml:space="preserve">Investing Activities </t>
  </si>
  <si>
    <t xml:space="preserve">Financing Activities </t>
  </si>
  <si>
    <t>Add : Non cash Expenses(Dep)</t>
  </si>
  <si>
    <t xml:space="preserve">Cash From Operation Before Working Capital Changes </t>
  </si>
  <si>
    <t xml:space="preserve">Add : Changes in working capital </t>
  </si>
  <si>
    <t xml:space="preserve">Cash From Operations </t>
  </si>
  <si>
    <t>Purachase of fixed assests</t>
  </si>
  <si>
    <t xml:space="preserve">Rent Deposit </t>
  </si>
  <si>
    <t xml:space="preserve">Cash From Investmenting Activities </t>
  </si>
  <si>
    <t xml:space="preserve">Equity Share Capital </t>
  </si>
  <si>
    <t xml:space="preserve">Cash From Financing Activities </t>
  </si>
  <si>
    <t xml:space="preserve">Cash Genarated During The Year </t>
  </si>
  <si>
    <t>Add : Opening Balance</t>
  </si>
  <si>
    <t xml:space="preserve">Equity &amp; Liabilities </t>
  </si>
  <si>
    <t xml:space="preserve">Share capital </t>
  </si>
  <si>
    <t xml:space="preserve">Reserves &amp; Surplus </t>
  </si>
  <si>
    <t xml:space="preserve">Total Sharholders Fund </t>
  </si>
  <si>
    <t xml:space="preserve">Current Liabilities </t>
  </si>
  <si>
    <t xml:space="preserve">Assets </t>
  </si>
  <si>
    <t xml:space="preserve">Total Liabilities </t>
  </si>
  <si>
    <t xml:space="preserve">Fixed Assets </t>
  </si>
  <si>
    <t xml:space="preserve">Total Assets </t>
  </si>
  <si>
    <t xml:space="preserve">Cash &amp; Cash Equivalent 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</si>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</sst>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&quot;Month&quot;\ 0"/>
    <numFmt numFmtId="166" formatCode="&quot;Year&quot;\ 0"/>
    <numFmt numFmtId="167" formatCode="_ * #,##0.000_ ;_ * \-#,##0.000_ ;_ * &quot;-&quot;??_ ;_ @_ "/>
    <numFmt numFmtId="168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0" xfId="0" applyFont="1"/>
    <xf numFmtId="9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Font="1"/>
    <xf numFmtId="0" fontId="2" fillId="2" borderId="4" xfId="0" applyFont="1" applyFill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9" fontId="0" fillId="0" borderId="5" xfId="0" applyNumberFormat="1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9" fontId="0" fillId="0" borderId="8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right" vertical="center"/>
    </xf>
    <xf numFmtId="0" fontId="0" fillId="0" borderId="14" xfId="0" applyFont="1" applyBorder="1" applyAlignment="1">
      <alignment horizontal="center" vertical="center"/>
    </xf>
    <xf numFmtId="3" fontId="0" fillId="0" borderId="1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3" fontId="0" fillId="0" borderId="5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3" fontId="0" fillId="0" borderId="8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4" fontId="0" fillId="0" borderId="0" xfId="0" applyNumberFormat="1" applyFont="1" applyBorder="1" applyAlignment="1">
      <alignment horizontal="right" vertical="center"/>
    </xf>
    <xf numFmtId="4" fontId="0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/>
    <xf numFmtId="0" fontId="1" fillId="0" borderId="7" xfId="0" applyFont="1" applyBorder="1" applyAlignment="1">
      <alignment vertical="center"/>
    </xf>
    <xf numFmtId="9" fontId="0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right" vertical="center"/>
    </xf>
    <xf numFmtId="9" fontId="0" fillId="0" borderId="8" xfId="0" applyNumberFormat="1" applyFont="1" applyBorder="1" applyAlignment="1">
      <alignment horizontal="right" vertical="center"/>
    </xf>
    <xf numFmtId="10" fontId="0" fillId="0" borderId="2" xfId="0" applyNumberFormat="1" applyFont="1" applyBorder="1"/>
    <xf numFmtId="15" fontId="4" fillId="0" borderId="12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3" xfId="0" applyNumberFormat="1" applyFont="1" applyBorder="1" applyAlignment="1">
      <alignment horizontal="center" vertical="center"/>
    </xf>
    <xf numFmtId="0" fontId="0" fillId="0" borderId="13" xfId="0" applyFont="1" applyBorder="1"/>
    <xf numFmtId="15" fontId="4" fillId="0" borderId="10" xfId="0" applyNumberFormat="1" applyFont="1" applyBorder="1" applyAlignment="1">
      <alignment horizontal="center" vertical="center"/>
    </xf>
    <xf numFmtId="0" fontId="0" fillId="0" borderId="10" xfId="0" applyFont="1" applyBorder="1"/>
    <xf numFmtId="0" fontId="0" fillId="0" borderId="12" xfId="0" applyFont="1" applyBorder="1"/>
    <xf numFmtId="0" fontId="0" fillId="0" borderId="6" xfId="0" applyFont="1" applyBorder="1"/>
    <xf numFmtId="0" fontId="0" fillId="0" borderId="9" xfId="0" applyFont="1" applyBorder="1"/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9" fontId="0" fillId="0" borderId="0" xfId="0" applyNumberFormat="1" applyFont="1" applyAlignment="1">
      <alignment horizontal="center"/>
    </xf>
    <xf numFmtId="164" fontId="0" fillId="0" borderId="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0" fillId="0" borderId="2" xfId="0" applyNumberFormat="1" applyFont="1" applyBorder="1" applyAlignment="1">
      <alignment horizontal="right" vertical="center"/>
    </xf>
    <xf numFmtId="0" fontId="0" fillId="5" borderId="0" xfId="0" applyFill="1"/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/>
    </xf>
    <xf numFmtId="0" fontId="0" fillId="7" borderId="0" xfId="0" applyFill="1"/>
    <xf numFmtId="43" fontId="0" fillId="0" borderId="0" xfId="1" applyFont="1"/>
    <xf numFmtId="0" fontId="0" fillId="0" borderId="0" xfId="0" applyFill="1"/>
    <xf numFmtId="0" fontId="0" fillId="8" borderId="0" xfId="0" applyFill="1"/>
    <xf numFmtId="0" fontId="9" fillId="0" borderId="0" xfId="0" applyFont="1"/>
    <xf numFmtId="15" fontId="8" fillId="6" borderId="0" xfId="0" applyNumberFormat="1" applyFont="1" applyFill="1"/>
    <xf numFmtId="165" fontId="8" fillId="6" borderId="0" xfId="0" applyNumberFormat="1" applyFont="1" applyFill="1"/>
    <xf numFmtId="166" fontId="8" fillId="6" borderId="0" xfId="0" applyNumberFormat="1" applyFont="1" applyFill="1"/>
    <xf numFmtId="167" fontId="0" fillId="0" borderId="0" xfId="1" applyNumberFormat="1" applyFont="1"/>
    <xf numFmtId="0" fontId="0" fillId="0" borderId="0" xfId="0" applyFont="1" applyFill="1"/>
    <xf numFmtId="168" fontId="0" fillId="0" borderId="0" xfId="1" applyNumberFormat="1" applyFont="1" applyFill="1"/>
    <xf numFmtId="168" fontId="0" fillId="0" borderId="0" xfId="1" applyNumberFormat="1" applyFont="1"/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indent="2"/>
    </xf>
    <xf numFmtId="0" fontId="0" fillId="0" borderId="0" xfId="0" applyFont="1" applyBorder="1" applyAlignment="1">
      <alignment horizontal="left" vertical="center" indent="2"/>
    </xf>
    <xf numFmtId="0" fontId="0" fillId="0" borderId="6" xfId="0" applyFont="1" applyBorder="1" applyAlignment="1">
      <alignment horizontal="left" vertical="center" indent="2"/>
    </xf>
    <xf numFmtId="0" fontId="0" fillId="0" borderId="4" xfId="0" applyFont="1" applyBorder="1" applyAlignment="1">
      <alignment horizontal="left" vertical="center" wrapText="1" indent="2"/>
    </xf>
    <xf numFmtId="0" fontId="0" fillId="0" borderId="0" xfId="0" applyFont="1" applyBorder="1" applyAlignment="1">
      <alignment horizontal="left" vertical="center" wrapText="1" indent="2"/>
    </xf>
    <xf numFmtId="0" fontId="0" fillId="0" borderId="6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0" fillId="0" borderId="4" xfId="0" applyFont="1" applyBorder="1" applyAlignment="1">
      <alignment horizontal="left" indent="1"/>
    </xf>
    <xf numFmtId="0" fontId="0" fillId="0" borderId="4" xfId="0" applyFont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43" fontId="1" fillId="0" borderId="0" xfId="1" applyFont="1"/>
    <xf numFmtId="0" fontId="0" fillId="0" borderId="16" xfId="0" applyBorder="1"/>
    <xf numFmtId="43" fontId="1" fillId="0" borderId="16" xfId="1" applyFont="1" applyBorder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0" borderId="0" xfId="0" applyFont="1" applyFill="1" applyBorder="1" applyAlignment="1">
      <alignment horizontal="left" vertical="center"/>
    </xf>
    <xf numFmtId="43" fontId="0" fillId="0" borderId="0" xfId="1" applyNumberFormat="1" applyFont="1"/>
    <xf numFmtId="0" fontId="1" fillId="0" borderId="16" xfId="0" applyFont="1" applyFill="1" applyBorder="1" applyAlignment="1">
      <alignment horizontal="left" vertical="center" indent="1"/>
    </xf>
    <xf numFmtId="0" fontId="1" fillId="0" borderId="16" xfId="0" applyFont="1" applyBorder="1"/>
    <xf numFmtId="43" fontId="1" fillId="0" borderId="16" xfId="1" applyNumberFormat="1" applyFont="1" applyBorder="1"/>
    <xf numFmtId="0" fontId="1" fillId="0" borderId="17" xfId="0" applyFont="1" applyFill="1" applyBorder="1" applyAlignment="1">
      <alignment horizontal="left" vertical="center" indent="1"/>
    </xf>
    <xf numFmtId="0" fontId="1" fillId="0" borderId="17" xfId="0" applyFont="1" applyBorder="1"/>
    <xf numFmtId="43" fontId="1" fillId="0" borderId="17" xfId="1" applyFont="1" applyBorder="1"/>
    <xf numFmtId="0" fontId="0" fillId="9" borderId="0" xfId="0" applyFill="1"/>
    <xf numFmtId="43" fontId="0" fillId="9" borderId="0" xfId="1" applyFont="1" applyFill="1"/>
    <xf numFmtId="0" fontId="0" fillId="0" borderId="17" xfId="0" applyBorder="1"/>
    <xf numFmtId="43" fontId="1" fillId="0" borderId="17" xfId="1" applyNumberFormat="1" applyFont="1" applyBorder="1"/>
    <xf numFmtId="9" fontId="0" fillId="0" borderId="0" xfId="2" applyFont="1"/>
    <xf numFmtId="15" fontId="8" fillId="0" borderId="0" xfId="0" applyNumberFormat="1" applyFont="1" applyFill="1"/>
    <xf numFmtId="9" fontId="0" fillId="0" borderId="0" xfId="0" applyNumberFormat="1"/>
    <xf numFmtId="167" fontId="0" fillId="9" borderId="0" xfId="1" applyNumberFormat="1" applyFont="1" applyFill="1"/>
    <xf numFmtId="0" fontId="0" fillId="0" borderId="0" xfId="0" applyAlignment="1">
      <alignment horizontal="left" indent="1"/>
    </xf>
    <xf numFmtId="0" fontId="1" fillId="0" borderId="17" xfId="0" applyFont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1" fillId="0" borderId="17" xfId="0" applyFont="1" applyBorder="1" applyAlignment="1">
      <alignment horizontal="left"/>
    </xf>
    <xf numFmtId="167" fontId="1" fillId="9" borderId="0" xfId="1" applyNumberFormat="1" applyFont="1" applyFill="1"/>
    <xf numFmtId="15" fontId="0" fillId="0" borderId="0" xfId="0" applyNumberFormat="1"/>
    <xf numFmtId="0" fontId="1" fillId="0" borderId="0" xfId="0" applyFont="1" applyBorder="1"/>
    <xf numFmtId="167" fontId="0" fillId="0" borderId="0" xfId="1" applyNumberFormat="1" applyFont="1" applyBorder="1"/>
    <xf numFmtId="0" fontId="0" fillId="0" borderId="18" xfId="0" applyBorder="1"/>
    <xf numFmtId="0" fontId="1" fillId="0" borderId="0" xfId="0" applyFont="1" applyFill="1" applyBorder="1"/>
    <xf numFmtId="0" fontId="1" fillId="0" borderId="16" xfId="0" applyFont="1" applyFill="1" applyBorder="1"/>
    <xf numFmtId="0" fontId="1" fillId="0" borderId="16" xfId="0" applyFont="1" applyBorder="1" applyAlignment="1">
      <alignment horizontal="left" indent="1"/>
    </xf>
    <xf numFmtId="43" fontId="0" fillId="0" borderId="0" xfId="1" applyFont="1" applyAlignment="1">
      <alignment horizontal="left" indent="1"/>
    </xf>
    <xf numFmtId="43" fontId="1" fillId="0" borderId="16" xfId="1" applyFont="1" applyBorder="1" applyAlignment="1">
      <alignment horizontal="left" indent="1"/>
    </xf>
    <xf numFmtId="43" fontId="0" fillId="0" borderId="18" xfId="1" applyFont="1" applyBorder="1"/>
    <xf numFmtId="43" fontId="1" fillId="0" borderId="0" xfId="1" applyFont="1" applyBorder="1"/>
    <xf numFmtId="43" fontId="7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showGridLines="0" topLeftCell="A91" zoomScaleNormal="100" workbookViewId="0">
      <selection activeCell="A89" sqref="A89:F89"/>
    </sheetView>
  </sheetViews>
  <sheetFormatPr defaultColWidth="8.85546875" defaultRowHeight="15" x14ac:dyDescent="0.25"/>
  <cols>
    <col min="1" max="1" width="32" style="9" bestFit="1" customWidth="1"/>
    <col min="2" max="2" width="9.28515625" style="10" customWidth="1"/>
    <col min="3" max="3" width="9" style="10" bestFit="1" customWidth="1"/>
    <col min="4" max="4" width="10.7109375" style="10" bestFit="1" customWidth="1"/>
    <col min="5" max="5" width="30.7109375" style="10" bestFit="1" customWidth="1"/>
    <col min="6" max="6" width="11.5703125" style="10" customWidth="1"/>
    <col min="7" max="7" width="13.85546875" style="35" bestFit="1" customWidth="1"/>
    <col min="8" max="16384" width="8.85546875" style="10"/>
  </cols>
  <sheetData>
    <row r="1" spans="1:7" x14ac:dyDescent="0.25">
      <c r="A1" s="101" t="s">
        <v>80</v>
      </c>
      <c r="B1" s="101"/>
      <c r="C1" s="101"/>
      <c r="D1" s="101"/>
      <c r="E1" s="101"/>
      <c r="F1" s="101"/>
      <c r="G1" s="101"/>
    </row>
    <row r="2" spans="1:7" ht="15.75" thickBot="1" x14ac:dyDescent="0.3">
      <c r="A2" s="1"/>
      <c r="B2"/>
    </row>
    <row r="3" spans="1:7" x14ac:dyDescent="0.25">
      <c r="A3" s="5" t="s">
        <v>81</v>
      </c>
      <c r="B3" s="64"/>
      <c r="C3" s="65"/>
      <c r="D3" s="65"/>
      <c r="E3" s="65"/>
      <c r="F3" s="68"/>
      <c r="G3" s="62">
        <v>43922</v>
      </c>
    </row>
    <row r="4" spans="1:7" x14ac:dyDescent="0.25">
      <c r="A4" s="3" t="s">
        <v>82</v>
      </c>
      <c r="B4" s="4"/>
      <c r="C4" s="55"/>
      <c r="D4" s="55"/>
      <c r="E4" s="55"/>
      <c r="F4" s="69"/>
      <c r="G4" s="2" t="s">
        <v>83</v>
      </c>
    </row>
    <row r="5" spans="1:7" ht="15.75" thickBot="1" x14ac:dyDescent="0.3">
      <c r="A5" s="6" t="s">
        <v>84</v>
      </c>
      <c r="B5" s="66"/>
      <c r="C5" s="67"/>
      <c r="D5" s="67"/>
      <c r="E5" s="67"/>
      <c r="F5" s="70"/>
      <c r="G5" s="63">
        <f>EOMONTH(G3,2)+1</f>
        <v>44013</v>
      </c>
    </row>
    <row r="6" spans="1:7" x14ac:dyDescent="0.25">
      <c r="A6" s="100" t="s">
        <v>0</v>
      </c>
      <c r="B6" s="100"/>
      <c r="C6" s="100"/>
      <c r="D6" s="100"/>
      <c r="E6" s="100"/>
      <c r="F6" s="100"/>
      <c r="G6" s="100"/>
    </row>
    <row r="7" spans="1:7" ht="15.75" thickBot="1" x14ac:dyDescent="0.3">
      <c r="A7" s="58"/>
      <c r="B7" s="58"/>
      <c r="C7" s="58"/>
      <c r="D7" s="58"/>
      <c r="E7" s="58"/>
      <c r="F7" s="58"/>
      <c r="G7" s="58"/>
    </row>
    <row r="8" spans="1:7" ht="15.75" thickBot="1" x14ac:dyDescent="0.3">
      <c r="A8" s="71" t="s">
        <v>1</v>
      </c>
      <c r="B8" s="72" t="s">
        <v>2</v>
      </c>
      <c r="C8" s="74" t="s">
        <v>3</v>
      </c>
      <c r="E8" s="71" t="s">
        <v>1</v>
      </c>
      <c r="F8" s="72" t="s">
        <v>2</v>
      </c>
      <c r="G8" s="73" t="s">
        <v>3</v>
      </c>
    </row>
    <row r="9" spans="1:7" x14ac:dyDescent="0.25">
      <c r="A9" s="11" t="s">
        <v>4</v>
      </c>
      <c r="B9" s="12"/>
      <c r="C9" s="13"/>
      <c r="E9" s="14" t="s">
        <v>16</v>
      </c>
      <c r="F9" s="12"/>
      <c r="G9" s="13"/>
    </row>
    <row r="10" spans="1:7" x14ac:dyDescent="0.25">
      <c r="A10" s="15" t="s">
        <v>5</v>
      </c>
      <c r="B10" s="16">
        <f>SUBTOTAL(9,B11:B13)</f>
        <v>1900</v>
      </c>
      <c r="C10" s="16">
        <f>SUBTOTAL(9,C11:C13)</f>
        <v>2100</v>
      </c>
      <c r="E10" s="15" t="s">
        <v>5</v>
      </c>
      <c r="F10" s="16">
        <f>SUBTOTAL(9,F11:F13)</f>
        <v>2000</v>
      </c>
      <c r="G10" s="16">
        <f>SUBTOTAL(9,G11:G13)</f>
        <v>2300</v>
      </c>
    </row>
    <row r="11" spans="1:7" x14ac:dyDescent="0.25">
      <c r="A11" s="20" t="s">
        <v>6</v>
      </c>
      <c r="B11" s="12">
        <v>400</v>
      </c>
      <c r="C11" s="13">
        <v>500</v>
      </c>
      <c r="E11" s="17" t="s">
        <v>6</v>
      </c>
      <c r="F11" s="12">
        <v>400</v>
      </c>
      <c r="G11" s="13">
        <v>650</v>
      </c>
    </row>
    <row r="12" spans="1:7" x14ac:dyDescent="0.25">
      <c r="A12" s="20" t="s">
        <v>7</v>
      </c>
      <c r="B12" s="12">
        <v>300</v>
      </c>
      <c r="C12" s="13">
        <v>400</v>
      </c>
      <c r="E12" s="17" t="s">
        <v>7</v>
      </c>
      <c r="F12" s="12">
        <v>400</v>
      </c>
      <c r="G12" s="13">
        <v>450</v>
      </c>
    </row>
    <row r="13" spans="1:7" x14ac:dyDescent="0.25">
      <c r="A13" s="20" t="s">
        <v>8</v>
      </c>
      <c r="B13" s="12">
        <v>1200</v>
      </c>
      <c r="C13" s="13">
        <v>1200</v>
      </c>
      <c r="E13" s="17" t="s">
        <v>8</v>
      </c>
      <c r="F13" s="12">
        <v>1200</v>
      </c>
      <c r="G13" s="13">
        <v>1200</v>
      </c>
    </row>
    <row r="14" spans="1:7" x14ac:dyDescent="0.25">
      <c r="A14" s="20" t="s">
        <v>9</v>
      </c>
      <c r="B14" s="18">
        <v>0.05</v>
      </c>
      <c r="C14" s="19">
        <v>0.05</v>
      </c>
      <c r="E14" s="17" t="s">
        <v>17</v>
      </c>
      <c r="F14" s="18">
        <v>0.05</v>
      </c>
      <c r="G14" s="19">
        <v>0.05</v>
      </c>
    </row>
    <row r="15" spans="1:7" x14ac:dyDescent="0.25">
      <c r="A15" s="20"/>
      <c r="B15" s="12"/>
      <c r="C15" s="13"/>
      <c r="E15" s="17"/>
      <c r="F15" s="12"/>
      <c r="G15" s="13"/>
    </row>
    <row r="16" spans="1:7" x14ac:dyDescent="0.25">
      <c r="A16" s="20" t="s">
        <v>10</v>
      </c>
      <c r="B16" s="12"/>
      <c r="C16" s="13"/>
      <c r="E16" s="20" t="s">
        <v>10</v>
      </c>
      <c r="F16" s="12"/>
      <c r="G16" s="13"/>
    </row>
    <row r="17" spans="1:8" x14ac:dyDescent="0.25">
      <c r="A17" s="20" t="s">
        <v>11</v>
      </c>
      <c r="B17" s="12">
        <v>100</v>
      </c>
      <c r="C17" s="13">
        <v>100</v>
      </c>
      <c r="E17" s="17" t="s">
        <v>11</v>
      </c>
      <c r="F17" s="12">
        <v>100</v>
      </c>
      <c r="G17" s="13">
        <v>100</v>
      </c>
    </row>
    <row r="18" spans="1:8" x14ac:dyDescent="0.25">
      <c r="A18" s="20" t="s">
        <v>12</v>
      </c>
      <c r="B18" s="12">
        <v>2</v>
      </c>
      <c r="C18" s="13">
        <v>2</v>
      </c>
      <c r="E18" s="17" t="s">
        <v>12</v>
      </c>
      <c r="F18" s="12">
        <v>2</v>
      </c>
      <c r="G18" s="13">
        <v>2</v>
      </c>
    </row>
    <row r="19" spans="1:8" x14ac:dyDescent="0.25">
      <c r="A19" s="20" t="s">
        <v>13</v>
      </c>
      <c r="B19" s="82">
        <v>10</v>
      </c>
      <c r="C19" s="83">
        <v>13</v>
      </c>
      <c r="E19" s="17" t="s">
        <v>13</v>
      </c>
      <c r="F19" s="82">
        <v>13</v>
      </c>
      <c r="G19" s="83">
        <v>15</v>
      </c>
    </row>
    <row r="20" spans="1:8" x14ac:dyDescent="0.25">
      <c r="A20" s="20" t="s">
        <v>14</v>
      </c>
      <c r="B20" s="18">
        <v>0.02</v>
      </c>
      <c r="C20" s="19">
        <v>0.04</v>
      </c>
      <c r="E20" s="17" t="s">
        <v>14</v>
      </c>
      <c r="F20" s="18">
        <v>0.02</v>
      </c>
      <c r="G20" s="19">
        <v>0.04</v>
      </c>
    </row>
    <row r="21" spans="1:8" ht="15.75" thickBot="1" x14ac:dyDescent="0.3">
      <c r="A21" s="56" t="s">
        <v>15</v>
      </c>
      <c r="B21" s="22">
        <v>60</v>
      </c>
      <c r="C21" s="23">
        <v>80</v>
      </c>
      <c r="E21" s="21" t="s">
        <v>15</v>
      </c>
      <c r="F21" s="22">
        <v>70</v>
      </c>
      <c r="G21" s="23">
        <v>90</v>
      </c>
    </row>
    <row r="24" spans="1:8" ht="15.75" thickBot="1" x14ac:dyDescent="0.3">
      <c r="A24" s="109" t="s">
        <v>18</v>
      </c>
      <c r="B24" s="100"/>
      <c r="C24" s="100"/>
      <c r="D24" s="100"/>
      <c r="E24" s="100"/>
      <c r="F24" s="100"/>
      <c r="G24" s="100"/>
    </row>
    <row r="25" spans="1:8" x14ac:dyDescent="0.25">
      <c r="A25" s="102" t="s">
        <v>19</v>
      </c>
      <c r="B25" s="103"/>
      <c r="C25" s="103"/>
      <c r="D25" s="103"/>
      <c r="E25" s="103"/>
      <c r="F25" s="103"/>
      <c r="G25" s="24">
        <v>0.35</v>
      </c>
    </row>
    <row r="26" spans="1:8" x14ac:dyDescent="0.25">
      <c r="A26" s="122" t="s">
        <v>20</v>
      </c>
      <c r="B26" s="123"/>
      <c r="C26" s="123"/>
      <c r="D26" s="123"/>
      <c r="E26" s="123"/>
      <c r="F26" s="123"/>
      <c r="G26" s="18">
        <v>0.4</v>
      </c>
    </row>
    <row r="27" spans="1:8" ht="15.75" thickBot="1" x14ac:dyDescent="0.3">
      <c r="A27" s="104" t="s">
        <v>21</v>
      </c>
      <c r="B27" s="105"/>
      <c r="C27" s="105"/>
      <c r="D27" s="105"/>
      <c r="E27" s="105"/>
      <c r="F27" s="105"/>
      <c r="G27" s="25">
        <v>0.3</v>
      </c>
    </row>
    <row r="28" spans="1:8" x14ac:dyDescent="0.25">
      <c r="A28" s="55"/>
      <c r="B28" s="55"/>
      <c r="C28" s="55"/>
      <c r="D28" s="55"/>
      <c r="E28" s="55"/>
      <c r="F28" s="55"/>
      <c r="G28" s="55"/>
      <c r="H28" s="55"/>
    </row>
    <row r="29" spans="1:8" ht="15.75" thickBot="1" x14ac:dyDescent="0.3">
      <c r="A29" s="104" t="s">
        <v>24</v>
      </c>
      <c r="B29" s="105"/>
      <c r="C29" s="105"/>
      <c r="D29" s="105"/>
      <c r="E29" s="105"/>
      <c r="F29" s="105"/>
      <c r="G29" s="105"/>
    </row>
    <row r="30" spans="1:8" ht="15.75" thickBot="1" x14ac:dyDescent="0.3">
      <c r="A30" s="102" t="s">
        <v>22</v>
      </c>
      <c r="B30" s="103"/>
      <c r="C30" s="103"/>
      <c r="D30" s="144"/>
      <c r="E30" s="26" t="s">
        <v>23</v>
      </c>
      <c r="F30" s="27" t="s">
        <v>34</v>
      </c>
      <c r="G30" s="27" t="s">
        <v>34</v>
      </c>
    </row>
    <row r="31" spans="1:8" x14ac:dyDescent="0.25">
      <c r="A31" s="135" t="s">
        <v>25</v>
      </c>
      <c r="B31" s="136"/>
      <c r="C31" s="136"/>
      <c r="D31" s="137"/>
      <c r="E31" s="28">
        <v>2</v>
      </c>
      <c r="F31" s="29">
        <v>20000</v>
      </c>
      <c r="G31" s="30">
        <v>40000</v>
      </c>
    </row>
    <row r="32" spans="1:8" x14ac:dyDescent="0.25">
      <c r="A32" s="132" t="s">
        <v>26</v>
      </c>
      <c r="B32" s="133"/>
      <c r="C32" s="133"/>
      <c r="D32" s="134"/>
      <c r="E32" s="31">
        <v>2</v>
      </c>
      <c r="F32" s="12">
        <v>50000</v>
      </c>
      <c r="G32" s="32">
        <v>100000</v>
      </c>
    </row>
    <row r="33" spans="1:7" x14ac:dyDescent="0.25">
      <c r="A33" s="132" t="s">
        <v>27</v>
      </c>
      <c r="B33" s="133"/>
      <c r="C33" s="133"/>
      <c r="D33" s="134"/>
      <c r="E33" s="31">
        <v>10</v>
      </c>
      <c r="F33" s="12">
        <v>20000</v>
      </c>
      <c r="G33" s="32">
        <v>200000</v>
      </c>
    </row>
    <row r="34" spans="1:7" x14ac:dyDescent="0.25">
      <c r="A34" s="132" t="s">
        <v>28</v>
      </c>
      <c r="B34" s="133"/>
      <c r="C34" s="133"/>
      <c r="D34" s="134"/>
      <c r="E34" s="31">
        <v>1</v>
      </c>
      <c r="F34" s="12">
        <v>100000</v>
      </c>
      <c r="G34" s="32">
        <v>100000</v>
      </c>
    </row>
    <row r="35" spans="1:7" x14ac:dyDescent="0.25">
      <c r="A35" s="132" t="s">
        <v>29</v>
      </c>
      <c r="B35" s="133"/>
      <c r="C35" s="133"/>
      <c r="D35" s="134"/>
      <c r="E35" s="31">
        <v>2</v>
      </c>
      <c r="F35" s="12">
        <v>75000</v>
      </c>
      <c r="G35" s="32">
        <v>150000</v>
      </c>
    </row>
    <row r="36" spans="1:7" x14ac:dyDescent="0.25">
      <c r="A36" s="132" t="s">
        <v>30</v>
      </c>
      <c r="B36" s="133"/>
      <c r="C36" s="133"/>
      <c r="D36" s="134"/>
      <c r="E36" s="31">
        <v>6</v>
      </c>
      <c r="F36" s="12">
        <v>30000</v>
      </c>
      <c r="G36" s="32">
        <v>180000</v>
      </c>
    </row>
    <row r="37" spans="1:7" x14ac:dyDescent="0.25">
      <c r="A37" s="132" t="s">
        <v>31</v>
      </c>
      <c r="B37" s="133"/>
      <c r="C37" s="133"/>
      <c r="D37" s="134"/>
      <c r="E37" s="31">
        <v>3</v>
      </c>
      <c r="F37" s="12">
        <v>17000</v>
      </c>
      <c r="G37" s="32">
        <v>51000</v>
      </c>
    </row>
    <row r="38" spans="1:7" x14ac:dyDescent="0.25">
      <c r="A38" s="132" t="s">
        <v>32</v>
      </c>
      <c r="B38" s="133"/>
      <c r="C38" s="133"/>
      <c r="D38" s="134"/>
      <c r="E38" s="31">
        <v>5</v>
      </c>
      <c r="F38" s="12">
        <v>17000</v>
      </c>
      <c r="G38" s="32">
        <v>85000</v>
      </c>
    </row>
    <row r="39" spans="1:7" ht="15.75" thickBot="1" x14ac:dyDescent="0.3">
      <c r="A39" s="129" t="s">
        <v>33</v>
      </c>
      <c r="B39" s="130"/>
      <c r="C39" s="130"/>
      <c r="D39" s="131"/>
      <c r="E39" s="33">
        <v>4</v>
      </c>
      <c r="F39" s="22">
        <v>20000</v>
      </c>
      <c r="G39" s="34">
        <v>80000</v>
      </c>
    </row>
    <row r="40" spans="1:7" ht="15.75" thickBot="1" x14ac:dyDescent="0.3">
      <c r="A40" s="138" t="s">
        <v>54</v>
      </c>
      <c r="B40" s="139"/>
      <c r="C40" s="139"/>
      <c r="D40" s="139"/>
      <c r="E40" s="140"/>
      <c r="F40" s="22"/>
      <c r="G40" s="34">
        <f>SUM(G31:G39)</f>
        <v>986000</v>
      </c>
    </row>
    <row r="41" spans="1:7" x14ac:dyDescent="0.25">
      <c r="A41" s="45" t="s">
        <v>86</v>
      </c>
      <c r="G41" s="76">
        <v>0.08</v>
      </c>
    </row>
    <row r="42" spans="1:7" ht="15.75" thickBot="1" x14ac:dyDescent="0.3">
      <c r="A42" s="101" t="s">
        <v>35</v>
      </c>
      <c r="B42" s="101"/>
      <c r="C42" s="101"/>
      <c r="D42" s="101"/>
      <c r="E42" s="101"/>
      <c r="F42" s="101"/>
      <c r="G42" s="101"/>
    </row>
    <row r="43" spans="1:7" ht="15.75" thickBot="1" x14ac:dyDescent="0.3">
      <c r="A43" s="102" t="s">
        <v>22</v>
      </c>
      <c r="B43" s="103"/>
      <c r="C43" s="103"/>
      <c r="D43" s="144"/>
      <c r="E43" s="26" t="s">
        <v>23</v>
      </c>
      <c r="F43" s="27" t="s">
        <v>34</v>
      </c>
      <c r="G43" s="36" t="s">
        <v>34</v>
      </c>
    </row>
    <row r="44" spans="1:7" x14ac:dyDescent="0.25">
      <c r="A44" s="135" t="s">
        <v>47</v>
      </c>
      <c r="B44" s="136"/>
      <c r="C44" s="136"/>
      <c r="D44" s="136"/>
      <c r="E44" s="37">
        <v>1</v>
      </c>
      <c r="F44" s="29">
        <v>50000</v>
      </c>
      <c r="G44" s="30">
        <v>50000</v>
      </c>
    </row>
    <row r="45" spans="1:7" x14ac:dyDescent="0.25">
      <c r="A45" s="132" t="s">
        <v>48</v>
      </c>
      <c r="B45" s="133"/>
      <c r="C45" s="133"/>
      <c r="D45" s="133"/>
      <c r="E45" s="31">
        <v>2</v>
      </c>
      <c r="F45" s="12">
        <v>35000</v>
      </c>
      <c r="G45" s="32">
        <v>70000</v>
      </c>
    </row>
    <row r="46" spans="1:7" x14ac:dyDescent="0.25">
      <c r="A46" s="132" t="s">
        <v>49</v>
      </c>
      <c r="B46" s="133"/>
      <c r="C46" s="133"/>
      <c r="D46" s="133"/>
      <c r="E46" s="31">
        <v>2</v>
      </c>
      <c r="F46" s="12">
        <v>20000</v>
      </c>
      <c r="G46" s="32">
        <v>40000</v>
      </c>
    </row>
    <row r="47" spans="1:7" x14ac:dyDescent="0.25">
      <c r="A47" s="132" t="s">
        <v>50</v>
      </c>
      <c r="B47" s="133"/>
      <c r="C47" s="133"/>
      <c r="D47" s="133"/>
      <c r="E47" s="31">
        <v>2</v>
      </c>
      <c r="F47" s="12">
        <v>40000</v>
      </c>
      <c r="G47" s="32">
        <v>80000</v>
      </c>
    </row>
    <row r="48" spans="1:7" x14ac:dyDescent="0.25">
      <c r="A48" s="132" t="s">
        <v>51</v>
      </c>
      <c r="B48" s="133"/>
      <c r="C48" s="133"/>
      <c r="D48" s="133"/>
      <c r="E48" s="31">
        <v>2</v>
      </c>
      <c r="F48" s="12">
        <v>40000</v>
      </c>
      <c r="G48" s="32">
        <v>80000</v>
      </c>
    </row>
    <row r="49" spans="1:7" ht="15.75" thickBot="1" x14ac:dyDescent="0.3">
      <c r="A49" s="132" t="s">
        <v>52</v>
      </c>
      <c r="B49" s="133"/>
      <c r="C49" s="133"/>
      <c r="D49" s="133"/>
      <c r="E49" s="31">
        <v>2</v>
      </c>
      <c r="F49" s="12">
        <v>30000</v>
      </c>
      <c r="G49" s="32">
        <v>60000</v>
      </c>
    </row>
    <row r="50" spans="1:7" ht="15.75" thickBot="1" x14ac:dyDescent="0.3">
      <c r="A50" s="141" t="s">
        <v>54</v>
      </c>
      <c r="B50" s="142"/>
      <c r="C50" s="142"/>
      <c r="D50" s="142"/>
      <c r="E50" s="143"/>
      <c r="F50" s="38"/>
      <c r="G50" s="39">
        <f>SUM(G44:G49)</f>
        <v>380000</v>
      </c>
    </row>
    <row r="51" spans="1:7" ht="15.75" thickBot="1" x14ac:dyDescent="0.3">
      <c r="A51" s="40"/>
      <c r="B51" s="41"/>
      <c r="C51" s="40"/>
      <c r="D51" s="40"/>
      <c r="E51" s="40"/>
      <c r="F51" s="41"/>
      <c r="G51" s="42"/>
    </row>
    <row r="52" spans="1:7" x14ac:dyDescent="0.25">
      <c r="A52" s="135" t="s">
        <v>85</v>
      </c>
      <c r="B52" s="136"/>
      <c r="C52" s="136"/>
      <c r="D52" s="136"/>
      <c r="E52" s="136"/>
      <c r="F52" s="137"/>
      <c r="G52" s="24">
        <v>0.05</v>
      </c>
    </row>
    <row r="53" spans="1:7" x14ac:dyDescent="0.25">
      <c r="A53" s="132" t="s">
        <v>36</v>
      </c>
      <c r="B53" s="133"/>
      <c r="C53" s="133"/>
      <c r="D53" s="133"/>
      <c r="E53" s="133"/>
      <c r="F53" s="134"/>
      <c r="G53" s="18">
        <v>0.1</v>
      </c>
    </row>
    <row r="54" spans="1:7" x14ac:dyDescent="0.25">
      <c r="A54" s="132" t="s">
        <v>70</v>
      </c>
      <c r="B54" s="133"/>
      <c r="C54" s="133"/>
      <c r="D54" s="133"/>
      <c r="E54" s="133"/>
      <c r="F54" s="134"/>
      <c r="G54" s="12">
        <v>10000</v>
      </c>
    </row>
    <row r="55" spans="1:7" x14ac:dyDescent="0.25">
      <c r="A55" s="132" t="s">
        <v>69</v>
      </c>
      <c r="B55" s="133"/>
      <c r="C55" s="133"/>
      <c r="D55" s="133"/>
      <c r="E55" s="133"/>
      <c r="F55" s="134"/>
      <c r="G55" s="12">
        <v>50000</v>
      </c>
    </row>
    <row r="56" spans="1:7" x14ac:dyDescent="0.25">
      <c r="A56" s="132" t="s">
        <v>71</v>
      </c>
      <c r="B56" s="133"/>
      <c r="C56" s="133"/>
      <c r="D56" s="133"/>
      <c r="E56" s="133"/>
      <c r="F56" s="134"/>
      <c r="G56" s="12">
        <v>25000</v>
      </c>
    </row>
    <row r="57" spans="1:7" x14ac:dyDescent="0.25">
      <c r="A57" s="132" t="s">
        <v>56</v>
      </c>
      <c r="B57" s="133"/>
      <c r="C57" s="133"/>
      <c r="D57" s="133"/>
      <c r="E57" s="133"/>
      <c r="F57" s="134"/>
      <c r="G57" s="12">
        <v>5</v>
      </c>
    </row>
    <row r="58" spans="1:7" x14ac:dyDescent="0.25">
      <c r="A58" s="132" t="s">
        <v>72</v>
      </c>
      <c r="B58" s="133"/>
      <c r="C58" s="133"/>
      <c r="D58" s="133"/>
      <c r="E58" s="133"/>
      <c r="F58" s="134"/>
      <c r="G58" s="43">
        <v>15000</v>
      </c>
    </row>
    <row r="59" spans="1:7" x14ac:dyDescent="0.25">
      <c r="A59" s="132" t="s">
        <v>45</v>
      </c>
      <c r="B59" s="133"/>
      <c r="C59" s="133"/>
      <c r="D59" s="133"/>
      <c r="E59" s="133"/>
      <c r="F59" s="134"/>
      <c r="G59" s="18">
        <v>0.02</v>
      </c>
    </row>
    <row r="60" spans="1:7" x14ac:dyDescent="0.25">
      <c r="A60" s="132" t="s">
        <v>46</v>
      </c>
      <c r="B60" s="133"/>
      <c r="C60" s="133"/>
      <c r="D60" s="133"/>
      <c r="E60" s="133"/>
      <c r="F60" s="134"/>
      <c r="G60" s="44">
        <v>1.4999999999999999E-2</v>
      </c>
    </row>
    <row r="61" spans="1:7" ht="15.75" thickBot="1" x14ac:dyDescent="0.3">
      <c r="A61" s="129" t="s">
        <v>55</v>
      </c>
      <c r="B61" s="130"/>
      <c r="C61" s="130"/>
      <c r="D61" s="130"/>
      <c r="E61" s="130"/>
      <c r="F61" s="131"/>
      <c r="G61" s="25">
        <v>0.5</v>
      </c>
    </row>
    <row r="62" spans="1:7" x14ac:dyDescent="0.25">
      <c r="A62" s="45" t="s">
        <v>53</v>
      </c>
      <c r="B62" s="46"/>
      <c r="C62" s="7"/>
      <c r="D62" s="7"/>
      <c r="E62" s="7"/>
      <c r="F62" s="7"/>
      <c r="G62" s="8">
        <v>0.08</v>
      </c>
    </row>
    <row r="63" spans="1:7" x14ac:dyDescent="0.25">
      <c r="A63" s="47"/>
      <c r="B63" s="48"/>
    </row>
    <row r="64" spans="1:7" ht="15.75" thickBot="1" x14ac:dyDescent="0.3">
      <c r="A64" s="128" t="s">
        <v>57</v>
      </c>
      <c r="B64" s="128"/>
      <c r="C64" s="128"/>
      <c r="D64" s="128"/>
      <c r="E64" s="128"/>
      <c r="F64" s="128"/>
      <c r="G64" s="128"/>
    </row>
    <row r="65" spans="1:7" x14ac:dyDescent="0.25">
      <c r="A65" s="135" t="s">
        <v>87</v>
      </c>
      <c r="B65" s="136"/>
      <c r="C65" s="136"/>
      <c r="D65" s="136"/>
      <c r="E65" s="136"/>
      <c r="F65" s="137"/>
      <c r="G65" s="29">
        <v>4000</v>
      </c>
    </row>
    <row r="66" spans="1:7" x14ac:dyDescent="0.25">
      <c r="A66" s="132" t="s">
        <v>37</v>
      </c>
      <c r="B66" s="133"/>
      <c r="C66" s="133"/>
      <c r="D66" s="133"/>
      <c r="E66" s="133"/>
      <c r="F66" s="134"/>
      <c r="G66" s="12">
        <v>1.33</v>
      </c>
    </row>
    <row r="67" spans="1:7" x14ac:dyDescent="0.25">
      <c r="A67" s="132" t="s">
        <v>88</v>
      </c>
      <c r="B67" s="133"/>
      <c r="C67" s="133"/>
      <c r="D67" s="133"/>
      <c r="E67" s="133"/>
      <c r="F67" s="134"/>
      <c r="G67" s="12">
        <f>G65*G66</f>
        <v>5320</v>
      </c>
    </row>
    <row r="68" spans="1:7" x14ac:dyDescent="0.25">
      <c r="A68" s="132" t="s">
        <v>38</v>
      </c>
      <c r="B68" s="133"/>
      <c r="C68" s="133"/>
      <c r="D68" s="133"/>
      <c r="E68" s="133"/>
      <c r="F68" s="134"/>
      <c r="G68" s="18">
        <v>0.75</v>
      </c>
    </row>
    <row r="69" spans="1:7" x14ac:dyDescent="0.25">
      <c r="A69" s="132" t="s">
        <v>39</v>
      </c>
      <c r="B69" s="133"/>
      <c r="C69" s="133"/>
      <c r="D69" s="133"/>
      <c r="E69" s="133"/>
      <c r="F69" s="134"/>
      <c r="G69" s="12">
        <v>3000</v>
      </c>
    </row>
    <row r="70" spans="1:7" x14ac:dyDescent="0.25">
      <c r="A70" s="132" t="s">
        <v>40</v>
      </c>
      <c r="B70" s="133"/>
      <c r="C70" s="133"/>
      <c r="D70" s="133"/>
      <c r="E70" s="133"/>
      <c r="F70" s="134"/>
      <c r="G70" s="12">
        <v>1000</v>
      </c>
    </row>
    <row r="71" spans="1:7" x14ac:dyDescent="0.25">
      <c r="A71" s="132" t="s">
        <v>41</v>
      </c>
      <c r="B71" s="133"/>
      <c r="C71" s="133"/>
      <c r="D71" s="133"/>
      <c r="E71" s="133"/>
      <c r="F71" s="134"/>
      <c r="G71" s="12">
        <v>25</v>
      </c>
    </row>
    <row r="72" spans="1:7" x14ac:dyDescent="0.25">
      <c r="A72" s="132" t="s">
        <v>42</v>
      </c>
      <c r="B72" s="133"/>
      <c r="C72" s="133"/>
      <c r="D72" s="133"/>
      <c r="E72" s="133"/>
      <c r="F72" s="134"/>
      <c r="G72" s="12">
        <v>100</v>
      </c>
    </row>
    <row r="73" spans="1:7" x14ac:dyDescent="0.25">
      <c r="A73" s="132" t="s">
        <v>43</v>
      </c>
      <c r="B73" s="133"/>
      <c r="C73" s="133"/>
      <c r="D73" s="133"/>
      <c r="E73" s="133"/>
      <c r="F73" s="134"/>
      <c r="G73" s="12">
        <v>4</v>
      </c>
    </row>
    <row r="74" spans="1:7" ht="15.75" thickBot="1" x14ac:dyDescent="0.3">
      <c r="A74" s="129" t="s">
        <v>44</v>
      </c>
      <c r="B74" s="130"/>
      <c r="C74" s="130"/>
      <c r="D74" s="130"/>
      <c r="E74" s="130"/>
      <c r="F74" s="131"/>
      <c r="G74" s="22">
        <v>30</v>
      </c>
    </row>
    <row r="75" spans="1:7" x14ac:dyDescent="0.25">
      <c r="A75" s="122"/>
      <c r="B75" s="123"/>
      <c r="C75" s="123"/>
      <c r="D75" s="123"/>
      <c r="E75" s="123"/>
      <c r="F75" s="123"/>
      <c r="G75" s="49"/>
    </row>
    <row r="77" spans="1:7" ht="15.75" thickBot="1" x14ac:dyDescent="0.3">
      <c r="A77" s="109" t="s">
        <v>58</v>
      </c>
      <c r="B77" s="100"/>
      <c r="C77" s="100"/>
      <c r="D77" s="100"/>
      <c r="E77" s="100"/>
      <c r="F77" s="100"/>
      <c r="G77" s="100"/>
    </row>
    <row r="78" spans="1:7" ht="15.75" thickBot="1" x14ac:dyDescent="0.3">
      <c r="A78" s="106" t="s">
        <v>59</v>
      </c>
      <c r="B78" s="107"/>
      <c r="C78" s="107"/>
      <c r="D78" s="107"/>
      <c r="E78" s="107"/>
      <c r="F78" s="108"/>
      <c r="G78" s="50" t="s">
        <v>62</v>
      </c>
    </row>
    <row r="79" spans="1:7" x14ac:dyDescent="0.25">
      <c r="A79" s="132" t="s">
        <v>89</v>
      </c>
      <c r="B79" s="133"/>
      <c r="C79" s="133"/>
      <c r="D79" s="133"/>
      <c r="E79" s="133"/>
      <c r="F79" s="134"/>
      <c r="G79" s="12">
        <v>2800</v>
      </c>
    </row>
    <row r="80" spans="1:7" x14ac:dyDescent="0.25">
      <c r="A80" s="132" t="s">
        <v>95</v>
      </c>
      <c r="B80" s="133"/>
      <c r="C80" s="133"/>
      <c r="D80" s="133"/>
      <c r="E80" s="133"/>
      <c r="F80" s="134"/>
      <c r="G80" s="12">
        <v>4000</v>
      </c>
    </row>
    <row r="81" spans="1:7" x14ac:dyDescent="0.25">
      <c r="A81" s="132" t="s">
        <v>60</v>
      </c>
      <c r="B81" s="133"/>
      <c r="C81" s="133"/>
      <c r="D81" s="133"/>
      <c r="E81" s="133"/>
      <c r="F81" s="134"/>
      <c r="G81" s="12">
        <v>1500</v>
      </c>
    </row>
    <row r="82" spans="1:7" x14ac:dyDescent="0.25">
      <c r="A82" s="132" t="s">
        <v>61</v>
      </c>
      <c r="B82" s="133"/>
      <c r="C82" s="133"/>
      <c r="D82" s="133"/>
      <c r="E82" s="133"/>
      <c r="F82" s="134"/>
      <c r="G82" s="12">
        <v>2000</v>
      </c>
    </row>
    <row r="83" spans="1:7" ht="15.75" thickBot="1" x14ac:dyDescent="0.3">
      <c r="A83" s="129" t="s">
        <v>94</v>
      </c>
      <c r="B83" s="130"/>
      <c r="C83" s="130"/>
      <c r="D83" s="130"/>
      <c r="E83" s="130"/>
      <c r="F83" s="131"/>
      <c r="G83" s="77">
        <v>1000000</v>
      </c>
    </row>
    <row r="85" spans="1:7" ht="15.75" thickBot="1" x14ac:dyDescent="0.3">
      <c r="A85" s="128" t="s">
        <v>63</v>
      </c>
      <c r="B85" s="128"/>
      <c r="C85" s="128"/>
      <c r="D85" s="128"/>
      <c r="E85" s="128"/>
      <c r="F85" s="128"/>
      <c r="G85" s="128"/>
    </row>
    <row r="86" spans="1:7" ht="15.75" thickBot="1" x14ac:dyDescent="0.3">
      <c r="A86" s="125"/>
      <c r="B86" s="126"/>
      <c r="C86" s="126"/>
      <c r="D86" s="126"/>
      <c r="E86" s="126"/>
      <c r="F86" s="127"/>
      <c r="G86" s="51" t="s">
        <v>68</v>
      </c>
    </row>
    <row r="87" spans="1:7" ht="15.75" thickBot="1" x14ac:dyDescent="0.3">
      <c r="A87" s="79" t="s">
        <v>90</v>
      </c>
      <c r="B87" s="58"/>
      <c r="C87" s="58"/>
      <c r="D87" s="58"/>
      <c r="E87" s="58"/>
      <c r="F87" s="78"/>
      <c r="G87" s="84">
        <f>2400000</f>
        <v>2400000</v>
      </c>
    </row>
    <row r="88" spans="1:7" x14ac:dyDescent="0.25">
      <c r="A88" s="122" t="s">
        <v>64</v>
      </c>
      <c r="B88" s="123"/>
      <c r="C88" s="123"/>
      <c r="D88" s="123"/>
      <c r="E88" s="123"/>
      <c r="F88" s="124"/>
      <c r="G88" s="52"/>
    </row>
    <row r="89" spans="1:7" x14ac:dyDescent="0.25">
      <c r="A89" s="119" t="s">
        <v>6</v>
      </c>
      <c r="B89" s="120"/>
      <c r="C89" s="120"/>
      <c r="D89" s="120"/>
      <c r="E89" s="120"/>
      <c r="F89" s="121"/>
      <c r="G89" s="12">
        <v>30</v>
      </c>
    </row>
    <row r="90" spans="1:7" x14ac:dyDescent="0.25">
      <c r="A90" s="119" t="s">
        <v>65</v>
      </c>
      <c r="B90" s="120"/>
      <c r="C90" s="120"/>
      <c r="D90" s="120"/>
      <c r="E90" s="120"/>
      <c r="F90" s="121"/>
      <c r="G90" s="12">
        <v>15</v>
      </c>
    </row>
    <row r="91" spans="1:7" x14ac:dyDescent="0.25">
      <c r="A91" s="116" t="s">
        <v>8</v>
      </c>
      <c r="B91" s="117"/>
      <c r="C91" s="117"/>
      <c r="D91" s="117"/>
      <c r="E91" s="117"/>
      <c r="F91" s="118"/>
      <c r="G91" s="12">
        <v>5</v>
      </c>
    </row>
    <row r="92" spans="1:7" x14ac:dyDescent="0.25">
      <c r="A92" s="113" t="s">
        <v>66</v>
      </c>
      <c r="B92" s="114"/>
      <c r="C92" s="114"/>
      <c r="D92" s="114"/>
      <c r="E92" s="114"/>
      <c r="F92" s="115"/>
      <c r="G92" s="12">
        <v>30</v>
      </c>
    </row>
    <row r="93" spans="1:7" ht="15.75" thickBot="1" x14ac:dyDescent="0.3">
      <c r="A93" s="110" t="s">
        <v>67</v>
      </c>
      <c r="B93" s="111"/>
      <c r="C93" s="111"/>
      <c r="D93" s="111"/>
      <c r="E93" s="111"/>
      <c r="F93" s="112"/>
      <c r="G93" s="22">
        <v>30</v>
      </c>
    </row>
    <row r="94" spans="1:7" x14ac:dyDescent="0.25">
      <c r="A94" s="54"/>
      <c r="B94" s="53"/>
      <c r="C94" s="53"/>
      <c r="D94" s="53"/>
      <c r="E94" s="53"/>
      <c r="F94" s="53"/>
      <c r="G94" s="41"/>
    </row>
    <row r="95" spans="1:7" s="55" customFormat="1" ht="15.75" thickBot="1" x14ac:dyDescent="0.3">
      <c r="A95" s="100" t="s">
        <v>73</v>
      </c>
      <c r="B95" s="100"/>
      <c r="C95" s="100"/>
      <c r="D95" s="100"/>
      <c r="E95" s="100"/>
      <c r="F95" s="100"/>
      <c r="G95" s="100"/>
    </row>
    <row r="96" spans="1:7" s="55" customFormat="1" x14ac:dyDescent="0.25">
      <c r="A96" s="102" t="s">
        <v>74</v>
      </c>
      <c r="B96" s="103"/>
      <c r="C96" s="103"/>
      <c r="D96" s="103"/>
      <c r="E96" s="103"/>
      <c r="F96" s="103"/>
      <c r="G96" s="59">
        <v>0.15</v>
      </c>
    </row>
    <row r="97" spans="1:7" s="55" customFormat="1" ht="15.75" thickBot="1" x14ac:dyDescent="0.3">
      <c r="A97" s="104" t="s">
        <v>75</v>
      </c>
      <c r="B97" s="105"/>
      <c r="C97" s="105"/>
      <c r="D97" s="105"/>
      <c r="E97" s="105"/>
      <c r="F97" s="105"/>
      <c r="G97" s="60">
        <v>0.1</v>
      </c>
    </row>
    <row r="98" spans="1:7" s="55" customFormat="1" x14ac:dyDescent="0.25">
      <c r="A98" s="54"/>
      <c r="B98" s="41"/>
      <c r="C98" s="53"/>
      <c r="D98" s="53"/>
      <c r="E98" s="53"/>
      <c r="F98" s="53"/>
    </row>
    <row r="99" spans="1:7" s="55" customFormat="1" ht="15.75" thickBot="1" x14ac:dyDescent="0.3">
      <c r="A99" s="100" t="s">
        <v>76</v>
      </c>
      <c r="B99" s="100"/>
      <c r="C99" s="100"/>
      <c r="D99" s="100"/>
      <c r="E99" s="100"/>
      <c r="F99" s="100"/>
      <c r="G99" s="100"/>
    </row>
    <row r="100" spans="1:7" s="55" customFormat="1" x14ac:dyDescent="0.25">
      <c r="A100" s="102" t="s">
        <v>77</v>
      </c>
      <c r="B100" s="103"/>
      <c r="C100" s="103"/>
      <c r="D100" s="103"/>
      <c r="E100" s="103"/>
      <c r="F100" s="103"/>
      <c r="G100" s="59">
        <v>1</v>
      </c>
    </row>
    <row r="101" spans="1:7" s="55" customFormat="1" ht="15.75" thickBot="1" x14ac:dyDescent="0.3">
      <c r="A101" s="104" t="s">
        <v>78</v>
      </c>
      <c r="B101" s="105"/>
      <c r="C101" s="105"/>
      <c r="D101" s="105"/>
      <c r="E101" s="105"/>
      <c r="F101" s="105"/>
      <c r="G101" s="60">
        <f>G100-1</f>
        <v>0</v>
      </c>
    </row>
    <row r="102" spans="1:7" s="55" customFormat="1" ht="15.75" thickBot="1" x14ac:dyDescent="0.3">
      <c r="A102" s="75" t="s">
        <v>92</v>
      </c>
      <c r="B102" s="75"/>
      <c r="C102" s="75"/>
      <c r="D102" s="75"/>
      <c r="E102" s="75"/>
      <c r="F102" s="75"/>
      <c r="G102" s="57"/>
    </row>
    <row r="103" spans="1:7" s="55" customFormat="1" ht="15.75" thickBot="1" x14ac:dyDescent="0.3">
      <c r="A103" s="106" t="s">
        <v>93</v>
      </c>
      <c r="B103" s="107"/>
      <c r="C103" s="107"/>
      <c r="D103" s="107"/>
      <c r="E103" s="107"/>
      <c r="F103" s="107"/>
      <c r="G103" s="80">
        <v>0.12</v>
      </c>
    </row>
    <row r="104" spans="1:7" ht="15.75" thickBot="1" x14ac:dyDescent="0.3">
      <c r="B104" s="9"/>
      <c r="C104" s="9"/>
      <c r="D104" s="9"/>
      <c r="E104" s="9"/>
      <c r="F104" s="9"/>
    </row>
    <row r="105" spans="1:7" ht="15.75" thickBot="1" x14ac:dyDescent="0.3">
      <c r="A105" s="98" t="s">
        <v>79</v>
      </c>
      <c r="B105" s="99"/>
      <c r="C105" s="99"/>
      <c r="D105" s="99"/>
      <c r="E105" s="99"/>
      <c r="F105" s="99"/>
      <c r="G105" s="61">
        <v>0.25169999999999998</v>
      </c>
    </row>
    <row r="107" spans="1:7" s="81" customFormat="1" x14ac:dyDescent="0.25">
      <c r="A107" s="81" t="s">
        <v>91</v>
      </c>
    </row>
  </sheetData>
  <mergeCells count="72">
    <mergeCell ref="A6:G6"/>
    <mergeCell ref="A30:D30"/>
    <mergeCell ref="A31:D31"/>
    <mergeCell ref="A32:D32"/>
    <mergeCell ref="A33:D33"/>
    <mergeCell ref="A29:G29"/>
    <mergeCell ref="A25:F25"/>
    <mergeCell ref="A26:F26"/>
    <mergeCell ref="A27:F27"/>
    <mergeCell ref="A24:G24"/>
    <mergeCell ref="A34:D34"/>
    <mergeCell ref="A35:D35"/>
    <mergeCell ref="A36:D36"/>
    <mergeCell ref="A37:D37"/>
    <mergeCell ref="A38:D38"/>
    <mergeCell ref="A39:D39"/>
    <mergeCell ref="A40:E40"/>
    <mergeCell ref="A50:E50"/>
    <mergeCell ref="A43:D43"/>
    <mergeCell ref="A44:D44"/>
    <mergeCell ref="A45:D45"/>
    <mergeCell ref="A46:D46"/>
    <mergeCell ref="A47:D47"/>
    <mergeCell ref="A61:F61"/>
    <mergeCell ref="A60:F60"/>
    <mergeCell ref="A59:F59"/>
    <mergeCell ref="A58:F58"/>
    <mergeCell ref="A48:D48"/>
    <mergeCell ref="A49:D49"/>
    <mergeCell ref="A57:F57"/>
    <mergeCell ref="A56:F56"/>
    <mergeCell ref="A55:F55"/>
    <mergeCell ref="A54:F54"/>
    <mergeCell ref="A52:F52"/>
    <mergeCell ref="A53:F53"/>
    <mergeCell ref="A64:G64"/>
    <mergeCell ref="A75:F75"/>
    <mergeCell ref="A65:F65"/>
    <mergeCell ref="A66:F66"/>
    <mergeCell ref="A67:F67"/>
    <mergeCell ref="A68:F68"/>
    <mergeCell ref="A69:F69"/>
    <mergeCell ref="A70:F70"/>
    <mergeCell ref="A82:F82"/>
    <mergeCell ref="A81:F81"/>
    <mergeCell ref="A80:F80"/>
    <mergeCell ref="A79:F79"/>
    <mergeCell ref="A71:F71"/>
    <mergeCell ref="A72:F72"/>
    <mergeCell ref="A73:F73"/>
    <mergeCell ref="A74:F74"/>
    <mergeCell ref="A89:F89"/>
    <mergeCell ref="A88:F88"/>
    <mergeCell ref="A86:F86"/>
    <mergeCell ref="A85:G85"/>
    <mergeCell ref="A83:F83"/>
    <mergeCell ref="A105:F105"/>
    <mergeCell ref="A99:G99"/>
    <mergeCell ref="A1:G1"/>
    <mergeCell ref="A42:G42"/>
    <mergeCell ref="A95:G95"/>
    <mergeCell ref="A96:F96"/>
    <mergeCell ref="A97:F97"/>
    <mergeCell ref="A100:F100"/>
    <mergeCell ref="A101:F101"/>
    <mergeCell ref="A103:F103"/>
    <mergeCell ref="A78:F78"/>
    <mergeCell ref="A77:G77"/>
    <mergeCell ref="A93:F93"/>
    <mergeCell ref="A92:F92"/>
    <mergeCell ref="A91:F91"/>
    <mergeCell ref="A90:F9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23" sqref="E23"/>
    </sheetView>
  </sheetViews>
  <sheetFormatPr defaultRowHeight="15" x14ac:dyDescent="0.25"/>
  <cols>
    <col min="1" max="1" width="50.5703125" bestFit="1" customWidth="1"/>
    <col min="5" max="5" width="17" style="93" bestFit="1" customWidth="1"/>
    <col min="6" max="6" width="19.7109375" style="93" bestFit="1" customWidth="1"/>
    <col min="7" max="7" width="21.42578125" style="93" bestFit="1" customWidth="1"/>
    <col min="8" max="16384" width="9.140625" style="93"/>
  </cols>
  <sheetData>
    <row r="1" spans="1:7" customFormat="1" x14ac:dyDescent="0.25">
      <c r="A1" s="89" t="s">
        <v>105</v>
      </c>
      <c r="B1" s="88" t="str">
        <f>convertor!C1</f>
        <v xml:space="preserve">lakhs </v>
      </c>
    </row>
    <row r="2" spans="1:7" customFormat="1" x14ac:dyDescent="0.25">
      <c r="A2" s="89"/>
      <c r="B2" s="87"/>
      <c r="E2" s="92">
        <v>1</v>
      </c>
      <c r="F2" s="92">
        <v>2</v>
      </c>
      <c r="G2" s="92">
        <v>3</v>
      </c>
    </row>
    <row r="3" spans="1:7" customFormat="1" x14ac:dyDescent="0.25">
      <c r="E3" s="90">
        <f>EOMONTH(Assumptions!G3,11)</f>
        <v>44286</v>
      </c>
      <c r="F3" s="90">
        <f>EOMONTH(E3,12)</f>
        <v>44651</v>
      </c>
      <c r="G3" s="90">
        <f>EOMONTH(F3,12)</f>
        <v>45016</v>
      </c>
    </row>
    <row r="4" spans="1:7" x14ac:dyDescent="0.25">
      <c r="A4" s="97" t="s">
        <v>159</v>
      </c>
      <c r="E4" s="86"/>
      <c r="F4" s="86"/>
      <c r="G4" s="86"/>
    </row>
    <row r="5" spans="1:7" x14ac:dyDescent="0.25">
      <c r="A5" t="str">
        <f>'annual p&amp;l'!A40</f>
        <v>EAT</v>
      </c>
      <c r="E5" s="86">
        <f>'annual p&amp;l'!E40</f>
        <v>-4217.0842754841042</v>
      </c>
      <c r="F5" s="86">
        <f>'annual p&amp;l'!F40</f>
        <v>186795.84787227411</v>
      </c>
      <c r="G5" s="86">
        <f>'annual p&amp;l'!G40</f>
        <v>-8659651.8115806691</v>
      </c>
    </row>
    <row r="6" spans="1:7" x14ac:dyDescent="0.25">
      <c r="A6" t="s">
        <v>162</v>
      </c>
      <c r="E6" s="86">
        <f>'annual p&amp;l'!E33</f>
        <v>5651.1</v>
      </c>
      <c r="F6" s="86">
        <f>'annual p&amp;l'!F33</f>
        <v>-249528.6</v>
      </c>
      <c r="G6" s="86">
        <f>'annual p&amp;l'!G33</f>
        <v>11572658.0625</v>
      </c>
    </row>
    <row r="7" spans="1:7" x14ac:dyDescent="0.25">
      <c r="A7" s="9" t="s">
        <v>163</v>
      </c>
      <c r="B7" s="9"/>
      <c r="C7" s="9"/>
      <c r="D7" s="9"/>
      <c r="E7" s="148">
        <f>E5+E6</f>
        <v>1434.0157245158962</v>
      </c>
      <c r="F7" s="148">
        <f t="shared" ref="F7:G7" si="0">F5+F6</f>
        <v>-62732.752127725893</v>
      </c>
      <c r="G7" s="148">
        <f t="shared" si="0"/>
        <v>2913006.2509193309</v>
      </c>
    </row>
    <row r="8" spans="1:7" x14ac:dyDescent="0.25">
      <c r="A8" t="s">
        <v>164</v>
      </c>
      <c r="E8" s="86">
        <f>'working capital'!E21</f>
        <v>-18.738416713343842</v>
      </c>
      <c r="F8" s="86">
        <f>'working capital'!F21</f>
        <v>-6.1994391523731451</v>
      </c>
      <c r="G8" s="86">
        <f>'working capital'!G21</f>
        <v>-7.57212817640578</v>
      </c>
    </row>
    <row r="9" spans="1:7" x14ac:dyDescent="0.25">
      <c r="E9" s="86"/>
      <c r="F9" s="86"/>
      <c r="G9" s="86"/>
    </row>
    <row r="10" spans="1:7" x14ac:dyDescent="0.25">
      <c r="A10" s="157" t="s">
        <v>165</v>
      </c>
      <c r="B10" s="157"/>
      <c r="C10" s="157"/>
      <c r="D10" s="157"/>
      <c r="E10" s="150">
        <f>E7+E8</f>
        <v>1415.2773078025523</v>
      </c>
      <c r="F10" s="150">
        <f t="shared" ref="F10:G10" si="1">F7+F8</f>
        <v>-62738.95156687827</v>
      </c>
      <c r="G10" s="150">
        <f t="shared" si="1"/>
        <v>2912998.6787911546</v>
      </c>
    </row>
    <row r="11" spans="1:7" x14ac:dyDescent="0.25">
      <c r="E11" s="86"/>
      <c r="F11" s="86"/>
      <c r="G11" s="86"/>
    </row>
    <row r="12" spans="1:7" x14ac:dyDescent="0.25">
      <c r="A12" s="97" t="s">
        <v>160</v>
      </c>
      <c r="E12" s="86"/>
      <c r="F12" s="86"/>
      <c r="G12" s="86"/>
    </row>
    <row r="13" spans="1:7" x14ac:dyDescent="0.25">
      <c r="A13" t="s">
        <v>166</v>
      </c>
      <c r="E13" s="86">
        <f>-'capital structure'!C10</f>
        <v>-173</v>
      </c>
      <c r="F13" s="86">
        <v>0</v>
      </c>
      <c r="G13" s="86">
        <v>0</v>
      </c>
    </row>
    <row r="14" spans="1:7" x14ac:dyDescent="0.25">
      <c r="A14" t="s">
        <v>167</v>
      </c>
      <c r="E14" s="86">
        <f>-'capital structure'!C11</f>
        <v>-10</v>
      </c>
      <c r="F14" s="86">
        <v>0</v>
      </c>
      <c r="G14" s="86">
        <v>0</v>
      </c>
    </row>
    <row r="15" spans="1:7" x14ac:dyDescent="0.25">
      <c r="A15" s="157" t="s">
        <v>168</v>
      </c>
      <c r="B15" s="157"/>
      <c r="C15" s="157"/>
      <c r="D15" s="157"/>
      <c r="E15" s="150">
        <f>E13+E14</f>
        <v>-183</v>
      </c>
      <c r="F15" s="150">
        <f t="shared" ref="F15:G15" si="2">F13+F14</f>
        <v>0</v>
      </c>
      <c r="G15" s="150">
        <f t="shared" si="2"/>
        <v>0</v>
      </c>
    </row>
    <row r="16" spans="1:7" x14ac:dyDescent="0.25">
      <c r="E16" s="86"/>
      <c r="F16" s="86"/>
      <c r="G16" s="86"/>
    </row>
    <row r="17" spans="1:7" x14ac:dyDescent="0.25">
      <c r="A17" s="97" t="s">
        <v>161</v>
      </c>
      <c r="E17" s="86"/>
      <c r="F17" s="86"/>
      <c r="G17" s="86"/>
    </row>
    <row r="18" spans="1:7" x14ac:dyDescent="0.25">
      <c r="A18" t="s">
        <v>169</v>
      </c>
      <c r="E18" s="86">
        <f>'capital structure'!C17</f>
        <v>207</v>
      </c>
      <c r="F18" s="86">
        <v>0</v>
      </c>
      <c r="G18" s="86">
        <v>0</v>
      </c>
    </row>
    <row r="19" spans="1:7" x14ac:dyDescent="0.25">
      <c r="A19" s="157" t="s">
        <v>170</v>
      </c>
      <c r="B19" s="157"/>
      <c r="C19" s="157"/>
      <c r="D19" s="157"/>
      <c r="E19" s="150">
        <f>E18</f>
        <v>207</v>
      </c>
      <c r="F19" s="150">
        <f t="shared" ref="F19:G19" si="3">F18</f>
        <v>0</v>
      </c>
      <c r="G19" s="150">
        <f t="shared" si="3"/>
        <v>0</v>
      </c>
    </row>
    <row r="20" spans="1:7" x14ac:dyDescent="0.25">
      <c r="E20" s="86"/>
      <c r="F20" s="86"/>
      <c r="G20" s="86"/>
    </row>
    <row r="21" spans="1:7" x14ac:dyDescent="0.25">
      <c r="A21" s="10" t="s">
        <v>171</v>
      </c>
      <c r="B21" s="10"/>
      <c r="C21" s="10"/>
      <c r="D21" s="10"/>
      <c r="E21" s="186">
        <f>E19+E15+E10</f>
        <v>1439.2773078025523</v>
      </c>
      <c r="F21" s="186">
        <f t="shared" ref="F21:G21" si="4">F19+F15+F10</f>
        <v>-62738.95156687827</v>
      </c>
      <c r="G21" s="186">
        <f t="shared" si="4"/>
        <v>2912998.6787911546</v>
      </c>
    </row>
    <row r="22" spans="1:7" x14ac:dyDescent="0.25">
      <c r="A22" t="s">
        <v>172</v>
      </c>
      <c r="E22" s="86">
        <v>0</v>
      </c>
      <c r="F22" s="86">
        <f>E23</f>
        <v>1439.2773078025523</v>
      </c>
      <c r="G22" s="86">
        <f>F23</f>
        <v>-61299.67425907572</v>
      </c>
    </row>
    <row r="23" spans="1:7" ht="15.75" thickBot="1" x14ac:dyDescent="0.3">
      <c r="A23" s="160" t="s">
        <v>138</v>
      </c>
      <c r="B23" s="160"/>
      <c r="C23" s="160"/>
      <c r="D23" s="160"/>
      <c r="E23" s="161">
        <f>E21+E22</f>
        <v>1439.2773078025523</v>
      </c>
      <c r="F23" s="161">
        <f t="shared" ref="F23:G23" si="5">F21+F22</f>
        <v>-61299.67425907572</v>
      </c>
      <c r="G23" s="161">
        <f t="shared" si="5"/>
        <v>2851699.0045320787</v>
      </c>
    </row>
    <row r="24" spans="1:7" ht="15.75" thickTop="1" x14ac:dyDescent="0.25"/>
    <row r="25" spans="1:7" s="169" customFormat="1" x14ac:dyDescent="0.25">
      <c r="A25" s="151" t="s">
        <v>140</v>
      </c>
      <c r="B25" s="162"/>
      <c r="C25" s="162"/>
      <c r="D25" s="1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" sqref="C1"/>
    </sheetView>
  </sheetViews>
  <sheetFormatPr defaultRowHeight="15" x14ac:dyDescent="0.25"/>
  <cols>
    <col min="1" max="1" width="14.140625" bestFit="1" customWidth="1"/>
    <col min="2" max="2" width="14.28515625" bestFit="1" customWidth="1"/>
    <col min="4" max="4" width="14.28515625" bestFit="1" customWidth="1"/>
  </cols>
  <sheetData>
    <row r="1" spans="1:4" x14ac:dyDescent="0.25">
      <c r="A1" s="85" t="s">
        <v>104</v>
      </c>
      <c r="B1" t="s">
        <v>103</v>
      </c>
      <c r="C1" s="88" t="s">
        <v>100</v>
      </c>
      <c r="D1" s="86">
        <f>VLOOKUP(C1,A3:B9,2,0)</f>
        <v>100000</v>
      </c>
    </row>
    <row r="3" spans="1:4" x14ac:dyDescent="0.25">
      <c r="A3" t="s">
        <v>96</v>
      </c>
      <c r="B3" s="86">
        <v>1</v>
      </c>
    </row>
    <row r="4" spans="1:4" x14ac:dyDescent="0.25">
      <c r="A4" t="s">
        <v>97</v>
      </c>
      <c r="B4" s="86">
        <v>10</v>
      </c>
    </row>
    <row r="5" spans="1:4" x14ac:dyDescent="0.25">
      <c r="A5" t="s">
        <v>98</v>
      </c>
      <c r="B5" s="86">
        <v>100</v>
      </c>
    </row>
    <row r="6" spans="1:4" x14ac:dyDescent="0.25">
      <c r="A6" t="s">
        <v>99</v>
      </c>
      <c r="B6" s="86">
        <v>1000</v>
      </c>
    </row>
    <row r="7" spans="1:4" x14ac:dyDescent="0.25">
      <c r="A7" t="s">
        <v>100</v>
      </c>
      <c r="B7" s="86">
        <v>100000</v>
      </c>
    </row>
    <row r="8" spans="1:4" x14ac:dyDescent="0.25">
      <c r="A8" t="s">
        <v>101</v>
      </c>
      <c r="B8" s="86">
        <v>1000000</v>
      </c>
    </row>
    <row r="9" spans="1:4" x14ac:dyDescent="0.25">
      <c r="A9" t="s">
        <v>102</v>
      </c>
      <c r="B9" s="86">
        <v>10000000</v>
      </c>
    </row>
  </sheetData>
  <dataValidations count="1">
    <dataValidation type="list" allowBlank="1" showInputMessage="1" showErrorMessage="1" sqref="C1">
      <formula1>$A$3:$A$9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zoomScaleNormal="100" workbookViewId="0">
      <pane xSplit="4" ySplit="7" topLeftCell="E72" activePane="bottomRight" state="frozen"/>
      <selection pane="topRight" activeCell="E1" sqref="E1"/>
      <selection pane="bottomLeft" activeCell="A8" sqref="A8"/>
      <selection pane="bottomRight"/>
    </sheetView>
  </sheetViews>
  <sheetFormatPr defaultRowHeight="15" x14ac:dyDescent="0.25"/>
  <cols>
    <col min="1" max="1" width="29.42578125" bestFit="1" customWidth="1"/>
    <col min="2" max="2" width="10.5703125" bestFit="1" customWidth="1"/>
    <col min="5" max="5" width="9.5703125" style="86" bestFit="1" customWidth="1"/>
    <col min="6" max="6" width="10.140625" style="86" bestFit="1" customWidth="1"/>
    <col min="7" max="7" width="9.42578125" style="86" bestFit="1" customWidth="1"/>
    <col min="8" max="40" width="12.5703125" style="86" bestFit="1" customWidth="1"/>
    <col min="41" max="16384" width="9.140625" style="86"/>
  </cols>
  <sheetData>
    <row r="1" spans="1:40" customFormat="1" x14ac:dyDescent="0.25">
      <c r="A1" s="89" t="s">
        <v>105</v>
      </c>
      <c r="B1" s="88" t="str">
        <f>convertor!C1</f>
        <v xml:space="preserve">lakhs </v>
      </c>
    </row>
    <row r="2" spans="1:40" customFormat="1" x14ac:dyDescent="0.25"/>
    <row r="3" spans="1:40" customFormat="1" x14ac:dyDescent="0.25">
      <c r="E3" s="91">
        <v>1</v>
      </c>
      <c r="F3" s="91">
        <f>E3+1</f>
        <v>2</v>
      </c>
      <c r="G3" s="91">
        <f t="shared" ref="G3:AN3" si="0">F3+1</f>
        <v>3</v>
      </c>
      <c r="H3" s="91">
        <f t="shared" si="0"/>
        <v>4</v>
      </c>
      <c r="I3" s="91">
        <f t="shared" si="0"/>
        <v>5</v>
      </c>
      <c r="J3" s="91">
        <f t="shared" si="0"/>
        <v>6</v>
      </c>
      <c r="K3" s="91">
        <f t="shared" si="0"/>
        <v>7</v>
      </c>
      <c r="L3" s="91">
        <f t="shared" si="0"/>
        <v>8</v>
      </c>
      <c r="M3" s="91">
        <f t="shared" si="0"/>
        <v>9</v>
      </c>
      <c r="N3" s="91">
        <f t="shared" si="0"/>
        <v>10</v>
      </c>
      <c r="O3" s="91">
        <f t="shared" si="0"/>
        <v>11</v>
      </c>
      <c r="P3" s="91">
        <f t="shared" si="0"/>
        <v>12</v>
      </c>
      <c r="Q3" s="91">
        <f t="shared" si="0"/>
        <v>13</v>
      </c>
      <c r="R3" s="91">
        <f t="shared" si="0"/>
        <v>14</v>
      </c>
      <c r="S3" s="91">
        <f t="shared" si="0"/>
        <v>15</v>
      </c>
      <c r="T3" s="91">
        <f t="shared" si="0"/>
        <v>16</v>
      </c>
      <c r="U3" s="91">
        <f t="shared" si="0"/>
        <v>17</v>
      </c>
      <c r="V3" s="91">
        <f t="shared" si="0"/>
        <v>18</v>
      </c>
      <c r="W3" s="91">
        <f t="shared" si="0"/>
        <v>19</v>
      </c>
      <c r="X3" s="91">
        <f t="shared" si="0"/>
        <v>20</v>
      </c>
      <c r="Y3" s="91">
        <f t="shared" si="0"/>
        <v>21</v>
      </c>
      <c r="Z3" s="91">
        <f t="shared" si="0"/>
        <v>22</v>
      </c>
      <c r="AA3" s="91">
        <f t="shared" si="0"/>
        <v>23</v>
      </c>
      <c r="AB3" s="91">
        <f t="shared" si="0"/>
        <v>24</v>
      </c>
      <c r="AC3" s="91">
        <f t="shared" si="0"/>
        <v>25</v>
      </c>
      <c r="AD3" s="91">
        <f t="shared" si="0"/>
        <v>26</v>
      </c>
      <c r="AE3" s="91">
        <f t="shared" si="0"/>
        <v>27</v>
      </c>
      <c r="AF3" s="91">
        <f t="shared" si="0"/>
        <v>28</v>
      </c>
      <c r="AG3" s="91">
        <f t="shared" si="0"/>
        <v>29</v>
      </c>
      <c r="AH3" s="91">
        <f t="shared" si="0"/>
        <v>30</v>
      </c>
      <c r="AI3" s="91">
        <f t="shared" si="0"/>
        <v>31</v>
      </c>
      <c r="AJ3" s="91">
        <f t="shared" si="0"/>
        <v>32</v>
      </c>
      <c r="AK3" s="91">
        <f t="shared" si="0"/>
        <v>33</v>
      </c>
      <c r="AL3" s="91">
        <f t="shared" si="0"/>
        <v>34</v>
      </c>
      <c r="AM3" s="91">
        <f t="shared" si="0"/>
        <v>35</v>
      </c>
      <c r="AN3" s="91">
        <f t="shared" si="0"/>
        <v>36</v>
      </c>
    </row>
    <row r="4" spans="1:40" customFormat="1" x14ac:dyDescent="0.25">
      <c r="E4" s="90">
        <f>EOMONTH(Assumptions!G3,0)</f>
        <v>43951</v>
      </c>
      <c r="F4" s="90">
        <f>EOMONTH(E4,1)</f>
        <v>43982</v>
      </c>
      <c r="G4" s="90">
        <f t="shared" ref="G4:AN4" si="1">EOMONTH(F4,1)</f>
        <v>44012</v>
      </c>
      <c r="H4" s="90">
        <f t="shared" si="1"/>
        <v>44043</v>
      </c>
      <c r="I4" s="90">
        <f t="shared" si="1"/>
        <v>44074</v>
      </c>
      <c r="J4" s="90">
        <f t="shared" si="1"/>
        <v>44104</v>
      </c>
      <c r="K4" s="90">
        <f t="shared" si="1"/>
        <v>44135</v>
      </c>
      <c r="L4" s="90">
        <f t="shared" si="1"/>
        <v>44165</v>
      </c>
      <c r="M4" s="90">
        <f t="shared" si="1"/>
        <v>44196</v>
      </c>
      <c r="N4" s="90">
        <f t="shared" si="1"/>
        <v>44227</v>
      </c>
      <c r="O4" s="90">
        <f t="shared" si="1"/>
        <v>44255</v>
      </c>
      <c r="P4" s="90">
        <f t="shared" si="1"/>
        <v>44286</v>
      </c>
      <c r="Q4" s="90">
        <f t="shared" si="1"/>
        <v>44316</v>
      </c>
      <c r="R4" s="90">
        <f t="shared" si="1"/>
        <v>44347</v>
      </c>
      <c r="S4" s="90">
        <f t="shared" si="1"/>
        <v>44377</v>
      </c>
      <c r="T4" s="90">
        <f t="shared" si="1"/>
        <v>44408</v>
      </c>
      <c r="U4" s="90">
        <f t="shared" si="1"/>
        <v>44439</v>
      </c>
      <c r="V4" s="90">
        <f t="shared" si="1"/>
        <v>44469</v>
      </c>
      <c r="W4" s="90">
        <f t="shared" si="1"/>
        <v>44500</v>
      </c>
      <c r="X4" s="90">
        <f t="shared" si="1"/>
        <v>44530</v>
      </c>
      <c r="Y4" s="90">
        <f t="shared" si="1"/>
        <v>44561</v>
      </c>
      <c r="Z4" s="90">
        <f t="shared" si="1"/>
        <v>44592</v>
      </c>
      <c r="AA4" s="90">
        <f t="shared" si="1"/>
        <v>44620</v>
      </c>
      <c r="AB4" s="90">
        <f t="shared" si="1"/>
        <v>44651</v>
      </c>
      <c r="AC4" s="90">
        <f t="shared" si="1"/>
        <v>44681</v>
      </c>
      <c r="AD4" s="90">
        <f t="shared" si="1"/>
        <v>44712</v>
      </c>
      <c r="AE4" s="90">
        <f t="shared" si="1"/>
        <v>44742</v>
      </c>
      <c r="AF4" s="90">
        <f t="shared" si="1"/>
        <v>44773</v>
      </c>
      <c r="AG4" s="90">
        <f t="shared" si="1"/>
        <v>44804</v>
      </c>
      <c r="AH4" s="90">
        <f t="shared" si="1"/>
        <v>44834</v>
      </c>
      <c r="AI4" s="90">
        <f t="shared" si="1"/>
        <v>44865</v>
      </c>
      <c r="AJ4" s="90">
        <f t="shared" si="1"/>
        <v>44895</v>
      </c>
      <c r="AK4" s="90">
        <f t="shared" si="1"/>
        <v>44926</v>
      </c>
      <c r="AL4" s="90">
        <f t="shared" si="1"/>
        <v>44957</v>
      </c>
      <c r="AM4" s="90">
        <f t="shared" si="1"/>
        <v>44985</v>
      </c>
      <c r="AN4" s="90">
        <f t="shared" si="1"/>
        <v>45016</v>
      </c>
    </row>
    <row r="5" spans="1:40" x14ac:dyDescent="0.25">
      <c r="A5" t="s">
        <v>106</v>
      </c>
      <c r="E5" s="95"/>
      <c r="F5" s="95"/>
      <c r="G5" s="95"/>
      <c r="H5" s="95">
        <f>IF(H4&gt;Assumptions!J5,DAY('monthly revenue '!H4),0)</f>
        <v>31</v>
      </c>
      <c r="I5" s="95">
        <f>IF(I4&gt;Assumptions!K5,DAY('monthly revenue '!I4),0)</f>
        <v>31</v>
      </c>
      <c r="J5" s="95">
        <f>IF(J4&gt;Assumptions!L5,DAY('monthly revenue '!J4),0)</f>
        <v>30</v>
      </c>
      <c r="K5" s="95">
        <f>IF(K4&gt;Assumptions!M5,DAY('monthly revenue '!K4),0)</f>
        <v>31</v>
      </c>
      <c r="L5" s="95">
        <f>IF(L4&gt;Assumptions!N5,DAY('monthly revenue '!L4),0)</f>
        <v>30</v>
      </c>
      <c r="M5" s="95">
        <f>IF(M4&gt;Assumptions!O5,DAY('monthly revenue '!M4),0)</f>
        <v>31</v>
      </c>
      <c r="N5" s="95">
        <f>IF(N4&gt;Assumptions!P5,DAY('monthly revenue '!N4),0)</f>
        <v>31</v>
      </c>
      <c r="O5" s="95">
        <f>IF(O4&gt;Assumptions!Q5,DAY('monthly revenue '!O4),0)</f>
        <v>28</v>
      </c>
      <c r="P5" s="95">
        <f>IF(P4&gt;Assumptions!R5,DAY('monthly revenue '!P4),0)</f>
        <v>31</v>
      </c>
      <c r="Q5" s="95">
        <f>IF(Q4&gt;Assumptions!S5,DAY('monthly revenue '!Q4),0)</f>
        <v>30</v>
      </c>
      <c r="R5" s="95">
        <f>IF(R4&gt;Assumptions!T5,DAY('monthly revenue '!R4),0)</f>
        <v>31</v>
      </c>
      <c r="S5" s="95">
        <f>IF(S4&gt;Assumptions!U5,DAY('monthly revenue '!S4),0)</f>
        <v>30</v>
      </c>
      <c r="T5" s="95">
        <f>IF(T4&gt;Assumptions!V5,DAY('monthly revenue '!T4),0)</f>
        <v>31</v>
      </c>
      <c r="U5" s="95">
        <f>IF(U4&gt;Assumptions!W5,DAY('monthly revenue '!U4),0)</f>
        <v>31</v>
      </c>
      <c r="V5" s="95">
        <f>IF(V4&gt;Assumptions!X5,DAY('monthly revenue '!V4),0)</f>
        <v>30</v>
      </c>
      <c r="W5" s="95">
        <f>IF(W4&gt;Assumptions!Y5,DAY('monthly revenue '!W4),0)</f>
        <v>31</v>
      </c>
      <c r="X5" s="95">
        <f>IF(X4&gt;Assumptions!Z5,DAY('monthly revenue '!X4),0)</f>
        <v>30</v>
      </c>
      <c r="Y5" s="95">
        <f>IF(Y4&gt;Assumptions!AA5,DAY('monthly revenue '!Y4),0)</f>
        <v>31</v>
      </c>
      <c r="Z5" s="95">
        <f>IF(Z4&gt;Assumptions!AB5,DAY('monthly revenue '!Z4),0)</f>
        <v>31</v>
      </c>
      <c r="AA5" s="95">
        <f>IF(AA4&gt;Assumptions!AC5,DAY('monthly revenue '!AA4),0)</f>
        <v>28</v>
      </c>
      <c r="AB5" s="95">
        <f>IF(AB4&gt;Assumptions!AD5,DAY('monthly revenue '!AB4),0)</f>
        <v>31</v>
      </c>
      <c r="AC5" s="95">
        <f>IF(AC4&gt;Assumptions!AE5,DAY('monthly revenue '!AC4),0)</f>
        <v>30</v>
      </c>
      <c r="AD5" s="95">
        <f>IF(AD4&gt;Assumptions!AF5,DAY('monthly revenue '!AD4),0)</f>
        <v>31</v>
      </c>
      <c r="AE5" s="95">
        <f>IF(AE4&gt;Assumptions!AG5,DAY('monthly revenue '!AE4),0)</f>
        <v>30</v>
      </c>
      <c r="AF5" s="95">
        <f>IF(AF4&gt;Assumptions!AH5,DAY('monthly revenue '!AF4),0)</f>
        <v>31</v>
      </c>
      <c r="AG5" s="95">
        <f>IF(AG4&gt;Assumptions!AI5,DAY('monthly revenue '!AG4),0)</f>
        <v>31</v>
      </c>
      <c r="AH5" s="95">
        <f>IF(AH4&gt;Assumptions!AJ5,DAY('monthly revenue '!AH4),0)</f>
        <v>30</v>
      </c>
      <c r="AI5" s="95">
        <f>IF(AI4&gt;Assumptions!AK5,DAY('monthly revenue '!AI4),0)</f>
        <v>31</v>
      </c>
      <c r="AJ5" s="95">
        <f>IF(AJ4&gt;Assumptions!AL5,DAY('monthly revenue '!AJ4),0)</f>
        <v>30</v>
      </c>
      <c r="AK5" s="95">
        <f>IF(AK4&gt;Assumptions!AM5,DAY('monthly revenue '!AK4),0)</f>
        <v>31</v>
      </c>
      <c r="AL5" s="95">
        <f>IF(AL4&gt;Assumptions!AN5,DAY('monthly revenue '!AL4),0)</f>
        <v>31</v>
      </c>
      <c r="AM5" s="95">
        <f>IF(AM4&gt;Assumptions!AO5,DAY('monthly revenue '!AM4),0)</f>
        <v>28</v>
      </c>
      <c r="AN5" s="95">
        <f>IF(AN4&gt;Assumptions!AP5,DAY('monthly revenue '!AN4),0)</f>
        <v>31</v>
      </c>
    </row>
    <row r="6" spans="1:40" x14ac:dyDescent="0.25">
      <c r="A6" t="s">
        <v>107</v>
      </c>
      <c r="E6" s="96">
        <f>IF(E5&gt;0,NETWORKDAYS(D4+1,E4,),0)</f>
        <v>0</v>
      </c>
      <c r="F6" s="96">
        <f t="shared" ref="F6:L6" si="2">IF(F5&gt;0,NETWORKDAYS(E4+1,F4,),0)</f>
        <v>0</v>
      </c>
      <c r="G6" s="96">
        <f t="shared" si="2"/>
        <v>0</v>
      </c>
      <c r="H6" s="96">
        <f t="shared" si="2"/>
        <v>23</v>
      </c>
      <c r="I6" s="96">
        <f t="shared" si="2"/>
        <v>21</v>
      </c>
      <c r="J6" s="96">
        <f t="shared" si="2"/>
        <v>22</v>
      </c>
      <c r="K6" s="96">
        <f t="shared" si="2"/>
        <v>22</v>
      </c>
      <c r="L6" s="96">
        <f t="shared" si="2"/>
        <v>21</v>
      </c>
      <c r="M6" s="96">
        <f t="shared" ref="M6" si="3">IF(M5&gt;0,NETWORKDAYS(L4+1,M4,),0)</f>
        <v>23</v>
      </c>
      <c r="N6" s="96">
        <f t="shared" ref="N6" si="4">IF(N5&gt;0,NETWORKDAYS(M4+1,N4,),0)</f>
        <v>21</v>
      </c>
      <c r="O6" s="96">
        <f t="shared" ref="O6" si="5">IF(O5&gt;0,NETWORKDAYS(N4+1,O4,),0)</f>
        <v>20</v>
      </c>
      <c r="P6" s="96">
        <f t="shared" ref="P6" si="6">IF(P5&gt;0,NETWORKDAYS(O4+1,P4,),0)</f>
        <v>23</v>
      </c>
      <c r="Q6" s="96">
        <f t="shared" ref="Q6" si="7">IF(Q5&gt;0,NETWORKDAYS(P4+1,Q4,),0)</f>
        <v>22</v>
      </c>
      <c r="R6" s="96">
        <f t="shared" ref="R6:S6" si="8">IF(R5&gt;0,NETWORKDAYS(Q4+1,R4,),0)</f>
        <v>21</v>
      </c>
      <c r="S6" s="96">
        <f t="shared" si="8"/>
        <v>22</v>
      </c>
      <c r="T6" s="96">
        <f t="shared" ref="T6" si="9">IF(T5&gt;0,NETWORKDAYS(S4+1,T4,),0)</f>
        <v>22</v>
      </c>
      <c r="U6" s="96">
        <f t="shared" ref="U6" si="10">IF(U5&gt;0,NETWORKDAYS(T4+1,U4,),0)</f>
        <v>22</v>
      </c>
      <c r="V6" s="96">
        <f t="shared" ref="V6" si="11">IF(V5&gt;0,NETWORKDAYS(U4+1,V4,),0)</f>
        <v>22</v>
      </c>
      <c r="W6" s="96">
        <f t="shared" ref="W6" si="12">IF(W5&gt;0,NETWORKDAYS(V4+1,W4,),0)</f>
        <v>21</v>
      </c>
      <c r="X6" s="96">
        <f t="shared" ref="X6" si="13">IF(X5&gt;0,NETWORKDAYS(W4+1,X4,),0)</f>
        <v>22</v>
      </c>
      <c r="Y6" s="96">
        <f t="shared" ref="Y6:Z6" si="14">IF(Y5&gt;0,NETWORKDAYS(X4+1,Y4,),0)</f>
        <v>23</v>
      </c>
      <c r="Z6" s="96">
        <f t="shared" si="14"/>
        <v>21</v>
      </c>
      <c r="AA6" s="96">
        <f t="shared" ref="AA6" si="15">IF(AA5&gt;0,NETWORKDAYS(Z4+1,AA4,),0)</f>
        <v>20</v>
      </c>
      <c r="AB6" s="96">
        <f t="shared" ref="AB6" si="16">IF(AB5&gt;0,NETWORKDAYS(AA4+1,AB4,),0)</f>
        <v>23</v>
      </c>
      <c r="AC6" s="96">
        <f t="shared" ref="AC6" si="17">IF(AC5&gt;0,NETWORKDAYS(AB4+1,AC4,),0)</f>
        <v>21</v>
      </c>
      <c r="AD6" s="96">
        <f t="shared" ref="AD6" si="18">IF(AD5&gt;0,NETWORKDAYS(AC4+1,AD4,),0)</f>
        <v>22</v>
      </c>
      <c r="AE6" s="96">
        <f t="shared" ref="AE6" si="19">IF(AE5&gt;0,NETWORKDAYS(AD4+1,AE4,),0)</f>
        <v>22</v>
      </c>
      <c r="AF6" s="96">
        <f t="shared" ref="AF6:AG6" si="20">IF(AF5&gt;0,NETWORKDAYS(AE4+1,AF4,),0)</f>
        <v>21</v>
      </c>
      <c r="AG6" s="96">
        <f t="shared" si="20"/>
        <v>23</v>
      </c>
      <c r="AH6" s="96">
        <f t="shared" ref="AH6" si="21">IF(AH5&gt;0,NETWORKDAYS(AG4+1,AH4,),0)</f>
        <v>22</v>
      </c>
      <c r="AI6" s="96">
        <f t="shared" ref="AI6" si="22">IF(AI5&gt;0,NETWORKDAYS(AH4+1,AI4,),0)</f>
        <v>21</v>
      </c>
      <c r="AJ6" s="96">
        <f t="shared" ref="AJ6" si="23">IF(AJ5&gt;0,NETWORKDAYS(AI4+1,AJ4,),0)</f>
        <v>22</v>
      </c>
      <c r="AK6" s="96">
        <f t="shared" ref="AK6" si="24">IF(AK5&gt;0,NETWORKDAYS(AJ4+1,AK4,),0)</f>
        <v>22</v>
      </c>
      <c r="AL6" s="96">
        <f t="shared" ref="AL6" si="25">IF(AL5&gt;0,NETWORKDAYS(AK4+1,AL4,),0)</f>
        <v>22</v>
      </c>
      <c r="AM6" s="96">
        <f t="shared" ref="AM6:AN6" si="26">IF(AM5&gt;0,NETWORKDAYS(AL4+1,AM4,),0)</f>
        <v>20</v>
      </c>
      <c r="AN6" s="96">
        <f t="shared" si="26"/>
        <v>23</v>
      </c>
    </row>
    <row r="7" spans="1:40" x14ac:dyDescent="0.25">
      <c r="A7" t="s">
        <v>108</v>
      </c>
      <c r="E7" s="96">
        <f>E5-E6</f>
        <v>0</v>
      </c>
      <c r="F7" s="96">
        <f t="shared" ref="F7:K7" si="27">F5-F6</f>
        <v>0</v>
      </c>
      <c r="G7" s="96">
        <f t="shared" si="27"/>
        <v>0</v>
      </c>
      <c r="H7" s="96">
        <f t="shared" si="27"/>
        <v>8</v>
      </c>
      <c r="I7" s="96">
        <f t="shared" si="27"/>
        <v>10</v>
      </c>
      <c r="J7" s="96">
        <f t="shared" si="27"/>
        <v>8</v>
      </c>
      <c r="K7" s="96">
        <f t="shared" si="27"/>
        <v>9</v>
      </c>
      <c r="L7" s="96">
        <f t="shared" ref="L7" si="28">L5-L6</f>
        <v>9</v>
      </c>
      <c r="M7" s="96">
        <f t="shared" ref="M7" si="29">M5-M6</f>
        <v>8</v>
      </c>
      <c r="N7" s="96">
        <f t="shared" ref="N7" si="30">N5-N6</f>
        <v>10</v>
      </c>
      <c r="O7" s="96">
        <f t="shared" ref="O7" si="31">O5-O6</f>
        <v>8</v>
      </c>
      <c r="P7" s="96">
        <f t="shared" ref="P7:Q7" si="32">P5-P6</f>
        <v>8</v>
      </c>
      <c r="Q7" s="96">
        <f t="shared" si="32"/>
        <v>8</v>
      </c>
      <c r="R7" s="96">
        <f t="shared" ref="R7" si="33">R5-R6</f>
        <v>10</v>
      </c>
      <c r="S7" s="96">
        <f t="shared" ref="S7" si="34">S5-S6</f>
        <v>8</v>
      </c>
      <c r="T7" s="96">
        <f t="shared" ref="T7" si="35">T5-T6</f>
        <v>9</v>
      </c>
      <c r="U7" s="96">
        <f t="shared" ref="U7" si="36">U5-U6</f>
        <v>9</v>
      </c>
      <c r="V7" s="96">
        <f t="shared" ref="V7:W7" si="37">V5-V6</f>
        <v>8</v>
      </c>
      <c r="W7" s="96">
        <f t="shared" si="37"/>
        <v>10</v>
      </c>
      <c r="X7" s="96">
        <f t="shared" ref="X7" si="38">X5-X6</f>
        <v>8</v>
      </c>
      <c r="Y7" s="96">
        <f t="shared" ref="Y7" si="39">Y5-Y6</f>
        <v>8</v>
      </c>
      <c r="Z7" s="96">
        <f t="shared" ref="Z7" si="40">Z5-Z6</f>
        <v>10</v>
      </c>
      <c r="AA7" s="96">
        <f t="shared" ref="AA7" si="41">AA5-AA6</f>
        <v>8</v>
      </c>
      <c r="AB7" s="96">
        <f t="shared" ref="AB7:AC7" si="42">AB5-AB6</f>
        <v>8</v>
      </c>
      <c r="AC7" s="96">
        <f t="shared" si="42"/>
        <v>9</v>
      </c>
      <c r="AD7" s="96">
        <f t="shared" ref="AD7" si="43">AD5-AD6</f>
        <v>9</v>
      </c>
      <c r="AE7" s="96">
        <f t="shared" ref="AE7" si="44">AE5-AE6</f>
        <v>8</v>
      </c>
      <c r="AF7" s="96">
        <f t="shared" ref="AF7" si="45">AF5-AF6</f>
        <v>10</v>
      </c>
      <c r="AG7" s="96">
        <f t="shared" ref="AG7" si="46">AG5-AG6</f>
        <v>8</v>
      </c>
      <c r="AH7" s="96">
        <f t="shared" ref="AH7:AI7" si="47">AH5-AH6</f>
        <v>8</v>
      </c>
      <c r="AI7" s="96">
        <f t="shared" si="47"/>
        <v>10</v>
      </c>
      <c r="AJ7" s="96">
        <f t="shared" ref="AJ7" si="48">AJ5-AJ6</f>
        <v>8</v>
      </c>
      <c r="AK7" s="96">
        <f t="shared" ref="AK7" si="49">AK5-AK6</f>
        <v>9</v>
      </c>
      <c r="AL7" s="96">
        <f t="shared" ref="AL7" si="50">AL5-AL6</f>
        <v>9</v>
      </c>
      <c r="AM7" s="96">
        <f t="shared" ref="AM7" si="51">AM5-AM6</f>
        <v>8</v>
      </c>
      <c r="AN7" s="96">
        <f t="shared" ref="AN7" si="52">AN5-AN6</f>
        <v>8</v>
      </c>
    </row>
    <row r="9" spans="1:40" x14ac:dyDescent="0.25">
      <c r="A9" s="97" t="s">
        <v>114</v>
      </c>
    </row>
    <row r="10" spans="1:40" x14ac:dyDescent="0.25">
      <c r="A10" s="97"/>
    </row>
    <row r="11" spans="1:40" x14ac:dyDescent="0.25">
      <c r="A11" s="153" t="s">
        <v>109</v>
      </c>
    </row>
    <row r="12" spans="1:40" x14ac:dyDescent="0.25">
      <c r="A12" t="s">
        <v>110</v>
      </c>
      <c r="E12" s="86">
        <f>IF(E$6&gt;0,MIN(MAX(Assumptions!$B$19*Assumptions!$B$18,'monthly revenue '!D12*(1+Assumptions!$B$20)),Assumptions!$B$21),0)</f>
        <v>0</v>
      </c>
      <c r="F12" s="86">
        <f>IF(F$6&gt;0,MIN(MAX(Assumptions!$B$19*Assumptions!$B$18,'monthly revenue '!E12*(1+Assumptions!$B$20)),Assumptions!$B$21),0)</f>
        <v>0</v>
      </c>
      <c r="G12" s="86">
        <f>IF(G$6&gt;0,MIN(MAX(Assumptions!$B$19*Assumptions!$B$18,'monthly revenue '!F12*(1+Assumptions!$B$20)),Assumptions!$B$21),0)</f>
        <v>0</v>
      </c>
      <c r="H12" s="86">
        <f>IF(H$6&gt;0,MIN(MAX(Assumptions!$B$19*Assumptions!$B$18,'monthly revenue '!G12*(1+Assumptions!$B$20)),Assumptions!$B$21),0)</f>
        <v>20</v>
      </c>
      <c r="I12" s="86">
        <f>IF(I$6&gt;0,MIN(MAX(Assumptions!$B$19*Assumptions!$B$18,'monthly revenue '!H12*(1+Assumptions!$B$20)),Assumptions!$B$21),0)</f>
        <v>20.399999999999999</v>
      </c>
      <c r="J12" s="86">
        <f>IF(J$6&gt;0,MIN(MAX(Assumptions!$B$19*Assumptions!$B$18,'monthly revenue '!I12*(1+Assumptions!$B$20)),Assumptions!$B$21),0)</f>
        <v>20.808</v>
      </c>
      <c r="K12" s="86">
        <f>IF(K$6&gt;0,MIN(MAX(Assumptions!$B$19*Assumptions!$B$18,'monthly revenue '!J12*(1+Assumptions!$B$20)),Assumptions!$B$21),0)</f>
        <v>21.224160000000001</v>
      </c>
      <c r="L12" s="86">
        <f>IF(L$6&gt;0,MIN(MAX(Assumptions!$B$19*Assumptions!$B$18,'monthly revenue '!K12*(1+Assumptions!$B$20)),Assumptions!$B$21),0)</f>
        <v>21.648643200000002</v>
      </c>
      <c r="M12" s="86">
        <f>IF(M$6&gt;0,MIN(MAX(Assumptions!$B$19*Assumptions!$B$18,'monthly revenue '!L12*(1+Assumptions!$B$20)),Assumptions!$B$21),0)</f>
        <v>22.081616064000002</v>
      </c>
      <c r="N12" s="86">
        <f>IF(N$6&gt;0,MIN(MAX(Assumptions!$B$19*Assumptions!$B$18,'monthly revenue '!M12*(1+Assumptions!$B$20)),Assumptions!$B$21),0)</f>
        <v>22.523248385280002</v>
      </c>
      <c r="O12" s="86">
        <f>IF(O$6&gt;0,MIN(MAX(Assumptions!$B$19*Assumptions!$B$18,'monthly revenue '!N12*(1+Assumptions!$B$20)),Assumptions!$B$21),0)</f>
        <v>22.973713352985602</v>
      </c>
      <c r="P12" s="86">
        <f>IF(P$6&gt;0,MIN(MAX(Assumptions!$B$19*Assumptions!$B$18,'monthly revenue '!O12*(1+Assumptions!$B$20)),Assumptions!$B$21),0)</f>
        <v>23.433187620045313</v>
      </c>
      <c r="Q12" s="86">
        <f>IF(Q$6&gt;0,MIN(MAX(Assumptions!$B$19*Assumptions!$B$18,'monthly revenue '!P12*(1+Assumptions!$B$20)),Assumptions!$B$21),0)</f>
        <v>23.90185137244622</v>
      </c>
      <c r="R12" s="86">
        <f>IF(R$6&gt;0,MIN(MAX(Assumptions!$B$19*Assumptions!$B$18,'monthly revenue '!Q12*(1+Assumptions!$B$20)),Assumptions!$B$21),0)</f>
        <v>24.379888399895144</v>
      </c>
      <c r="S12" s="86">
        <f>IF(S$6&gt;0,MIN(MAX(Assumptions!$B$19*Assumptions!$B$18,'monthly revenue '!R12*(1+Assumptions!$B$20)),Assumptions!$B$21),0)</f>
        <v>24.867486167893048</v>
      </c>
      <c r="T12" s="86">
        <f>IF(T$6&gt;0,MIN(MAX(Assumptions!$B$19*Assumptions!$B$18,'monthly revenue '!S12*(1+Assumptions!$B$20)),Assumptions!$B$21),0)</f>
        <v>25.364835891250909</v>
      </c>
      <c r="U12" s="86">
        <f>IF(U$6&gt;0,MIN(MAX(Assumptions!$B$19*Assumptions!$B$18,'monthly revenue '!T12*(1+Assumptions!$B$20)),Assumptions!$B$21),0)</f>
        <v>25.872132609075926</v>
      </c>
      <c r="V12" s="86">
        <f>IF(V$6&gt;0,MIN(MAX(Assumptions!$B$19*Assumptions!$B$18,'monthly revenue '!U12*(1+Assumptions!$B$20)),Assumptions!$B$21),0)</f>
        <v>26.389575261257445</v>
      </c>
      <c r="W12" s="86">
        <f>IF(W$6&gt;0,MIN(MAX(Assumptions!$B$19*Assumptions!$B$18,'monthly revenue '!V12*(1+Assumptions!$B$20)),Assumptions!$B$21),0)</f>
        <v>26.917366766482594</v>
      </c>
      <c r="X12" s="86">
        <f>IF(X$6&gt;0,MIN(MAX(Assumptions!$B$19*Assumptions!$B$18,'monthly revenue '!W12*(1+Assumptions!$B$20)),Assumptions!$B$21),0)</f>
        <v>27.455714101812248</v>
      </c>
      <c r="Y12" s="86">
        <f>IF(Y$6&gt;0,MIN(MAX(Assumptions!$B$19*Assumptions!$B$18,'monthly revenue '!X12*(1+Assumptions!$B$20)),Assumptions!$B$21),0)</f>
        <v>28.004828383848494</v>
      </c>
      <c r="Z12" s="86">
        <f>IF(Z$6&gt;0,MIN(MAX(Assumptions!$B$19*Assumptions!$B$18,'monthly revenue '!Y12*(1+Assumptions!$B$20)),Assumptions!$B$21),0)</f>
        <v>28.564924951525466</v>
      </c>
      <c r="AA12" s="86">
        <f>IF(AA$6&gt;0,MIN(MAX(Assumptions!$B$19*Assumptions!$B$18,'monthly revenue '!Z12*(1+Assumptions!$B$20)),Assumptions!$B$21),0)</f>
        <v>29.136223450555974</v>
      </c>
      <c r="AB12" s="86">
        <f>IF(AB$6&gt;0,MIN(MAX(Assumptions!$B$19*Assumptions!$B$18,'monthly revenue '!AA12*(1+Assumptions!$B$20)),Assumptions!$B$21),0)</f>
        <v>29.718947919567093</v>
      </c>
      <c r="AC12" s="86">
        <f>IF(AC$6&gt;0,MIN(MAX(Assumptions!$B$19*Assumptions!$B$18,'monthly revenue '!AB12*(1+Assumptions!$B$20)),Assumptions!$B$21),0)</f>
        <v>30.313326877958435</v>
      </c>
      <c r="AD12" s="86">
        <f>IF(AD$6&gt;0,MIN(MAX(Assumptions!$B$19*Assumptions!$B$18,'monthly revenue '!AC12*(1+Assumptions!$B$20)),Assumptions!$B$21),0)</f>
        <v>30.919593415517603</v>
      </c>
      <c r="AE12" s="86">
        <f>IF(AE$6&gt;0,MIN(MAX(Assumptions!$B$19*Assumptions!$B$18,'monthly revenue '!AD12*(1+Assumptions!$B$20)),Assumptions!$B$21),0)</f>
        <v>31.537985283827958</v>
      </c>
      <c r="AF12" s="86">
        <f>IF(AF$6&gt;0,MIN(MAX(Assumptions!$B$19*Assumptions!$B$18,'monthly revenue '!AE12*(1+Assumptions!$B$20)),Assumptions!$B$21),0)</f>
        <v>32.168744989504518</v>
      </c>
      <c r="AG12" s="86">
        <f>IF(AG$6&gt;0,MIN(MAX(Assumptions!$B$19*Assumptions!$B$18,'monthly revenue '!AF12*(1+Assumptions!$B$20)),Assumptions!$B$21),0)</f>
        <v>32.812119889294607</v>
      </c>
      <c r="AH12" s="86">
        <f>IF(AH$6&gt;0,MIN(MAX(Assumptions!$B$19*Assumptions!$B$18,'monthly revenue '!AG12*(1+Assumptions!$B$20)),Assumptions!$B$21),0)</f>
        <v>33.468362287080502</v>
      </c>
      <c r="AI12" s="86">
        <f>IF(AI$6&gt;0,MIN(MAX(Assumptions!$B$19*Assumptions!$B$18,'monthly revenue '!AH12*(1+Assumptions!$B$20)),Assumptions!$B$21),0)</f>
        <v>34.137729532822114</v>
      </c>
      <c r="AJ12" s="86">
        <f>IF(AJ$6&gt;0,MIN(MAX(Assumptions!$B$19*Assumptions!$B$18,'monthly revenue '!AI12*(1+Assumptions!$B$20)),Assumptions!$B$21),0)</f>
        <v>34.820484123478558</v>
      </c>
      <c r="AK12" s="86">
        <f>IF(AK$6&gt;0,MIN(MAX(Assumptions!$B$19*Assumptions!$B$18,'monthly revenue '!AJ12*(1+Assumptions!$B$20)),Assumptions!$B$21),0)</f>
        <v>35.516893805948129</v>
      </c>
      <c r="AL12" s="86">
        <f>IF(AL$6&gt;0,MIN(MAX(Assumptions!$B$19*Assumptions!$B$18,'monthly revenue '!AK12*(1+Assumptions!$B$20)),Assumptions!$B$21),0)</f>
        <v>36.227231682067092</v>
      </c>
      <c r="AM12" s="86">
        <f>IF(AM$6&gt;0,MIN(MAX(Assumptions!$B$19*Assumptions!$B$18,'monthly revenue '!AL12*(1+Assumptions!$B$20)),Assumptions!$B$21),0)</f>
        <v>36.951776315708436</v>
      </c>
      <c r="AN12" s="86">
        <f>IF(AN$6&gt;0,MIN(MAX(Assumptions!$B$19*Assumptions!$B$18,'monthly revenue '!AM12*(1+Assumptions!$B$20)),Assumptions!$B$21),0)</f>
        <v>37.690811842022605</v>
      </c>
    </row>
    <row r="13" spans="1:40" x14ac:dyDescent="0.25">
      <c r="A13" t="s">
        <v>111</v>
      </c>
      <c r="E13" s="86">
        <f>IF(E$6&gt;0,MIN(MAX(Assumptions!$F$19*Assumptions!$F$18,'monthly revenue '!D13*(1+Assumptions!$F$20)),Assumptions!$F$21),0)</f>
        <v>0</v>
      </c>
      <c r="F13" s="86">
        <f>IF(F$6&gt;0,MIN(MAX(Assumptions!$F$19*Assumptions!$F$18,'monthly revenue '!E13*(1+Assumptions!$F$20)),Assumptions!$F$21),0)</f>
        <v>0</v>
      </c>
      <c r="G13" s="86">
        <f>IF(G$6&gt;0,MIN(MAX(Assumptions!$F$19*Assumptions!$F$18,'monthly revenue '!F13*(1+Assumptions!$F$20)),Assumptions!$F$21),0)</f>
        <v>0</v>
      </c>
      <c r="H13" s="86">
        <f>IF(H$6&gt;0,MIN(MAX(Assumptions!$F$19*Assumptions!$F$18,'monthly revenue '!G13*(1+Assumptions!$F$20)),Assumptions!$F$21),0)</f>
        <v>26</v>
      </c>
      <c r="I13" s="86">
        <f>IF(I$6&gt;0,MIN(MAX(Assumptions!$F$19*Assumptions!$F$18,'monthly revenue '!H13*(1+Assumptions!$F$20)),Assumptions!$F$21),0)</f>
        <v>26.52</v>
      </c>
      <c r="J13" s="86">
        <f>IF(J$6&gt;0,MIN(MAX(Assumptions!$F$19*Assumptions!$F$18,'monthly revenue '!I13*(1+Assumptions!$F$20)),Assumptions!$F$21),0)</f>
        <v>27.0504</v>
      </c>
      <c r="K13" s="86">
        <f>IF(K$6&gt;0,MIN(MAX(Assumptions!$F$19*Assumptions!$F$18,'monthly revenue '!J13*(1+Assumptions!$F$20)),Assumptions!$F$21),0)</f>
        <v>27.591408000000001</v>
      </c>
      <c r="L13" s="86">
        <f>IF(L$6&gt;0,MIN(MAX(Assumptions!$F$19*Assumptions!$F$18,'monthly revenue '!K13*(1+Assumptions!$F$20)),Assumptions!$F$21),0)</f>
        <v>28.143236160000001</v>
      </c>
      <c r="M13" s="86">
        <f>IF(M$6&gt;0,MIN(MAX(Assumptions!$F$19*Assumptions!$F$18,'monthly revenue '!L13*(1+Assumptions!$F$20)),Assumptions!$F$21),0)</f>
        <v>28.706100883200001</v>
      </c>
      <c r="N13" s="86">
        <f>IF(N$6&gt;0,MIN(MAX(Assumptions!$F$19*Assumptions!$F$18,'monthly revenue '!M13*(1+Assumptions!$F$20)),Assumptions!$F$21),0)</f>
        <v>29.280222900864</v>
      </c>
      <c r="O13" s="86">
        <f>IF(O$6&gt;0,MIN(MAX(Assumptions!$F$19*Assumptions!$F$18,'monthly revenue '!N13*(1+Assumptions!$F$20)),Assumptions!$F$21),0)</f>
        <v>29.86582735888128</v>
      </c>
      <c r="P13" s="86">
        <f>IF(P$6&gt;0,MIN(MAX(Assumptions!$F$19*Assumptions!$F$18,'monthly revenue '!O13*(1+Assumptions!$F$20)),Assumptions!$F$21),0)</f>
        <v>30.463143906058907</v>
      </c>
      <c r="Q13" s="86">
        <f>IF(Q$6&gt;0,MIN(MAX(Assumptions!$F$19*Assumptions!$F$18,'monthly revenue '!P13*(1+Assumptions!$F$20)),Assumptions!$F$21),0)</f>
        <v>31.072406784180085</v>
      </c>
      <c r="R13" s="86">
        <f>IF(R$6&gt;0,MIN(MAX(Assumptions!$F$19*Assumptions!$F$18,'monthly revenue '!Q13*(1+Assumptions!$F$20)),Assumptions!$F$21),0)</f>
        <v>31.693854919863689</v>
      </c>
      <c r="S13" s="86">
        <f>IF(S$6&gt;0,MIN(MAX(Assumptions!$F$19*Assumptions!$F$18,'monthly revenue '!R13*(1+Assumptions!$F$20)),Assumptions!$F$21),0)</f>
        <v>32.32773201826096</v>
      </c>
      <c r="T13" s="86">
        <f>IF(T$6&gt;0,MIN(MAX(Assumptions!$F$19*Assumptions!$F$18,'monthly revenue '!S13*(1+Assumptions!$F$20)),Assumptions!$F$21),0)</f>
        <v>32.974286658626177</v>
      </c>
      <c r="U13" s="86">
        <f>IF(U$6&gt;0,MIN(MAX(Assumptions!$F$19*Assumptions!$F$18,'monthly revenue '!T13*(1+Assumptions!$F$20)),Assumptions!$F$21),0)</f>
        <v>33.633772391798701</v>
      </c>
      <c r="V13" s="86">
        <f>IF(V$6&gt;0,MIN(MAX(Assumptions!$F$19*Assumptions!$F$18,'monthly revenue '!U13*(1+Assumptions!$F$20)),Assumptions!$F$21),0)</f>
        <v>34.306447839634679</v>
      </c>
      <c r="W13" s="86">
        <f>IF(W$6&gt;0,MIN(MAX(Assumptions!$F$19*Assumptions!$F$18,'monthly revenue '!V13*(1+Assumptions!$F$20)),Assumptions!$F$21),0)</f>
        <v>34.992576796427372</v>
      </c>
      <c r="X13" s="86">
        <f>IF(X$6&gt;0,MIN(MAX(Assumptions!$F$19*Assumptions!$F$18,'monthly revenue '!W13*(1+Assumptions!$F$20)),Assumptions!$F$21),0)</f>
        <v>35.692428332355917</v>
      </c>
      <c r="Y13" s="86">
        <f>IF(Y$6&gt;0,MIN(MAX(Assumptions!$F$19*Assumptions!$F$18,'monthly revenue '!X13*(1+Assumptions!$F$20)),Assumptions!$F$21),0)</f>
        <v>36.406276899003032</v>
      </c>
      <c r="Z13" s="86">
        <f>IF(Z$6&gt;0,MIN(MAX(Assumptions!$F$19*Assumptions!$F$18,'monthly revenue '!Y13*(1+Assumptions!$F$20)),Assumptions!$F$21),0)</f>
        <v>37.134402436983095</v>
      </c>
      <c r="AA13" s="86">
        <f>IF(AA$6&gt;0,MIN(MAX(Assumptions!$F$19*Assumptions!$F$18,'monthly revenue '!Z13*(1+Assumptions!$F$20)),Assumptions!$F$21),0)</f>
        <v>37.877090485722761</v>
      </c>
      <c r="AB13" s="86">
        <f>IF(AB$6&gt;0,MIN(MAX(Assumptions!$F$19*Assumptions!$F$18,'monthly revenue '!AA13*(1+Assumptions!$F$20)),Assumptions!$F$21),0)</f>
        <v>38.634632295437214</v>
      </c>
      <c r="AC13" s="86">
        <f>IF(AC$6&gt;0,MIN(MAX(Assumptions!$F$19*Assumptions!$F$18,'monthly revenue '!AB13*(1+Assumptions!$F$20)),Assumptions!$F$21),0)</f>
        <v>39.407324941345962</v>
      </c>
      <c r="AD13" s="86">
        <f>IF(AD$6&gt;0,MIN(MAX(Assumptions!$F$19*Assumptions!$F$18,'monthly revenue '!AC13*(1+Assumptions!$F$20)),Assumptions!$F$21),0)</f>
        <v>40.195471440172881</v>
      </c>
      <c r="AE13" s="86">
        <f>IF(AE$6&gt;0,MIN(MAX(Assumptions!$F$19*Assumptions!$F$18,'monthly revenue '!AD13*(1+Assumptions!$F$20)),Assumptions!$F$21),0)</f>
        <v>40.999380868976338</v>
      </c>
      <c r="AF13" s="86">
        <f>IF(AF$6&gt;0,MIN(MAX(Assumptions!$F$19*Assumptions!$F$18,'monthly revenue '!AE13*(1+Assumptions!$F$20)),Assumptions!$F$21),0)</f>
        <v>41.819368486355863</v>
      </c>
      <c r="AG13" s="86">
        <f>IF(AG$6&gt;0,MIN(MAX(Assumptions!$F$19*Assumptions!$F$18,'monthly revenue '!AF13*(1+Assumptions!$F$20)),Assumptions!$F$21),0)</f>
        <v>42.655755856082983</v>
      </c>
      <c r="AH13" s="86">
        <f>IF(AH$6&gt;0,MIN(MAX(Assumptions!$F$19*Assumptions!$F$18,'monthly revenue '!AG13*(1+Assumptions!$F$20)),Assumptions!$F$21),0)</f>
        <v>43.508870973204644</v>
      </c>
      <c r="AI13" s="86">
        <f>IF(AI$6&gt;0,MIN(MAX(Assumptions!$F$19*Assumptions!$F$18,'monthly revenue '!AH13*(1+Assumptions!$F$20)),Assumptions!$F$21),0)</f>
        <v>44.379048392668736</v>
      </c>
      <c r="AJ13" s="86">
        <f>IF(AJ$6&gt;0,MIN(MAX(Assumptions!$F$19*Assumptions!$F$18,'monthly revenue '!AI13*(1+Assumptions!$F$20)),Assumptions!$F$21),0)</f>
        <v>45.26662936052211</v>
      </c>
      <c r="AK13" s="86">
        <f>IF(AK$6&gt;0,MIN(MAX(Assumptions!$F$19*Assumptions!$F$18,'monthly revenue '!AJ13*(1+Assumptions!$F$20)),Assumptions!$F$21),0)</f>
        <v>46.171961947732555</v>
      </c>
      <c r="AL13" s="86">
        <f>IF(AL$6&gt;0,MIN(MAX(Assumptions!$F$19*Assumptions!$F$18,'monthly revenue '!AK13*(1+Assumptions!$F$20)),Assumptions!$F$21),0)</f>
        <v>47.095401186687205</v>
      </c>
      <c r="AM13" s="86">
        <f>IF(AM$6&gt;0,MIN(MAX(Assumptions!$F$19*Assumptions!$F$18,'monthly revenue '!AL13*(1+Assumptions!$F$20)),Assumptions!$F$21),0)</f>
        <v>48.03730921042095</v>
      </c>
      <c r="AN13" s="86">
        <f>IF(AN$6&gt;0,MIN(MAX(Assumptions!$F$19*Assumptions!$F$18,'monthly revenue '!AM13*(1+Assumptions!$F$20)),Assumptions!$F$21),0)</f>
        <v>48.998055394629368</v>
      </c>
    </row>
    <row r="14" spans="1:40" x14ac:dyDescent="0.25">
      <c r="A14" t="s">
        <v>112</v>
      </c>
    </row>
    <row r="15" spans="1:40" x14ac:dyDescent="0.25">
      <c r="A15" s="152" t="s">
        <v>113</v>
      </c>
    </row>
    <row r="16" spans="1:40" x14ac:dyDescent="0.25">
      <c r="A16" t="s">
        <v>110</v>
      </c>
      <c r="E16" s="86">
        <f>IF(E$7&gt;0,MIN(MAX(Assumptions!$C$19*Assumptions!$C$18,'monthly revenue '!D16*(1+Assumptions!$C$20)),Assumptions!$C$21),0)</f>
        <v>0</v>
      </c>
      <c r="F16" s="86">
        <f>IF(F$7&gt;0,MIN(MAX(Assumptions!$C$19*Assumptions!$C$18,'monthly revenue '!E16*(1+Assumptions!$C$20)),Assumptions!$C$21),0)</f>
        <v>0</v>
      </c>
      <c r="G16" s="86">
        <f>IF(G$7&gt;0,MIN(MAX(Assumptions!$C$19*Assumptions!$C$18,'monthly revenue '!F16*(1+Assumptions!$C$20)),Assumptions!$C$21),0)</f>
        <v>0</v>
      </c>
      <c r="H16" s="86">
        <f>IF(H$7&gt;0,MIN(MAX(Assumptions!$C$19*Assumptions!$C$18,'monthly revenue '!G16*(1+Assumptions!$C$20)),Assumptions!$C$21),0)</f>
        <v>26</v>
      </c>
      <c r="I16" s="86">
        <f>IF(I$7&gt;0,MIN(MAX(Assumptions!$C$19*Assumptions!$C$18,'monthly revenue '!H16*(1+Assumptions!$C$20)),Assumptions!$C$21),0)</f>
        <v>27.04</v>
      </c>
      <c r="J16" s="86">
        <f>IF(J$7&gt;0,MIN(MAX(Assumptions!$C$19*Assumptions!$C$18,'monthly revenue '!I16*(1+Assumptions!$C$20)),Assumptions!$C$21),0)</f>
        <v>28.121600000000001</v>
      </c>
      <c r="K16" s="86">
        <f>IF(K$7&gt;0,MIN(MAX(Assumptions!$C$19*Assumptions!$C$18,'monthly revenue '!J16*(1+Assumptions!$C$20)),Assumptions!$C$21),0)</f>
        <v>29.246464000000003</v>
      </c>
      <c r="L16" s="86">
        <f>IF(L$7&gt;0,MIN(MAX(Assumptions!$C$19*Assumptions!$C$18,'monthly revenue '!K16*(1+Assumptions!$C$20)),Assumptions!$C$21),0)</f>
        <v>30.416322560000005</v>
      </c>
      <c r="M16" s="86">
        <f>IF(M$7&gt;0,MIN(MAX(Assumptions!$C$19*Assumptions!$C$18,'monthly revenue '!L16*(1+Assumptions!$C$20)),Assumptions!$C$21),0)</f>
        <v>31.632975462400005</v>
      </c>
      <c r="N16" s="86">
        <f>IF(N$7&gt;0,MIN(MAX(Assumptions!$C$19*Assumptions!$C$18,'monthly revenue '!M16*(1+Assumptions!$C$20)),Assumptions!$C$21),0)</f>
        <v>32.898294480896006</v>
      </c>
      <c r="O16" s="86">
        <f>IF(O$7&gt;0,MIN(MAX(Assumptions!$C$19*Assumptions!$C$18,'monthly revenue '!N16*(1+Assumptions!$C$20)),Assumptions!$C$21),0)</f>
        <v>34.214226260131845</v>
      </c>
      <c r="P16" s="86">
        <f>IF(P$7&gt;0,MIN(MAX(Assumptions!$C$19*Assumptions!$C$18,'monthly revenue '!O16*(1+Assumptions!$C$20)),Assumptions!$C$21),0)</f>
        <v>35.582795310537122</v>
      </c>
      <c r="Q16" s="86">
        <f>IF(Q$7&gt;0,MIN(MAX(Assumptions!$C$19*Assumptions!$C$18,'monthly revenue '!P16*(1+Assumptions!$C$20)),Assumptions!$C$21),0)</f>
        <v>37.00610712295861</v>
      </c>
      <c r="R16" s="86">
        <f>IF(R$7&gt;0,MIN(MAX(Assumptions!$C$19*Assumptions!$C$18,'monthly revenue '!Q16*(1+Assumptions!$C$20)),Assumptions!$C$21),0)</f>
        <v>38.48635140787696</v>
      </c>
      <c r="S16" s="86">
        <f>IF(S$7&gt;0,MIN(MAX(Assumptions!$C$19*Assumptions!$C$18,'monthly revenue '!R16*(1+Assumptions!$C$20)),Assumptions!$C$21),0)</f>
        <v>40.02580546419204</v>
      </c>
      <c r="T16" s="86">
        <f>IF(T$7&gt;0,MIN(MAX(Assumptions!$C$19*Assumptions!$C$18,'monthly revenue '!S16*(1+Assumptions!$C$20)),Assumptions!$C$21),0)</f>
        <v>41.626837682759721</v>
      </c>
      <c r="U16" s="86">
        <f>IF(U$7&gt;0,MIN(MAX(Assumptions!$C$19*Assumptions!$C$18,'monthly revenue '!T16*(1+Assumptions!$C$20)),Assumptions!$C$21),0)</f>
        <v>43.29191119007011</v>
      </c>
      <c r="V16" s="86">
        <f>IF(V$7&gt;0,MIN(MAX(Assumptions!$C$19*Assumptions!$C$18,'monthly revenue '!U16*(1+Assumptions!$C$20)),Assumptions!$C$21),0)</f>
        <v>45.023587637672918</v>
      </c>
      <c r="W16" s="86">
        <f>IF(W$7&gt;0,MIN(MAX(Assumptions!$C$19*Assumptions!$C$18,'monthly revenue '!V16*(1+Assumptions!$C$20)),Assumptions!$C$21),0)</f>
        <v>46.82453114317984</v>
      </c>
      <c r="X16" s="86">
        <f>IF(X$7&gt;0,MIN(MAX(Assumptions!$C$19*Assumptions!$C$18,'monthly revenue '!W16*(1+Assumptions!$C$20)),Assumptions!$C$21),0)</f>
        <v>48.697512388907036</v>
      </c>
      <c r="Y16" s="86">
        <f>IF(Y$7&gt;0,MIN(MAX(Assumptions!$C$19*Assumptions!$C$18,'monthly revenue '!X16*(1+Assumptions!$C$20)),Assumptions!$C$21),0)</f>
        <v>50.645412884463319</v>
      </c>
      <c r="Z16" s="86">
        <f>IF(Z$7&gt;0,MIN(MAX(Assumptions!$C$19*Assumptions!$C$18,'monthly revenue '!Y16*(1+Assumptions!$C$20)),Assumptions!$C$21),0)</f>
        <v>52.671229399841856</v>
      </c>
      <c r="AA16" s="86">
        <f>IF(AA$7&gt;0,MIN(MAX(Assumptions!$C$19*Assumptions!$C$18,'monthly revenue '!Z16*(1+Assumptions!$C$20)),Assumptions!$C$21),0)</f>
        <v>54.778078575835529</v>
      </c>
      <c r="AB16" s="86">
        <f>IF(AB$7&gt;0,MIN(MAX(Assumptions!$C$19*Assumptions!$C$18,'monthly revenue '!AA16*(1+Assumptions!$C$20)),Assumptions!$C$21),0)</f>
        <v>56.969201718868952</v>
      </c>
      <c r="AC16" s="86">
        <f>IF(AC$7&gt;0,MIN(MAX(Assumptions!$C$19*Assumptions!$C$18,'monthly revenue '!AB16*(1+Assumptions!$C$20)),Assumptions!$C$21),0)</f>
        <v>59.24796978762371</v>
      </c>
      <c r="AD16" s="86">
        <f>IF(AD$7&gt;0,MIN(MAX(Assumptions!$C$19*Assumptions!$C$18,'monthly revenue '!AC16*(1+Assumptions!$C$20)),Assumptions!$C$21),0)</f>
        <v>61.61788857912866</v>
      </c>
      <c r="AE16" s="86">
        <f>IF(AE$7&gt;0,MIN(MAX(Assumptions!$C$19*Assumptions!$C$18,'monthly revenue '!AD16*(1+Assumptions!$C$20)),Assumptions!$C$21),0)</f>
        <v>64.082604122293816</v>
      </c>
      <c r="AF16" s="86">
        <f>IF(AF$7&gt;0,MIN(MAX(Assumptions!$C$19*Assumptions!$C$18,'monthly revenue '!AE16*(1+Assumptions!$C$20)),Assumptions!$C$21),0)</f>
        <v>66.645908287185577</v>
      </c>
      <c r="AG16" s="86">
        <f>IF(AG$7&gt;0,MIN(MAX(Assumptions!$C$19*Assumptions!$C$18,'monthly revenue '!AF16*(1+Assumptions!$C$20)),Assumptions!$C$21),0)</f>
        <v>69.311744618673004</v>
      </c>
      <c r="AH16" s="86">
        <f>IF(AH$7&gt;0,MIN(MAX(Assumptions!$C$19*Assumptions!$C$18,'monthly revenue '!AG16*(1+Assumptions!$C$20)),Assumptions!$C$21),0)</f>
        <v>72.084214403419921</v>
      </c>
      <c r="AI16" s="86">
        <f>IF(AI$7&gt;0,MIN(MAX(Assumptions!$C$19*Assumptions!$C$18,'monthly revenue '!AH16*(1+Assumptions!$C$20)),Assumptions!$C$21),0)</f>
        <v>74.967582979556724</v>
      </c>
      <c r="AJ16" s="86">
        <f>IF(AJ$7&gt;0,MIN(MAX(Assumptions!$C$19*Assumptions!$C$18,'monthly revenue '!AI16*(1+Assumptions!$C$20)),Assumptions!$C$21),0)</f>
        <v>77.966286298738993</v>
      </c>
      <c r="AK16" s="86">
        <f>IF(AK$7&gt;0,MIN(MAX(Assumptions!$C$19*Assumptions!$C$18,'monthly revenue '!AJ16*(1+Assumptions!$C$20)),Assumptions!$C$21),0)</f>
        <v>80</v>
      </c>
      <c r="AL16" s="86">
        <f>IF(AL$7&gt;0,MIN(MAX(Assumptions!$C$19*Assumptions!$C$18,'monthly revenue '!AK16*(1+Assumptions!$C$20)),Assumptions!$C$21),0)</f>
        <v>80</v>
      </c>
      <c r="AM16" s="86">
        <f>IF(AM$7&gt;0,MIN(MAX(Assumptions!$C$19*Assumptions!$C$18,'monthly revenue '!AL16*(1+Assumptions!$C$20)),Assumptions!$C$21),0)</f>
        <v>80</v>
      </c>
      <c r="AN16" s="86">
        <f>IF(AN$7&gt;0,MIN(MAX(Assumptions!$C$19*Assumptions!$C$18,'monthly revenue '!AM16*(1+Assumptions!$C$20)),Assumptions!$C$21),0)</f>
        <v>80</v>
      </c>
    </row>
    <row r="17" spans="1:40" x14ac:dyDescent="0.25">
      <c r="A17" t="s">
        <v>111</v>
      </c>
      <c r="E17" s="86">
        <f>IF(E$7&gt;0,MIN(MAX(Assumptions!$G$19*Assumptions!$G$18,'monthly revenue '!D17*(1+Assumptions!$G$20)),Assumptions!$G$21),0)</f>
        <v>0</v>
      </c>
      <c r="F17" s="86">
        <f>IF(F$7&gt;0,MIN(MAX(Assumptions!$G$19*Assumptions!$G$18,'monthly revenue '!E17*(1+Assumptions!$G$20)),Assumptions!$G$21),0)</f>
        <v>0</v>
      </c>
      <c r="G17" s="86">
        <f>IF(G$7&gt;0,MIN(MAX(Assumptions!$G$19*Assumptions!$G$18,'monthly revenue '!F17*(1+Assumptions!$G$20)),Assumptions!$G$21),0)</f>
        <v>0</v>
      </c>
      <c r="H17" s="86">
        <f>IF(H$7&gt;0,MIN(MAX(Assumptions!$G$19*Assumptions!$G$18,'monthly revenue '!G17*(1+Assumptions!$G$20)),Assumptions!$G$21),0)</f>
        <v>30</v>
      </c>
      <c r="I17" s="86">
        <f>IF(I$7&gt;0,MIN(MAX(Assumptions!$G$19*Assumptions!$G$18,'monthly revenue '!H17*(1+Assumptions!$G$20)),Assumptions!$G$21),0)</f>
        <v>31.200000000000003</v>
      </c>
      <c r="J17" s="86">
        <f>IF(J$7&gt;0,MIN(MAX(Assumptions!$G$19*Assumptions!$G$18,'monthly revenue '!I17*(1+Assumptions!$G$20)),Assumptions!$G$21),0)</f>
        <v>32.448000000000008</v>
      </c>
      <c r="K17" s="86">
        <f>IF(K$7&gt;0,MIN(MAX(Assumptions!$G$19*Assumptions!$G$18,'monthly revenue '!J17*(1+Assumptions!$G$20)),Assumptions!$G$21),0)</f>
        <v>33.745920000000012</v>
      </c>
      <c r="L17" s="86">
        <f>IF(L$7&gt;0,MIN(MAX(Assumptions!$G$19*Assumptions!$G$18,'monthly revenue '!K17*(1+Assumptions!$G$20)),Assumptions!$G$21),0)</f>
        <v>35.095756800000011</v>
      </c>
      <c r="M17" s="86">
        <f>IF(M$7&gt;0,MIN(MAX(Assumptions!$G$19*Assumptions!$G$18,'monthly revenue '!L17*(1+Assumptions!$G$20)),Assumptions!$G$21),0)</f>
        <v>36.499587072000011</v>
      </c>
      <c r="N17" s="86">
        <f>IF(N$7&gt;0,MIN(MAX(Assumptions!$G$19*Assumptions!$G$18,'monthly revenue '!M17*(1+Assumptions!$G$20)),Assumptions!$G$21),0)</f>
        <v>37.95957055488001</v>
      </c>
      <c r="O17" s="86">
        <f>IF(O$7&gt;0,MIN(MAX(Assumptions!$G$19*Assumptions!$G$18,'monthly revenue '!N17*(1+Assumptions!$G$20)),Assumptions!$G$21),0)</f>
        <v>39.47795337707521</v>
      </c>
      <c r="P17" s="86">
        <f>IF(P$7&gt;0,MIN(MAX(Assumptions!$G$19*Assumptions!$G$18,'monthly revenue '!O17*(1+Assumptions!$G$20)),Assumptions!$G$21),0)</f>
        <v>41.057071512158217</v>
      </c>
      <c r="Q17" s="86">
        <f>IF(Q$7&gt;0,MIN(MAX(Assumptions!$G$19*Assumptions!$G$18,'monthly revenue '!P17*(1+Assumptions!$G$20)),Assumptions!$G$21),0)</f>
        <v>42.699354372644549</v>
      </c>
      <c r="R17" s="86">
        <f>IF(R$7&gt;0,MIN(MAX(Assumptions!$G$19*Assumptions!$G$18,'monthly revenue '!Q17*(1+Assumptions!$G$20)),Assumptions!$G$21),0)</f>
        <v>44.407328547550335</v>
      </c>
      <c r="S17" s="86">
        <f>IF(S$7&gt;0,MIN(MAX(Assumptions!$G$19*Assumptions!$G$18,'monthly revenue '!R17*(1+Assumptions!$G$20)),Assumptions!$G$21),0)</f>
        <v>46.183621689452352</v>
      </c>
      <c r="T17" s="86">
        <f>IF(T$7&gt;0,MIN(MAX(Assumptions!$G$19*Assumptions!$G$18,'monthly revenue '!S17*(1+Assumptions!$G$20)),Assumptions!$G$21),0)</f>
        <v>48.030966557030446</v>
      </c>
      <c r="U17" s="86">
        <f>IF(U$7&gt;0,MIN(MAX(Assumptions!$G$19*Assumptions!$G$18,'monthly revenue '!T17*(1+Assumptions!$G$20)),Assumptions!$G$21),0)</f>
        <v>49.952205219311665</v>
      </c>
      <c r="V17" s="86">
        <f>IF(V$7&gt;0,MIN(MAX(Assumptions!$G$19*Assumptions!$G$18,'monthly revenue '!U17*(1+Assumptions!$G$20)),Assumptions!$G$21),0)</f>
        <v>51.95029342808413</v>
      </c>
      <c r="W17" s="86">
        <f>IF(W$7&gt;0,MIN(MAX(Assumptions!$G$19*Assumptions!$G$18,'monthly revenue '!V17*(1+Assumptions!$G$20)),Assumptions!$G$21),0)</f>
        <v>54.028305165207499</v>
      </c>
      <c r="X17" s="86">
        <f>IF(X$7&gt;0,MIN(MAX(Assumptions!$G$19*Assumptions!$G$18,'monthly revenue '!W17*(1+Assumptions!$G$20)),Assumptions!$G$21),0)</f>
        <v>56.189437371815799</v>
      </c>
      <c r="Y17" s="86">
        <f>IF(Y$7&gt;0,MIN(MAX(Assumptions!$G$19*Assumptions!$G$18,'monthly revenue '!X17*(1+Assumptions!$G$20)),Assumptions!$G$21),0)</f>
        <v>58.437014866688436</v>
      </c>
      <c r="Z17" s="86">
        <f>IF(Z$7&gt;0,MIN(MAX(Assumptions!$G$19*Assumptions!$G$18,'monthly revenue '!Y17*(1+Assumptions!$G$20)),Assumptions!$G$21),0)</f>
        <v>60.774495461355976</v>
      </c>
      <c r="AA17" s="86">
        <f>IF(AA$7&gt;0,MIN(MAX(Assumptions!$G$19*Assumptions!$G$18,'monthly revenue '!Z17*(1+Assumptions!$G$20)),Assumptions!$G$21),0)</f>
        <v>63.205475279810216</v>
      </c>
      <c r="AB17" s="86">
        <f>IF(AB$7&gt;0,MIN(MAX(Assumptions!$G$19*Assumptions!$G$18,'monthly revenue '!AA17*(1+Assumptions!$G$20)),Assumptions!$G$21),0)</f>
        <v>65.733694291002621</v>
      </c>
      <c r="AC17" s="86">
        <f>IF(AC$7&gt;0,MIN(MAX(Assumptions!$G$19*Assumptions!$G$18,'monthly revenue '!AB17*(1+Assumptions!$G$20)),Assumptions!$G$21),0)</f>
        <v>68.363042062642734</v>
      </c>
      <c r="AD17" s="86">
        <f>IF(AD$7&gt;0,MIN(MAX(Assumptions!$G$19*Assumptions!$G$18,'monthly revenue '!AC17*(1+Assumptions!$G$20)),Assumptions!$G$21),0)</f>
        <v>71.097563745148449</v>
      </c>
      <c r="AE17" s="86">
        <f>IF(AE$7&gt;0,MIN(MAX(Assumptions!$G$19*Assumptions!$G$18,'monthly revenue '!AD17*(1+Assumptions!$G$20)),Assumptions!$G$21),0)</f>
        <v>73.941466294954395</v>
      </c>
      <c r="AF17" s="86">
        <f>IF(AF$7&gt;0,MIN(MAX(Assumptions!$G$19*Assumptions!$G$18,'monthly revenue '!AE17*(1+Assumptions!$G$20)),Assumptions!$G$21),0)</f>
        <v>76.899124946752579</v>
      </c>
      <c r="AG17" s="86">
        <f>IF(AG$7&gt;0,MIN(MAX(Assumptions!$G$19*Assumptions!$G$18,'monthly revenue '!AF17*(1+Assumptions!$G$20)),Assumptions!$G$21),0)</f>
        <v>79.975089944622681</v>
      </c>
      <c r="AH17" s="86">
        <f>IF(AH$7&gt;0,MIN(MAX(Assumptions!$G$19*Assumptions!$G$18,'monthly revenue '!AG17*(1+Assumptions!$G$20)),Assumptions!$G$21),0)</f>
        <v>83.17409354240759</v>
      </c>
      <c r="AI17" s="86">
        <f>IF(AI$7&gt;0,MIN(MAX(Assumptions!$G$19*Assumptions!$G$18,'monthly revenue '!AH17*(1+Assumptions!$G$20)),Assumptions!$G$21),0)</f>
        <v>86.501057284103894</v>
      </c>
      <c r="AJ17" s="86">
        <f>IF(AJ$7&gt;0,MIN(MAX(Assumptions!$G$19*Assumptions!$G$18,'monthly revenue '!AI17*(1+Assumptions!$G$20)),Assumptions!$G$21),0)</f>
        <v>89.961099575468054</v>
      </c>
      <c r="AK17" s="86">
        <f>IF(AK$7&gt;0,MIN(MAX(Assumptions!$G$19*Assumptions!$G$18,'monthly revenue '!AJ17*(1+Assumptions!$G$20)),Assumptions!$G$21),0)</f>
        <v>90</v>
      </c>
      <c r="AL17" s="86">
        <f>IF(AL$7&gt;0,MIN(MAX(Assumptions!$G$19*Assumptions!$G$18,'monthly revenue '!AK17*(1+Assumptions!$G$20)),Assumptions!$G$21),0)</f>
        <v>90</v>
      </c>
      <c r="AM17" s="86">
        <f>IF(AM$7&gt;0,MIN(MAX(Assumptions!$G$19*Assumptions!$G$18,'monthly revenue '!AL17*(1+Assumptions!$G$20)),Assumptions!$G$21),0)</f>
        <v>90</v>
      </c>
      <c r="AN17" s="86">
        <f>IF(AN$7&gt;0,MIN(MAX(Assumptions!$G$19*Assumptions!$G$18,'monthly revenue '!AM17*(1+Assumptions!$G$20)),Assumptions!$G$21),0)</f>
        <v>90</v>
      </c>
    </row>
    <row r="19" spans="1:40" x14ac:dyDescent="0.25">
      <c r="A19" s="97" t="s">
        <v>5</v>
      </c>
    </row>
    <row r="20" spans="1:40" x14ac:dyDescent="0.25">
      <c r="A20" s="97"/>
    </row>
    <row r="21" spans="1:40" x14ac:dyDescent="0.25">
      <c r="A21" s="153" t="s">
        <v>109</v>
      </c>
    </row>
    <row r="22" spans="1:40" x14ac:dyDescent="0.25">
      <c r="A22" s="89" t="s">
        <v>110</v>
      </c>
    </row>
    <row r="23" spans="1:40" x14ac:dyDescent="0.25">
      <c r="A23" s="145" t="s">
        <v>6</v>
      </c>
      <c r="E23" s="86">
        <f>IF(MOD(E$3,12)=4,MAX(D23*(1+Assumptions!$B$14),Assumptions!$B$11),'monthly revenue '!D23)</f>
        <v>0</v>
      </c>
      <c r="F23" s="86">
        <f>IF(MOD(F$3,12)=4,MAX(E23*(1+Assumptions!$B$14),Assumptions!$B$11),'monthly revenue '!E23)</f>
        <v>0</v>
      </c>
      <c r="G23" s="86">
        <f>IF(MOD(G$3,12)=4,MAX(F23*(1+Assumptions!$B$14),Assumptions!$B$11),'monthly revenue '!F23)</f>
        <v>0</v>
      </c>
      <c r="H23" s="86">
        <f>IF(MOD(H$3,12)=4,MAX(G23*(1+Assumptions!$B$14),Assumptions!$B$11),'monthly revenue '!G23)</f>
        <v>400</v>
      </c>
      <c r="I23" s="86">
        <f>IF(MOD(I$3,12)=4,MAX(H23*(1+Assumptions!$B$14),Assumptions!$B$11),'monthly revenue '!H23)</f>
        <v>400</v>
      </c>
      <c r="J23" s="86">
        <f>IF(MOD(J$3,12)=4,MAX(I23*(1+Assumptions!$B$14),Assumptions!$B$11),'monthly revenue '!I23)</f>
        <v>400</v>
      </c>
      <c r="K23" s="86">
        <f>IF(MOD(K$3,12)=4,MAX(J23*(1+Assumptions!$B$14),Assumptions!$B$11),'monthly revenue '!J23)</f>
        <v>400</v>
      </c>
      <c r="L23" s="86">
        <f>IF(MOD(L$3,12)=4,MAX(K23*(1+Assumptions!$B$14),Assumptions!$B$11),'monthly revenue '!K23)</f>
        <v>400</v>
      </c>
      <c r="M23" s="86">
        <f>IF(MOD(M$3,12)=4,MAX(L23*(1+Assumptions!$B$14),Assumptions!$B$11),'monthly revenue '!L23)</f>
        <v>400</v>
      </c>
      <c r="N23" s="86">
        <f>IF(MOD(N$3,12)=4,MAX(M23*(1+Assumptions!$B$14),Assumptions!$B$11),'monthly revenue '!M23)</f>
        <v>400</v>
      </c>
      <c r="O23" s="86">
        <f>IF(MOD(O$3,12)=4,MAX(N23*(1+Assumptions!$B$14),Assumptions!$B$11),'monthly revenue '!N23)</f>
        <v>400</v>
      </c>
      <c r="P23" s="86">
        <f>IF(MOD(P$3,12)=4,MAX(O23*(1+Assumptions!$B$14),Assumptions!$B$11),'monthly revenue '!O23)</f>
        <v>400</v>
      </c>
      <c r="Q23" s="86">
        <f>IF(MOD(Q$3,12)=4,MAX(P23*(1+Assumptions!$B$14),Assumptions!$B$11),'monthly revenue '!P23)</f>
        <v>400</v>
      </c>
      <c r="R23" s="86">
        <f>IF(MOD(R$3,12)=4,MAX(Q23*(1+Assumptions!$B$14),Assumptions!$B$11),'monthly revenue '!Q23)</f>
        <v>400</v>
      </c>
      <c r="S23" s="86">
        <f>IF(MOD(S$3,12)=4,MAX(R23*(1+Assumptions!$B$14),Assumptions!$B$11),'monthly revenue '!R23)</f>
        <v>400</v>
      </c>
      <c r="T23" s="86">
        <f>IF(MOD(T$3,12)=4,MAX(S23*(1+Assumptions!$B$14),Assumptions!$B$11),'monthly revenue '!S23)</f>
        <v>420</v>
      </c>
      <c r="U23" s="86">
        <f>IF(MOD(U$3,12)=4,MAX(T23*(1+Assumptions!$B$14),Assumptions!$B$11),'monthly revenue '!T23)</f>
        <v>420</v>
      </c>
      <c r="V23" s="86">
        <f>IF(MOD(V$3,12)=4,MAX(U23*(1+Assumptions!$B$14),Assumptions!$B$11),'monthly revenue '!U23)</f>
        <v>420</v>
      </c>
      <c r="W23" s="86">
        <f>IF(MOD(W$3,12)=4,MAX(V23*(1+Assumptions!$B$14),Assumptions!$B$11),'monthly revenue '!V23)</f>
        <v>420</v>
      </c>
      <c r="X23" s="86">
        <f>IF(MOD(X$3,12)=4,MAX(W23*(1+Assumptions!$B$14),Assumptions!$B$11),'monthly revenue '!W23)</f>
        <v>420</v>
      </c>
      <c r="Y23" s="86">
        <f>IF(MOD(Y$3,12)=4,MAX(X23*(1+Assumptions!$B$14),Assumptions!$B$11),'monthly revenue '!X23)</f>
        <v>420</v>
      </c>
      <c r="Z23" s="86">
        <f>IF(MOD(Z$3,12)=4,MAX(Y23*(1+Assumptions!$B$14),Assumptions!$B$11),'monthly revenue '!Y23)</f>
        <v>420</v>
      </c>
      <c r="AA23" s="86">
        <f>IF(MOD(AA$3,12)=4,MAX(Z23*(1+Assumptions!$B$14),Assumptions!$B$11),'monthly revenue '!Z23)</f>
        <v>420</v>
      </c>
      <c r="AB23" s="86">
        <f>IF(MOD(AB$3,12)=4,MAX(AA23*(1+Assumptions!$B$14),Assumptions!$B$11),'monthly revenue '!AA23)</f>
        <v>420</v>
      </c>
      <c r="AC23" s="86">
        <f>IF(MOD(AC$3,12)=4,MAX(AB23*(1+Assumptions!$B$14),Assumptions!$B$11),'monthly revenue '!AB23)</f>
        <v>420</v>
      </c>
      <c r="AD23" s="86">
        <f>IF(MOD(AD$3,12)=4,MAX(AC23*(1+Assumptions!$B$14),Assumptions!$B$11),'monthly revenue '!AC23)</f>
        <v>420</v>
      </c>
      <c r="AE23" s="86">
        <f>IF(MOD(AE$3,12)=4,MAX(AD23*(1+Assumptions!$B$14),Assumptions!$B$11),'monthly revenue '!AD23)</f>
        <v>420</v>
      </c>
      <c r="AF23" s="86">
        <f>IF(MOD(AF$3,12)=4,MAX(AE23*(1+Assumptions!$B$14),Assumptions!$B$11),'monthly revenue '!AE23)</f>
        <v>441</v>
      </c>
      <c r="AG23" s="86">
        <f>IF(MOD(AG$3,12)=4,MAX(AF23*(1+Assumptions!$B$14),Assumptions!$B$11),'monthly revenue '!AF23)</f>
        <v>441</v>
      </c>
      <c r="AH23" s="86">
        <f>IF(MOD(AH$3,12)=4,MAX(AG23*(1+Assumptions!$B$14),Assumptions!$B$11),'monthly revenue '!AG23)</f>
        <v>441</v>
      </c>
      <c r="AI23" s="86">
        <f>IF(MOD(AI$3,12)=4,MAX(AH23*(1+Assumptions!$B$14),Assumptions!$B$11),'monthly revenue '!AH23)</f>
        <v>441</v>
      </c>
      <c r="AJ23" s="86">
        <f>IF(MOD(AJ$3,12)=4,MAX(AI23*(1+Assumptions!$B$14),Assumptions!$B$11),'monthly revenue '!AI23)</f>
        <v>441</v>
      </c>
      <c r="AK23" s="86">
        <f>IF(MOD(AK$3,12)=4,MAX(AJ23*(1+Assumptions!$B$14),Assumptions!$B$11),'monthly revenue '!AJ23)</f>
        <v>441</v>
      </c>
      <c r="AL23" s="86">
        <f>IF(MOD(AL$3,12)=4,MAX(AK23*(1+Assumptions!$B$14),Assumptions!$B$11),'monthly revenue '!AK23)</f>
        <v>441</v>
      </c>
      <c r="AM23" s="86">
        <f>IF(MOD(AM$3,12)=4,MAX(AL23*(1+Assumptions!$B$14),Assumptions!$B$11),'monthly revenue '!AL23)</f>
        <v>441</v>
      </c>
      <c r="AN23" s="86">
        <f>IF(MOD(AN$3,12)=4,MAX(AM23*(1+Assumptions!$B$14),Assumptions!$B$11),'monthly revenue '!AM23)</f>
        <v>441</v>
      </c>
    </row>
    <row r="24" spans="1:40" x14ac:dyDescent="0.25">
      <c r="A24" s="145" t="s">
        <v>7</v>
      </c>
      <c r="E24" s="86">
        <f>IF(MOD(E$3,12)=4,MAX(D24*(1+Assumptions!$B$14),Assumptions!$B$12),'monthly revenue '!D24)</f>
        <v>0</v>
      </c>
      <c r="F24" s="86">
        <f>IF(MOD(F$3,12)=4,MAX(E24*(1+Assumptions!$B$14),Assumptions!$B$12),'monthly revenue '!E24)</f>
        <v>0</v>
      </c>
      <c r="G24" s="86">
        <f>IF(MOD(G$3,12)=4,MAX(F24*(1+Assumptions!$B$14),Assumptions!$B$12),'monthly revenue '!F24)</f>
        <v>0</v>
      </c>
      <c r="H24" s="86">
        <f>IF(MOD(H$3,12)=4,MAX(G24*(1+Assumptions!$B$14),Assumptions!$B$12),'monthly revenue '!G24)</f>
        <v>300</v>
      </c>
      <c r="I24" s="86">
        <f>IF(MOD(I$3,12)=4,MAX(H24*(1+Assumptions!$B$14),Assumptions!$B$12),'monthly revenue '!H24)</f>
        <v>300</v>
      </c>
      <c r="J24" s="86">
        <f>IF(MOD(J$3,12)=4,MAX(I24*(1+Assumptions!$B$14),Assumptions!$B$12),'monthly revenue '!I24)</f>
        <v>300</v>
      </c>
      <c r="K24" s="86">
        <f>IF(MOD(K$3,12)=4,MAX(J24*(1+Assumptions!$B$14),Assumptions!$B$12),'monthly revenue '!J24)</f>
        <v>300</v>
      </c>
      <c r="L24" s="86">
        <f>IF(MOD(L$3,12)=4,MAX(K24*(1+Assumptions!$B$14),Assumptions!$B$12),'monthly revenue '!K24)</f>
        <v>300</v>
      </c>
      <c r="M24" s="86">
        <f>IF(MOD(M$3,12)=4,MAX(L24*(1+Assumptions!$B$14),Assumptions!$B$12),'monthly revenue '!L24)</f>
        <v>300</v>
      </c>
      <c r="N24" s="86">
        <f>IF(MOD(N$3,12)=4,MAX(M24*(1+Assumptions!$B$14),Assumptions!$B$12),'monthly revenue '!M24)</f>
        <v>300</v>
      </c>
      <c r="O24" s="86">
        <f>IF(MOD(O$3,12)=4,MAX(N24*(1+Assumptions!$B$14),Assumptions!$B$12),'monthly revenue '!N24)</f>
        <v>300</v>
      </c>
      <c r="P24" s="86">
        <f>IF(MOD(P$3,12)=4,MAX(O24*(1+Assumptions!$B$14),Assumptions!$B$12),'monthly revenue '!O24)</f>
        <v>300</v>
      </c>
      <c r="Q24" s="86">
        <f>IF(MOD(Q$3,12)=4,MAX(P24*(1+Assumptions!$B$14),Assumptions!$B$12),'monthly revenue '!P24)</f>
        <v>300</v>
      </c>
      <c r="R24" s="86">
        <f>IF(MOD(R$3,12)=4,MAX(Q24*(1+Assumptions!$B$14),Assumptions!$B$12),'monthly revenue '!Q24)</f>
        <v>300</v>
      </c>
      <c r="S24" s="86">
        <f>IF(MOD(S$3,12)=4,MAX(R24*(1+Assumptions!$B$14),Assumptions!$B$12),'monthly revenue '!R24)</f>
        <v>300</v>
      </c>
      <c r="T24" s="86">
        <f>IF(MOD(T$3,12)=4,MAX(S24*(1+Assumptions!$B$14),Assumptions!$B$12),'monthly revenue '!S24)</f>
        <v>315</v>
      </c>
      <c r="U24" s="86">
        <f>IF(MOD(U$3,12)=4,MAX(T24*(1+Assumptions!$B$14),Assumptions!$B$12),'monthly revenue '!T24)</f>
        <v>315</v>
      </c>
      <c r="V24" s="86">
        <f>IF(MOD(V$3,12)=4,MAX(U24*(1+Assumptions!$B$14),Assumptions!$B$12),'monthly revenue '!U24)</f>
        <v>315</v>
      </c>
      <c r="W24" s="86">
        <f>IF(MOD(W$3,12)=4,MAX(V24*(1+Assumptions!$B$14),Assumptions!$B$12),'monthly revenue '!V24)</f>
        <v>315</v>
      </c>
      <c r="X24" s="86">
        <f>IF(MOD(X$3,12)=4,MAX(W24*(1+Assumptions!$B$14),Assumptions!$B$12),'monthly revenue '!W24)</f>
        <v>315</v>
      </c>
      <c r="Y24" s="86">
        <f>IF(MOD(Y$3,12)=4,MAX(X24*(1+Assumptions!$B$14),Assumptions!$B$12),'monthly revenue '!X24)</f>
        <v>315</v>
      </c>
      <c r="Z24" s="86">
        <f>IF(MOD(Z$3,12)=4,MAX(Y24*(1+Assumptions!$B$14),Assumptions!$B$12),'monthly revenue '!Y24)</f>
        <v>315</v>
      </c>
      <c r="AA24" s="86">
        <f>IF(MOD(AA$3,12)=4,MAX(Z24*(1+Assumptions!$B$14),Assumptions!$B$12),'monthly revenue '!Z24)</f>
        <v>315</v>
      </c>
      <c r="AB24" s="86">
        <f>IF(MOD(AB$3,12)=4,MAX(AA24*(1+Assumptions!$B$14),Assumptions!$B$12),'monthly revenue '!AA24)</f>
        <v>315</v>
      </c>
      <c r="AC24" s="86">
        <f>IF(MOD(AC$3,12)=4,MAX(AB24*(1+Assumptions!$B$14),Assumptions!$B$12),'monthly revenue '!AB24)</f>
        <v>315</v>
      </c>
      <c r="AD24" s="86">
        <f>IF(MOD(AD$3,12)=4,MAX(AC24*(1+Assumptions!$B$14),Assumptions!$B$12),'monthly revenue '!AC24)</f>
        <v>315</v>
      </c>
      <c r="AE24" s="86">
        <f>IF(MOD(AE$3,12)=4,MAX(AD24*(1+Assumptions!$B$14),Assumptions!$B$12),'monthly revenue '!AD24)</f>
        <v>315</v>
      </c>
      <c r="AF24" s="86">
        <f>IF(MOD(AF$3,12)=4,MAX(AE24*(1+Assumptions!$B$14),Assumptions!$B$12),'monthly revenue '!AE24)</f>
        <v>330.75</v>
      </c>
      <c r="AG24" s="86">
        <f>IF(MOD(AG$3,12)=4,MAX(AF24*(1+Assumptions!$B$14),Assumptions!$B$12),'monthly revenue '!AF24)</f>
        <v>330.75</v>
      </c>
      <c r="AH24" s="86">
        <f>IF(MOD(AH$3,12)=4,MAX(AG24*(1+Assumptions!$B$14),Assumptions!$B$12),'monthly revenue '!AG24)</f>
        <v>330.75</v>
      </c>
      <c r="AI24" s="86">
        <f>IF(MOD(AI$3,12)=4,MAX(AH24*(1+Assumptions!$B$14),Assumptions!$B$12),'monthly revenue '!AH24)</f>
        <v>330.75</v>
      </c>
      <c r="AJ24" s="86">
        <f>IF(MOD(AJ$3,12)=4,MAX(AI24*(1+Assumptions!$B$14),Assumptions!$B$12),'monthly revenue '!AI24)</f>
        <v>330.75</v>
      </c>
      <c r="AK24" s="86">
        <f>IF(MOD(AK$3,12)=4,MAX(AJ24*(1+Assumptions!$B$14),Assumptions!$B$12),'monthly revenue '!AJ24)</f>
        <v>330.75</v>
      </c>
      <c r="AL24" s="86">
        <f>IF(MOD(AL$3,12)=4,MAX(AK24*(1+Assumptions!$B$14),Assumptions!$B$12),'monthly revenue '!AK24)</f>
        <v>330.75</v>
      </c>
      <c r="AM24" s="86">
        <f>IF(MOD(AM$3,12)=4,MAX(AL24*(1+Assumptions!$B$14),Assumptions!$B$12),'monthly revenue '!AL24)</f>
        <v>330.75</v>
      </c>
      <c r="AN24" s="86">
        <f>IF(MOD(AN$3,12)=4,MAX(AM24*(1+Assumptions!$B$14),Assumptions!$B$12),'monthly revenue '!AM24)</f>
        <v>330.75</v>
      </c>
    </row>
    <row r="25" spans="1:40" x14ac:dyDescent="0.25">
      <c r="A25" s="145" t="s">
        <v>8</v>
      </c>
      <c r="E25" s="86">
        <f>IF(MOD(E$3,12)=4,MAX(D25*(1+Assumptions!$B$14),Assumptions!$B$13),'monthly revenue '!D25)</f>
        <v>0</v>
      </c>
      <c r="F25" s="86">
        <f>IF(MOD(F$3,12)=4,MAX(E25*(1+Assumptions!$B$14),Assumptions!$B$13),'monthly revenue '!E25)</f>
        <v>0</v>
      </c>
      <c r="G25" s="86">
        <f>IF(MOD(G$3,12)=4,MAX(F25*(1+Assumptions!$B$14),Assumptions!$B$13),'monthly revenue '!F25)</f>
        <v>0</v>
      </c>
      <c r="H25" s="86">
        <f>IF(MOD(H$3,12)=4,MAX(G25*(1+Assumptions!$B$14),Assumptions!$B$13),'monthly revenue '!G25)</f>
        <v>1200</v>
      </c>
      <c r="I25" s="86">
        <f>IF(MOD(I$3,12)=4,MAX(H25*(1+Assumptions!$B$14),Assumptions!$B$13),'monthly revenue '!H25)</f>
        <v>1200</v>
      </c>
      <c r="J25" s="86">
        <f>IF(MOD(J$3,12)=4,MAX(I25*(1+Assumptions!$B$14),Assumptions!$B$13),'monthly revenue '!I25)</f>
        <v>1200</v>
      </c>
      <c r="K25" s="86">
        <f>IF(MOD(K$3,12)=4,MAX(J25*(1+Assumptions!$B$14),Assumptions!$B$13),'monthly revenue '!J25)</f>
        <v>1200</v>
      </c>
      <c r="L25" s="86">
        <f>IF(MOD(L$3,12)=4,MAX(K25*(1+Assumptions!$B$14),Assumptions!$B$13),'monthly revenue '!K25)</f>
        <v>1200</v>
      </c>
      <c r="M25" s="86">
        <f>IF(MOD(M$3,12)=4,MAX(L25*(1+Assumptions!$B$14),Assumptions!$B$13),'monthly revenue '!L25)</f>
        <v>1200</v>
      </c>
      <c r="N25" s="86">
        <f>IF(MOD(N$3,12)=4,MAX(M25*(1+Assumptions!$B$14),Assumptions!$B$13),'monthly revenue '!M25)</f>
        <v>1200</v>
      </c>
      <c r="O25" s="86">
        <f>IF(MOD(O$3,12)=4,MAX(N25*(1+Assumptions!$B$14),Assumptions!$B$13),'monthly revenue '!N25)</f>
        <v>1200</v>
      </c>
      <c r="P25" s="86">
        <f>IF(MOD(P$3,12)=4,MAX(O25*(1+Assumptions!$B$14),Assumptions!$B$13),'monthly revenue '!O25)</f>
        <v>1200</v>
      </c>
      <c r="Q25" s="86">
        <f>IF(MOD(Q$3,12)=4,MAX(P25*(1+Assumptions!$B$14),Assumptions!$B$13),'monthly revenue '!P25)</f>
        <v>1200</v>
      </c>
      <c r="R25" s="86">
        <f>IF(MOD(R$3,12)=4,MAX(Q25*(1+Assumptions!$B$14),Assumptions!$B$13),'monthly revenue '!Q25)</f>
        <v>1200</v>
      </c>
      <c r="S25" s="86">
        <f>IF(MOD(S$3,12)=4,MAX(R25*(1+Assumptions!$B$14),Assumptions!$B$13),'monthly revenue '!R25)</f>
        <v>1200</v>
      </c>
      <c r="T25" s="86">
        <f>IF(MOD(T$3,12)=4,MAX(S25*(1+Assumptions!$B$14),Assumptions!$B$13),'monthly revenue '!S25)</f>
        <v>1260</v>
      </c>
      <c r="U25" s="86">
        <f>IF(MOD(U$3,12)=4,MAX(T25*(1+Assumptions!$B$14),Assumptions!$B$13),'monthly revenue '!T25)</f>
        <v>1260</v>
      </c>
      <c r="V25" s="86">
        <f>IF(MOD(V$3,12)=4,MAX(U25*(1+Assumptions!$B$14),Assumptions!$B$13),'monthly revenue '!U25)</f>
        <v>1260</v>
      </c>
      <c r="W25" s="86">
        <f>IF(MOD(W$3,12)=4,MAX(V25*(1+Assumptions!$B$14),Assumptions!$B$13),'monthly revenue '!V25)</f>
        <v>1260</v>
      </c>
      <c r="X25" s="86">
        <f>IF(MOD(X$3,12)=4,MAX(W25*(1+Assumptions!$B$14),Assumptions!$B$13),'monthly revenue '!W25)</f>
        <v>1260</v>
      </c>
      <c r="Y25" s="86">
        <f>IF(MOD(Y$3,12)=4,MAX(X25*(1+Assumptions!$B$14),Assumptions!$B$13),'monthly revenue '!X25)</f>
        <v>1260</v>
      </c>
      <c r="Z25" s="86">
        <f>IF(MOD(Z$3,12)=4,MAX(Y25*(1+Assumptions!$B$14),Assumptions!$B$13),'monthly revenue '!Y25)</f>
        <v>1260</v>
      </c>
      <c r="AA25" s="86">
        <f>IF(MOD(AA$3,12)=4,MAX(Z25*(1+Assumptions!$B$14),Assumptions!$B$13),'monthly revenue '!Z25)</f>
        <v>1260</v>
      </c>
      <c r="AB25" s="86">
        <f>IF(MOD(AB$3,12)=4,MAX(AA25*(1+Assumptions!$B$14),Assumptions!$B$13),'monthly revenue '!AA25)</f>
        <v>1260</v>
      </c>
      <c r="AC25" s="86">
        <f>IF(MOD(AC$3,12)=4,MAX(AB25*(1+Assumptions!$B$14),Assumptions!$B$13),'monthly revenue '!AB25)</f>
        <v>1260</v>
      </c>
      <c r="AD25" s="86">
        <f>IF(MOD(AD$3,12)=4,MAX(AC25*(1+Assumptions!$B$14),Assumptions!$B$13),'monthly revenue '!AC25)</f>
        <v>1260</v>
      </c>
      <c r="AE25" s="86">
        <f>IF(MOD(AE$3,12)=4,MAX(AD25*(1+Assumptions!$B$14),Assumptions!$B$13),'monthly revenue '!AD25)</f>
        <v>1260</v>
      </c>
      <c r="AF25" s="86">
        <f>IF(MOD(AF$3,12)=4,MAX(AE25*(1+Assumptions!$B$14),Assumptions!$B$13),'monthly revenue '!AE25)</f>
        <v>1323</v>
      </c>
      <c r="AG25" s="86">
        <f>IF(MOD(AG$3,12)=4,MAX(AF25*(1+Assumptions!$B$14),Assumptions!$B$13),'monthly revenue '!AF25)</f>
        <v>1323</v>
      </c>
      <c r="AH25" s="86">
        <f>IF(MOD(AH$3,12)=4,MAX(AG25*(1+Assumptions!$B$14),Assumptions!$B$13),'monthly revenue '!AG25)</f>
        <v>1323</v>
      </c>
      <c r="AI25" s="86">
        <f>IF(MOD(AI$3,12)=4,MAX(AH25*(1+Assumptions!$B$14),Assumptions!$B$13),'monthly revenue '!AH25)</f>
        <v>1323</v>
      </c>
      <c r="AJ25" s="86">
        <f>IF(MOD(AJ$3,12)=4,MAX(AI25*(1+Assumptions!$B$14),Assumptions!$B$13),'monthly revenue '!AI25)</f>
        <v>1323</v>
      </c>
      <c r="AK25" s="86">
        <f>IF(MOD(AK$3,12)=4,MAX(AJ25*(1+Assumptions!$B$14),Assumptions!$B$13),'monthly revenue '!AJ25)</f>
        <v>1323</v>
      </c>
      <c r="AL25" s="86">
        <f>IF(MOD(AL$3,12)=4,MAX(AK25*(1+Assumptions!$B$14),Assumptions!$B$13),'monthly revenue '!AK25)</f>
        <v>1323</v>
      </c>
      <c r="AM25" s="86">
        <f>IF(MOD(AM$3,12)=4,MAX(AL25*(1+Assumptions!$B$14),Assumptions!$B$13),'monthly revenue '!AL25)</f>
        <v>1323</v>
      </c>
      <c r="AN25" s="86">
        <f>IF(MOD(AN$3,12)=4,MAX(AM25*(1+Assumptions!$B$14),Assumptions!$B$13),'monthly revenue '!AM25)</f>
        <v>1323</v>
      </c>
    </row>
    <row r="26" spans="1:40" x14ac:dyDescent="0.25">
      <c r="A26" s="156" t="s">
        <v>54</v>
      </c>
      <c r="B26" s="149"/>
      <c r="C26" s="149"/>
      <c r="D26" s="149"/>
      <c r="E26" s="150">
        <f>SUM(E23:E25)</f>
        <v>0</v>
      </c>
      <c r="F26" s="150">
        <f t="shared" ref="F26:AN26" si="53">SUM(F23:F25)</f>
        <v>0</v>
      </c>
      <c r="G26" s="150">
        <f t="shared" si="53"/>
        <v>0</v>
      </c>
      <c r="H26" s="150">
        <f t="shared" si="53"/>
        <v>1900</v>
      </c>
      <c r="I26" s="150">
        <f t="shared" si="53"/>
        <v>1900</v>
      </c>
      <c r="J26" s="150">
        <f t="shared" si="53"/>
        <v>1900</v>
      </c>
      <c r="K26" s="150">
        <f t="shared" si="53"/>
        <v>1900</v>
      </c>
      <c r="L26" s="150">
        <f t="shared" si="53"/>
        <v>1900</v>
      </c>
      <c r="M26" s="150">
        <f t="shared" si="53"/>
        <v>1900</v>
      </c>
      <c r="N26" s="150">
        <f t="shared" si="53"/>
        <v>1900</v>
      </c>
      <c r="O26" s="150">
        <f t="shared" si="53"/>
        <v>1900</v>
      </c>
      <c r="P26" s="150">
        <f t="shared" si="53"/>
        <v>1900</v>
      </c>
      <c r="Q26" s="150">
        <f t="shared" si="53"/>
        <v>1900</v>
      </c>
      <c r="R26" s="150">
        <f t="shared" si="53"/>
        <v>1900</v>
      </c>
      <c r="S26" s="150">
        <f t="shared" si="53"/>
        <v>1900</v>
      </c>
      <c r="T26" s="150">
        <f t="shared" si="53"/>
        <v>1995</v>
      </c>
      <c r="U26" s="150">
        <f t="shared" si="53"/>
        <v>1995</v>
      </c>
      <c r="V26" s="150">
        <f t="shared" si="53"/>
        <v>1995</v>
      </c>
      <c r="W26" s="150">
        <f t="shared" si="53"/>
        <v>1995</v>
      </c>
      <c r="X26" s="150">
        <f t="shared" si="53"/>
        <v>1995</v>
      </c>
      <c r="Y26" s="150">
        <f t="shared" si="53"/>
        <v>1995</v>
      </c>
      <c r="Z26" s="150">
        <f t="shared" si="53"/>
        <v>1995</v>
      </c>
      <c r="AA26" s="150">
        <f t="shared" si="53"/>
        <v>1995</v>
      </c>
      <c r="AB26" s="150">
        <f t="shared" si="53"/>
        <v>1995</v>
      </c>
      <c r="AC26" s="150">
        <f t="shared" si="53"/>
        <v>1995</v>
      </c>
      <c r="AD26" s="150">
        <f t="shared" si="53"/>
        <v>1995</v>
      </c>
      <c r="AE26" s="150">
        <f t="shared" si="53"/>
        <v>1995</v>
      </c>
      <c r="AF26" s="150">
        <f t="shared" si="53"/>
        <v>2094.75</v>
      </c>
      <c r="AG26" s="150">
        <f t="shared" si="53"/>
        <v>2094.75</v>
      </c>
      <c r="AH26" s="150">
        <f t="shared" si="53"/>
        <v>2094.75</v>
      </c>
      <c r="AI26" s="150">
        <f t="shared" si="53"/>
        <v>2094.75</v>
      </c>
      <c r="AJ26" s="150">
        <f t="shared" si="53"/>
        <v>2094.75</v>
      </c>
      <c r="AK26" s="150">
        <f t="shared" si="53"/>
        <v>2094.75</v>
      </c>
      <c r="AL26" s="150">
        <f t="shared" si="53"/>
        <v>2094.75</v>
      </c>
      <c r="AM26" s="150">
        <f t="shared" si="53"/>
        <v>2094.75</v>
      </c>
      <c r="AN26" s="150">
        <f t="shared" si="53"/>
        <v>2094.75</v>
      </c>
    </row>
    <row r="27" spans="1:40" x14ac:dyDescent="0.25">
      <c r="A27" s="147"/>
    </row>
    <row r="28" spans="1:40" x14ac:dyDescent="0.25">
      <c r="A28" s="89" t="s">
        <v>111</v>
      </c>
    </row>
    <row r="29" spans="1:40" x14ac:dyDescent="0.25">
      <c r="A29" s="146" t="s">
        <v>6</v>
      </c>
      <c r="E29" s="86">
        <f>IF(MOD(E$3,12)=4,MAX(D29*(1+Assumptions!$F$14),Assumptions!$F$11),'monthly revenue '!D29)</f>
        <v>0</v>
      </c>
      <c r="F29" s="86">
        <f>IF(MOD(F$3,12)=4,MAX(E29*(1+Assumptions!$F$14),Assumptions!$F$11),'monthly revenue '!E29)</f>
        <v>0</v>
      </c>
      <c r="G29" s="86">
        <f>IF(MOD(G$3,12)=4,MAX(F29*(1+Assumptions!$F$14),Assumptions!$F$11),'monthly revenue '!F29)</f>
        <v>0</v>
      </c>
      <c r="H29" s="86">
        <f>IF(MOD(H$3,12)=4,MAX(G29*(1+Assumptions!$F$14),Assumptions!$F$11),'monthly revenue '!G29)</f>
        <v>400</v>
      </c>
      <c r="I29" s="86">
        <f>IF(MOD(I$3,12)=4,MAX(H29*(1+Assumptions!$F$14),Assumptions!$F$11),'monthly revenue '!H29)</f>
        <v>400</v>
      </c>
      <c r="J29" s="86">
        <f>IF(MOD(J$3,12)=4,MAX(I29*(1+Assumptions!$F$14),Assumptions!$F$11),'monthly revenue '!I29)</f>
        <v>400</v>
      </c>
      <c r="K29" s="86">
        <f>IF(MOD(K$3,12)=4,MAX(J29*(1+Assumptions!$F$14),Assumptions!$F$11),'monthly revenue '!J29)</f>
        <v>400</v>
      </c>
      <c r="L29" s="86">
        <f>IF(MOD(L$3,12)=4,MAX(K29*(1+Assumptions!$F$14),Assumptions!$F$11),'monthly revenue '!K29)</f>
        <v>400</v>
      </c>
      <c r="M29" s="86">
        <f>IF(MOD(M$3,12)=4,MAX(L29*(1+Assumptions!$F$14),Assumptions!$F$11),'monthly revenue '!L29)</f>
        <v>400</v>
      </c>
      <c r="N29" s="86">
        <f>IF(MOD(N$3,12)=4,MAX(M29*(1+Assumptions!$F$14),Assumptions!$F$11),'monthly revenue '!M29)</f>
        <v>400</v>
      </c>
      <c r="O29" s="86">
        <f>IF(MOD(O$3,12)=4,MAX(N29*(1+Assumptions!$F$14),Assumptions!$F$11),'monthly revenue '!N29)</f>
        <v>400</v>
      </c>
      <c r="P29" s="86">
        <f>IF(MOD(P$3,12)=4,MAX(O29*(1+Assumptions!$F$14),Assumptions!$F$11),'monthly revenue '!O29)</f>
        <v>400</v>
      </c>
      <c r="Q29" s="86">
        <f>IF(MOD(Q$3,12)=4,MAX(P29*(1+Assumptions!$F$14),Assumptions!$F$11),'monthly revenue '!P29)</f>
        <v>400</v>
      </c>
      <c r="R29" s="86">
        <f>IF(MOD(R$3,12)=4,MAX(Q29*(1+Assumptions!$F$14),Assumptions!$F$11),'monthly revenue '!Q29)</f>
        <v>400</v>
      </c>
      <c r="S29" s="86">
        <f>IF(MOD(S$3,12)=4,MAX(R29*(1+Assumptions!$F$14),Assumptions!$F$11),'monthly revenue '!R29)</f>
        <v>400</v>
      </c>
      <c r="T29" s="86">
        <f>IF(MOD(T$3,12)=4,MAX(S29*(1+Assumptions!$F$14),Assumptions!$F$11),'monthly revenue '!S29)</f>
        <v>420</v>
      </c>
      <c r="U29" s="86">
        <f>IF(MOD(U$3,12)=4,MAX(T29*(1+Assumptions!$F$14),Assumptions!$F$11),'monthly revenue '!T29)</f>
        <v>420</v>
      </c>
      <c r="V29" s="86">
        <f>IF(MOD(V$3,12)=4,MAX(U29*(1+Assumptions!$F$14),Assumptions!$F$11),'monthly revenue '!U29)</f>
        <v>420</v>
      </c>
      <c r="W29" s="86">
        <f>IF(MOD(W$3,12)=4,MAX(V29*(1+Assumptions!$F$14),Assumptions!$F$11),'monthly revenue '!V29)</f>
        <v>420</v>
      </c>
      <c r="X29" s="86">
        <f>IF(MOD(X$3,12)=4,MAX(W29*(1+Assumptions!$F$14),Assumptions!$F$11),'monthly revenue '!W29)</f>
        <v>420</v>
      </c>
      <c r="Y29" s="86">
        <f>IF(MOD(Y$3,12)=4,MAX(X29*(1+Assumptions!$F$14),Assumptions!$F$11),'monthly revenue '!X29)</f>
        <v>420</v>
      </c>
      <c r="Z29" s="86">
        <f>IF(MOD(Z$3,12)=4,MAX(Y29*(1+Assumptions!$F$14),Assumptions!$F$11),'monthly revenue '!Y29)</f>
        <v>420</v>
      </c>
      <c r="AA29" s="86">
        <f>IF(MOD(AA$3,12)=4,MAX(Z29*(1+Assumptions!$F$14),Assumptions!$F$11),'monthly revenue '!Z29)</f>
        <v>420</v>
      </c>
      <c r="AB29" s="86">
        <f>IF(MOD(AB$3,12)=4,MAX(AA29*(1+Assumptions!$F$14),Assumptions!$F$11),'monthly revenue '!AA29)</f>
        <v>420</v>
      </c>
      <c r="AC29" s="86">
        <f>IF(MOD(AC$3,12)=4,MAX(AB29*(1+Assumptions!$F$14),Assumptions!$F$11),'monthly revenue '!AB29)</f>
        <v>420</v>
      </c>
      <c r="AD29" s="86">
        <f>IF(MOD(AD$3,12)=4,MAX(AC29*(1+Assumptions!$F$14),Assumptions!$F$11),'monthly revenue '!AC29)</f>
        <v>420</v>
      </c>
      <c r="AE29" s="86">
        <f>IF(MOD(AE$3,12)=4,MAX(AD29*(1+Assumptions!$F$14),Assumptions!$F$11),'monthly revenue '!AD29)</f>
        <v>420</v>
      </c>
      <c r="AF29" s="86">
        <f>IF(MOD(AF$3,12)=4,MAX(AE29*(1+Assumptions!$F$14),Assumptions!$F$11),'monthly revenue '!AE29)</f>
        <v>441</v>
      </c>
      <c r="AG29" s="86">
        <f>IF(MOD(AG$3,12)=4,MAX(AF29*(1+Assumptions!$F$14),Assumptions!$F$11),'monthly revenue '!AF29)</f>
        <v>441</v>
      </c>
      <c r="AH29" s="86">
        <f>IF(MOD(AH$3,12)=4,MAX(AG29*(1+Assumptions!$F$14),Assumptions!$F$11),'monthly revenue '!AG29)</f>
        <v>441</v>
      </c>
      <c r="AI29" s="86">
        <f>IF(MOD(AI$3,12)=4,MAX(AH29*(1+Assumptions!$F$14),Assumptions!$F$11),'monthly revenue '!AH29)</f>
        <v>441</v>
      </c>
      <c r="AJ29" s="86">
        <f>IF(MOD(AJ$3,12)=4,MAX(AI29*(1+Assumptions!$F$14),Assumptions!$F$11),'monthly revenue '!AI29)</f>
        <v>441</v>
      </c>
      <c r="AK29" s="86">
        <f>IF(MOD(AK$3,12)=4,MAX(AJ29*(1+Assumptions!$F$14),Assumptions!$F$11),'monthly revenue '!AJ29)</f>
        <v>441</v>
      </c>
      <c r="AL29" s="86">
        <f>IF(MOD(AL$3,12)=4,MAX(AK29*(1+Assumptions!$F$14),Assumptions!$F$11),'monthly revenue '!AK29)</f>
        <v>441</v>
      </c>
      <c r="AM29" s="86">
        <f>IF(MOD(AM$3,12)=4,MAX(AL29*(1+Assumptions!$F$14),Assumptions!$F$11),'monthly revenue '!AL29)</f>
        <v>441</v>
      </c>
      <c r="AN29" s="86">
        <f>IF(MOD(AN$3,12)=4,MAX(AM29*(1+Assumptions!$F$14),Assumptions!$F$11),'monthly revenue '!AM29)</f>
        <v>441</v>
      </c>
    </row>
    <row r="30" spans="1:40" x14ac:dyDescent="0.25">
      <c r="A30" s="146" t="s">
        <v>7</v>
      </c>
      <c r="E30" s="86">
        <f>IF(MOD(E$3,12)=4,MAX(D30*(1+Assumptions!$F$14),Assumptions!$F$12),'monthly revenue '!D30)</f>
        <v>0</v>
      </c>
      <c r="F30" s="86">
        <f>IF(MOD(F$3,12)=4,MAX(E30*(1+Assumptions!$F$14),Assumptions!$F$12),'monthly revenue '!E30)</f>
        <v>0</v>
      </c>
      <c r="G30" s="86">
        <f>IF(MOD(G$3,12)=4,MAX(F30*(1+Assumptions!$F$14),Assumptions!$F$12),'monthly revenue '!F30)</f>
        <v>0</v>
      </c>
      <c r="H30" s="86">
        <f>IF(MOD(H$3,12)=4,MAX(G30*(1+Assumptions!$F$14),Assumptions!$F$12),'monthly revenue '!G30)</f>
        <v>400</v>
      </c>
      <c r="I30" s="86">
        <f>IF(MOD(I$3,12)=4,MAX(H30*(1+Assumptions!$F$14),Assumptions!$F$12),'monthly revenue '!H30)</f>
        <v>400</v>
      </c>
      <c r="J30" s="86">
        <f>IF(MOD(J$3,12)=4,MAX(I30*(1+Assumptions!$F$14),Assumptions!$F$12),'monthly revenue '!I30)</f>
        <v>400</v>
      </c>
      <c r="K30" s="86">
        <f>IF(MOD(K$3,12)=4,MAX(J30*(1+Assumptions!$F$14),Assumptions!$F$12),'monthly revenue '!J30)</f>
        <v>400</v>
      </c>
      <c r="L30" s="86">
        <f>IF(MOD(L$3,12)=4,MAX(K30*(1+Assumptions!$F$14),Assumptions!$F$12),'monthly revenue '!K30)</f>
        <v>400</v>
      </c>
      <c r="M30" s="86">
        <f>IF(MOD(M$3,12)=4,MAX(L30*(1+Assumptions!$F$14),Assumptions!$F$12),'monthly revenue '!L30)</f>
        <v>400</v>
      </c>
      <c r="N30" s="86">
        <f>IF(MOD(N$3,12)=4,MAX(M30*(1+Assumptions!$F$14),Assumptions!$F$12),'monthly revenue '!M30)</f>
        <v>400</v>
      </c>
      <c r="O30" s="86">
        <f>IF(MOD(O$3,12)=4,MAX(N30*(1+Assumptions!$F$14),Assumptions!$F$12),'monthly revenue '!N30)</f>
        <v>400</v>
      </c>
      <c r="P30" s="86">
        <f>IF(MOD(P$3,12)=4,MAX(O30*(1+Assumptions!$F$14),Assumptions!$F$12),'monthly revenue '!O30)</f>
        <v>400</v>
      </c>
      <c r="Q30" s="86">
        <f>IF(MOD(Q$3,12)=4,MAX(P30*(1+Assumptions!$F$14),Assumptions!$F$12),'monthly revenue '!P30)</f>
        <v>400</v>
      </c>
      <c r="R30" s="86">
        <f>IF(MOD(R$3,12)=4,MAX(Q30*(1+Assumptions!$F$14),Assumptions!$F$12),'monthly revenue '!Q30)</f>
        <v>400</v>
      </c>
      <c r="S30" s="86">
        <f>IF(MOD(S$3,12)=4,MAX(R30*(1+Assumptions!$F$14),Assumptions!$F$12),'monthly revenue '!R30)</f>
        <v>400</v>
      </c>
      <c r="T30" s="86">
        <f>IF(MOD(T$3,12)=4,MAX(S30*(1+Assumptions!$F$14),Assumptions!$F$12),'monthly revenue '!S30)</f>
        <v>420</v>
      </c>
      <c r="U30" s="86">
        <f>IF(MOD(U$3,12)=4,MAX(T30*(1+Assumptions!$F$14),Assumptions!$F$12),'monthly revenue '!T30)</f>
        <v>420</v>
      </c>
      <c r="V30" s="86">
        <f>IF(MOD(V$3,12)=4,MAX(U30*(1+Assumptions!$F$14),Assumptions!$F$12),'monthly revenue '!U30)</f>
        <v>420</v>
      </c>
      <c r="W30" s="86">
        <f>IF(MOD(W$3,12)=4,MAX(V30*(1+Assumptions!$F$14),Assumptions!$F$12),'monthly revenue '!V30)</f>
        <v>420</v>
      </c>
      <c r="X30" s="86">
        <f>IF(MOD(X$3,12)=4,MAX(W30*(1+Assumptions!$F$14),Assumptions!$F$12),'monthly revenue '!W30)</f>
        <v>420</v>
      </c>
      <c r="Y30" s="86">
        <f>IF(MOD(Y$3,12)=4,MAX(X30*(1+Assumptions!$F$14),Assumptions!$F$12),'monthly revenue '!X30)</f>
        <v>420</v>
      </c>
      <c r="Z30" s="86">
        <f>IF(MOD(Z$3,12)=4,MAX(Y30*(1+Assumptions!$F$14),Assumptions!$F$12),'monthly revenue '!Y30)</f>
        <v>420</v>
      </c>
      <c r="AA30" s="86">
        <f>IF(MOD(AA$3,12)=4,MAX(Z30*(1+Assumptions!$F$14),Assumptions!$F$12),'monthly revenue '!Z30)</f>
        <v>420</v>
      </c>
      <c r="AB30" s="86">
        <f>IF(MOD(AB$3,12)=4,MAX(AA30*(1+Assumptions!$F$14),Assumptions!$F$12),'monthly revenue '!AA30)</f>
        <v>420</v>
      </c>
      <c r="AC30" s="86">
        <f>IF(MOD(AC$3,12)=4,MAX(AB30*(1+Assumptions!$F$14),Assumptions!$F$12),'monthly revenue '!AB30)</f>
        <v>420</v>
      </c>
      <c r="AD30" s="86">
        <f>IF(MOD(AD$3,12)=4,MAX(AC30*(1+Assumptions!$F$14),Assumptions!$F$12),'monthly revenue '!AC30)</f>
        <v>420</v>
      </c>
      <c r="AE30" s="86">
        <f>IF(MOD(AE$3,12)=4,MAX(AD30*(1+Assumptions!$F$14),Assumptions!$F$12),'monthly revenue '!AD30)</f>
        <v>420</v>
      </c>
      <c r="AF30" s="86">
        <f>IF(MOD(AF$3,12)=4,MAX(AE30*(1+Assumptions!$F$14),Assumptions!$F$12),'monthly revenue '!AE30)</f>
        <v>441</v>
      </c>
      <c r="AG30" s="86">
        <f>IF(MOD(AG$3,12)=4,MAX(AF30*(1+Assumptions!$F$14),Assumptions!$F$12),'monthly revenue '!AF30)</f>
        <v>441</v>
      </c>
      <c r="AH30" s="86">
        <f>IF(MOD(AH$3,12)=4,MAX(AG30*(1+Assumptions!$F$14),Assumptions!$F$12),'monthly revenue '!AG30)</f>
        <v>441</v>
      </c>
      <c r="AI30" s="86">
        <f>IF(MOD(AI$3,12)=4,MAX(AH30*(1+Assumptions!$F$14),Assumptions!$F$12),'monthly revenue '!AH30)</f>
        <v>441</v>
      </c>
      <c r="AJ30" s="86">
        <f>IF(MOD(AJ$3,12)=4,MAX(AI30*(1+Assumptions!$F$14),Assumptions!$F$12),'monthly revenue '!AI30)</f>
        <v>441</v>
      </c>
      <c r="AK30" s="86">
        <f>IF(MOD(AK$3,12)=4,MAX(AJ30*(1+Assumptions!$F$14),Assumptions!$F$12),'monthly revenue '!AJ30)</f>
        <v>441</v>
      </c>
      <c r="AL30" s="86">
        <f>IF(MOD(AL$3,12)=4,MAX(AK30*(1+Assumptions!$F$14),Assumptions!$F$12),'monthly revenue '!AK30)</f>
        <v>441</v>
      </c>
      <c r="AM30" s="86">
        <f>IF(MOD(AM$3,12)=4,MAX(AL30*(1+Assumptions!$F$14),Assumptions!$F$12),'monthly revenue '!AL30)</f>
        <v>441</v>
      </c>
      <c r="AN30" s="86">
        <f>IF(MOD(AN$3,12)=4,MAX(AM30*(1+Assumptions!$F$14),Assumptions!$F$12),'monthly revenue '!AM30)</f>
        <v>441</v>
      </c>
    </row>
    <row r="31" spans="1:40" x14ac:dyDescent="0.25">
      <c r="A31" s="146" t="s">
        <v>8</v>
      </c>
      <c r="E31" s="86">
        <f>IF(MOD(E$3,12)=4,MAX(D31*(1+Assumptions!$F$14),Assumptions!$F$13),'monthly revenue '!D31)</f>
        <v>0</v>
      </c>
      <c r="F31" s="86">
        <f>IF(MOD(F$3,12)=4,MAX(E31*(1+Assumptions!$F$14),Assumptions!$F$13),'monthly revenue '!E31)</f>
        <v>0</v>
      </c>
      <c r="G31" s="86">
        <f>IF(MOD(G$3,12)=4,MAX(F31*(1+Assumptions!$F$14),Assumptions!$F$13),'monthly revenue '!F31)</f>
        <v>0</v>
      </c>
      <c r="H31" s="86">
        <f>IF(MOD(H$3,12)=4,MAX(G31*(1+Assumptions!$F$14),Assumptions!$F$13),'monthly revenue '!G31)</f>
        <v>1200</v>
      </c>
      <c r="I31" s="86">
        <f>IF(MOD(I$3,12)=4,MAX(H31*(1+Assumptions!$F$14),Assumptions!$F$13),'monthly revenue '!H31)</f>
        <v>1200</v>
      </c>
      <c r="J31" s="86">
        <f>IF(MOD(J$3,12)=4,MAX(I31*(1+Assumptions!$F$14),Assumptions!$F$13),'monthly revenue '!I31)</f>
        <v>1200</v>
      </c>
      <c r="K31" s="86">
        <f>IF(MOD(K$3,12)=4,MAX(J31*(1+Assumptions!$F$14),Assumptions!$F$13),'monthly revenue '!J31)</f>
        <v>1200</v>
      </c>
      <c r="L31" s="86">
        <f>IF(MOD(L$3,12)=4,MAX(K31*(1+Assumptions!$F$14),Assumptions!$F$13),'monthly revenue '!K31)</f>
        <v>1200</v>
      </c>
      <c r="M31" s="86">
        <f>IF(MOD(M$3,12)=4,MAX(L31*(1+Assumptions!$F$14),Assumptions!$F$13),'monthly revenue '!L31)</f>
        <v>1200</v>
      </c>
      <c r="N31" s="86">
        <f>IF(MOD(N$3,12)=4,MAX(M31*(1+Assumptions!$F$14),Assumptions!$F$13),'monthly revenue '!M31)</f>
        <v>1200</v>
      </c>
      <c r="O31" s="86">
        <f>IF(MOD(O$3,12)=4,MAX(N31*(1+Assumptions!$F$14),Assumptions!$F$13),'monthly revenue '!N31)</f>
        <v>1200</v>
      </c>
      <c r="P31" s="86">
        <f>IF(MOD(P$3,12)=4,MAX(O31*(1+Assumptions!$F$14),Assumptions!$F$13),'monthly revenue '!O31)</f>
        <v>1200</v>
      </c>
      <c r="Q31" s="86">
        <f>IF(MOD(Q$3,12)=4,MAX(P31*(1+Assumptions!$F$14),Assumptions!$F$13),'monthly revenue '!P31)</f>
        <v>1200</v>
      </c>
      <c r="R31" s="86">
        <f>IF(MOD(R$3,12)=4,MAX(Q31*(1+Assumptions!$F$14),Assumptions!$F$13),'monthly revenue '!Q31)</f>
        <v>1200</v>
      </c>
      <c r="S31" s="86">
        <f>IF(MOD(S$3,12)=4,MAX(R31*(1+Assumptions!$F$14),Assumptions!$F$13),'monthly revenue '!R31)</f>
        <v>1200</v>
      </c>
      <c r="T31" s="86">
        <f>IF(MOD(T$3,12)=4,MAX(S31*(1+Assumptions!$F$14),Assumptions!$F$13),'monthly revenue '!S31)</f>
        <v>1260</v>
      </c>
      <c r="U31" s="86">
        <f>IF(MOD(U$3,12)=4,MAX(T31*(1+Assumptions!$F$14),Assumptions!$F$13),'monthly revenue '!T31)</f>
        <v>1260</v>
      </c>
      <c r="V31" s="86">
        <f>IF(MOD(V$3,12)=4,MAX(U31*(1+Assumptions!$F$14),Assumptions!$F$13),'monthly revenue '!U31)</f>
        <v>1260</v>
      </c>
      <c r="W31" s="86">
        <f>IF(MOD(W$3,12)=4,MAX(V31*(1+Assumptions!$F$14),Assumptions!$F$13),'monthly revenue '!V31)</f>
        <v>1260</v>
      </c>
      <c r="X31" s="86">
        <f>IF(MOD(X$3,12)=4,MAX(W31*(1+Assumptions!$F$14),Assumptions!$F$13),'monthly revenue '!W31)</f>
        <v>1260</v>
      </c>
      <c r="Y31" s="86">
        <f>IF(MOD(Y$3,12)=4,MAX(X31*(1+Assumptions!$F$14),Assumptions!$F$13),'monthly revenue '!X31)</f>
        <v>1260</v>
      </c>
      <c r="Z31" s="86">
        <f>IF(MOD(Z$3,12)=4,MAX(Y31*(1+Assumptions!$F$14),Assumptions!$F$13),'monthly revenue '!Y31)</f>
        <v>1260</v>
      </c>
      <c r="AA31" s="86">
        <f>IF(MOD(AA$3,12)=4,MAX(Z31*(1+Assumptions!$F$14),Assumptions!$F$13),'monthly revenue '!Z31)</f>
        <v>1260</v>
      </c>
      <c r="AB31" s="86">
        <f>IF(MOD(AB$3,12)=4,MAX(AA31*(1+Assumptions!$F$14),Assumptions!$F$13),'monthly revenue '!AA31)</f>
        <v>1260</v>
      </c>
      <c r="AC31" s="86">
        <f>IF(MOD(AC$3,12)=4,MAX(AB31*(1+Assumptions!$F$14),Assumptions!$F$13),'monthly revenue '!AB31)</f>
        <v>1260</v>
      </c>
      <c r="AD31" s="86">
        <f>IF(MOD(AD$3,12)=4,MAX(AC31*(1+Assumptions!$F$14),Assumptions!$F$13),'monthly revenue '!AC31)</f>
        <v>1260</v>
      </c>
      <c r="AE31" s="86">
        <f>IF(MOD(AE$3,12)=4,MAX(AD31*(1+Assumptions!$F$14),Assumptions!$F$13),'monthly revenue '!AD31)</f>
        <v>1260</v>
      </c>
      <c r="AF31" s="86">
        <f>IF(MOD(AF$3,12)=4,MAX(AE31*(1+Assumptions!$F$14),Assumptions!$F$13),'monthly revenue '!AE31)</f>
        <v>1323</v>
      </c>
      <c r="AG31" s="86">
        <f>IF(MOD(AG$3,12)=4,MAX(AF31*(1+Assumptions!$F$14),Assumptions!$F$13),'monthly revenue '!AF31)</f>
        <v>1323</v>
      </c>
      <c r="AH31" s="86">
        <f>IF(MOD(AH$3,12)=4,MAX(AG31*(1+Assumptions!$F$14),Assumptions!$F$13),'monthly revenue '!AG31)</f>
        <v>1323</v>
      </c>
      <c r="AI31" s="86">
        <f>IF(MOD(AI$3,12)=4,MAX(AH31*(1+Assumptions!$F$14),Assumptions!$F$13),'monthly revenue '!AH31)</f>
        <v>1323</v>
      </c>
      <c r="AJ31" s="86">
        <f>IF(MOD(AJ$3,12)=4,MAX(AI31*(1+Assumptions!$F$14),Assumptions!$F$13),'monthly revenue '!AI31)</f>
        <v>1323</v>
      </c>
      <c r="AK31" s="86">
        <f>IF(MOD(AK$3,12)=4,MAX(AJ31*(1+Assumptions!$F$14),Assumptions!$F$13),'monthly revenue '!AJ31)</f>
        <v>1323</v>
      </c>
      <c r="AL31" s="86">
        <f>IF(MOD(AL$3,12)=4,MAX(AK31*(1+Assumptions!$F$14),Assumptions!$F$13),'monthly revenue '!AK31)</f>
        <v>1323</v>
      </c>
      <c r="AM31" s="86">
        <f>IF(MOD(AM$3,12)=4,MAX(AL31*(1+Assumptions!$F$14),Assumptions!$F$13),'monthly revenue '!AL31)</f>
        <v>1323</v>
      </c>
      <c r="AN31" s="86">
        <f>IF(MOD(AN$3,12)=4,MAX(AM31*(1+Assumptions!$F$14),Assumptions!$F$13),'monthly revenue '!AM31)</f>
        <v>1323</v>
      </c>
    </row>
    <row r="32" spans="1:40" x14ac:dyDescent="0.25">
      <c r="A32" s="156" t="s">
        <v>54</v>
      </c>
      <c r="B32" s="149"/>
      <c r="C32" s="149"/>
      <c r="D32" s="149"/>
      <c r="E32" s="150">
        <f>SUM(E29:E31)</f>
        <v>0</v>
      </c>
      <c r="F32" s="150">
        <f t="shared" ref="F32:AN32" si="54">SUM(F29:F31)</f>
        <v>0</v>
      </c>
      <c r="G32" s="150">
        <f t="shared" si="54"/>
        <v>0</v>
      </c>
      <c r="H32" s="150">
        <f t="shared" si="54"/>
        <v>2000</v>
      </c>
      <c r="I32" s="150">
        <f t="shared" si="54"/>
        <v>2000</v>
      </c>
      <c r="J32" s="150">
        <f t="shared" si="54"/>
        <v>2000</v>
      </c>
      <c r="K32" s="150">
        <f t="shared" si="54"/>
        <v>2000</v>
      </c>
      <c r="L32" s="150">
        <f t="shared" si="54"/>
        <v>2000</v>
      </c>
      <c r="M32" s="150">
        <f t="shared" si="54"/>
        <v>2000</v>
      </c>
      <c r="N32" s="150">
        <f t="shared" si="54"/>
        <v>2000</v>
      </c>
      <c r="O32" s="150">
        <f t="shared" si="54"/>
        <v>2000</v>
      </c>
      <c r="P32" s="150">
        <f t="shared" si="54"/>
        <v>2000</v>
      </c>
      <c r="Q32" s="150">
        <f t="shared" si="54"/>
        <v>2000</v>
      </c>
      <c r="R32" s="150">
        <f t="shared" si="54"/>
        <v>2000</v>
      </c>
      <c r="S32" s="150">
        <f t="shared" si="54"/>
        <v>2000</v>
      </c>
      <c r="T32" s="150">
        <f t="shared" si="54"/>
        <v>2100</v>
      </c>
      <c r="U32" s="150">
        <f t="shared" si="54"/>
        <v>2100</v>
      </c>
      <c r="V32" s="150">
        <f t="shared" si="54"/>
        <v>2100</v>
      </c>
      <c r="W32" s="150">
        <f t="shared" si="54"/>
        <v>2100</v>
      </c>
      <c r="X32" s="150">
        <f t="shared" si="54"/>
        <v>2100</v>
      </c>
      <c r="Y32" s="150">
        <f t="shared" si="54"/>
        <v>2100</v>
      </c>
      <c r="Z32" s="150">
        <f t="shared" si="54"/>
        <v>2100</v>
      </c>
      <c r="AA32" s="150">
        <f t="shared" si="54"/>
        <v>2100</v>
      </c>
      <c r="AB32" s="150">
        <f t="shared" si="54"/>
        <v>2100</v>
      </c>
      <c r="AC32" s="150">
        <f t="shared" si="54"/>
        <v>2100</v>
      </c>
      <c r="AD32" s="150">
        <f t="shared" si="54"/>
        <v>2100</v>
      </c>
      <c r="AE32" s="150">
        <f t="shared" si="54"/>
        <v>2100</v>
      </c>
      <c r="AF32" s="150">
        <f t="shared" si="54"/>
        <v>2205</v>
      </c>
      <c r="AG32" s="150">
        <f t="shared" si="54"/>
        <v>2205</v>
      </c>
      <c r="AH32" s="150">
        <f t="shared" si="54"/>
        <v>2205</v>
      </c>
      <c r="AI32" s="150">
        <f t="shared" si="54"/>
        <v>2205</v>
      </c>
      <c r="AJ32" s="150">
        <f t="shared" si="54"/>
        <v>2205</v>
      </c>
      <c r="AK32" s="150">
        <f t="shared" si="54"/>
        <v>2205</v>
      </c>
      <c r="AL32" s="150">
        <f t="shared" si="54"/>
        <v>2205</v>
      </c>
      <c r="AM32" s="150">
        <f t="shared" si="54"/>
        <v>2205</v>
      </c>
      <c r="AN32" s="150">
        <f t="shared" si="54"/>
        <v>2205</v>
      </c>
    </row>
    <row r="33" spans="1:40" x14ac:dyDescent="0.25">
      <c r="A33" s="147"/>
    </row>
    <row r="34" spans="1:40" x14ac:dyDescent="0.25">
      <c r="A34" s="152" t="s">
        <v>113</v>
      </c>
    </row>
    <row r="35" spans="1:40" x14ac:dyDescent="0.25">
      <c r="A35" s="89" t="s">
        <v>110</v>
      </c>
    </row>
    <row r="36" spans="1:40" x14ac:dyDescent="0.25">
      <c r="A36" s="146" t="s">
        <v>6</v>
      </c>
      <c r="E36" s="86">
        <f>IF(MOD(E$3,12)=4,MAX(D36*(1+Assumptions!$C$14),Assumptions!$C$11),'monthly revenue '!D36)</f>
        <v>0</v>
      </c>
      <c r="F36" s="86">
        <f>IF(MOD(F$3,12)=4,MAX(E36*(1+Assumptions!$C$14),Assumptions!$C$11),'monthly revenue '!E36)</f>
        <v>0</v>
      </c>
      <c r="G36" s="86">
        <f>IF(MOD(G$3,12)=4,MAX(F36*(1+Assumptions!$C$14),Assumptions!$C$11),'monthly revenue '!F36)</f>
        <v>0</v>
      </c>
      <c r="H36" s="86">
        <f>IF(MOD(H$3,12)=4,MAX(G36*(1+Assumptions!$C$14),Assumptions!$C$11),'monthly revenue '!G36)</f>
        <v>500</v>
      </c>
      <c r="I36" s="86">
        <f>IF(MOD(I$3,12)=4,MAX(H36*(1+Assumptions!$C$14),Assumptions!$C$11),'monthly revenue '!H36)</f>
        <v>500</v>
      </c>
      <c r="J36" s="86">
        <f>IF(MOD(J$3,12)=4,MAX(I36*(1+Assumptions!$C$14),Assumptions!$C$11),'monthly revenue '!I36)</f>
        <v>500</v>
      </c>
      <c r="K36" s="86">
        <f>IF(MOD(K$3,12)=4,MAX(J36*(1+Assumptions!$C$14),Assumptions!$C$11),'monthly revenue '!J36)</f>
        <v>500</v>
      </c>
      <c r="L36" s="86">
        <f>IF(MOD(L$3,12)=4,MAX(K36*(1+Assumptions!$C$14),Assumptions!$C$11),'monthly revenue '!K36)</f>
        <v>500</v>
      </c>
      <c r="M36" s="86">
        <f>IF(MOD(M$3,12)=4,MAX(L36*(1+Assumptions!$C$14),Assumptions!$C$11),'monthly revenue '!L36)</f>
        <v>500</v>
      </c>
      <c r="N36" s="86">
        <f>IF(MOD(N$3,12)=4,MAX(M36*(1+Assumptions!$C$14),Assumptions!$C$11),'monthly revenue '!M36)</f>
        <v>500</v>
      </c>
      <c r="O36" s="86">
        <f>IF(MOD(O$3,12)=4,MAX(N36*(1+Assumptions!$C$14),Assumptions!$C$11),'monthly revenue '!N36)</f>
        <v>500</v>
      </c>
      <c r="P36" s="86">
        <f>IF(MOD(P$3,12)=4,MAX(O36*(1+Assumptions!$C$14),Assumptions!$C$11),'monthly revenue '!O36)</f>
        <v>500</v>
      </c>
      <c r="Q36" s="86">
        <f>IF(MOD(Q$3,12)=4,MAX(P36*(1+Assumptions!$C$14),Assumptions!$C$11),'monthly revenue '!P36)</f>
        <v>500</v>
      </c>
      <c r="R36" s="86">
        <f>IF(MOD(R$3,12)=4,MAX(Q36*(1+Assumptions!$C$14),Assumptions!$C$11),'monthly revenue '!Q36)</f>
        <v>500</v>
      </c>
      <c r="S36" s="86">
        <f>IF(MOD(S$3,12)=4,MAX(R36*(1+Assumptions!$C$14),Assumptions!$C$11),'monthly revenue '!R36)</f>
        <v>500</v>
      </c>
      <c r="T36" s="86">
        <f>IF(MOD(T$3,12)=4,MAX(S36*(1+Assumptions!$C$14),Assumptions!$C$11),'monthly revenue '!S36)</f>
        <v>525</v>
      </c>
      <c r="U36" s="86">
        <f>IF(MOD(U$3,12)=4,MAX(T36*(1+Assumptions!$C$14),Assumptions!$C$11),'monthly revenue '!T36)</f>
        <v>525</v>
      </c>
      <c r="V36" s="86">
        <f>IF(MOD(V$3,12)=4,MAX(U36*(1+Assumptions!$C$14),Assumptions!$C$11),'monthly revenue '!U36)</f>
        <v>525</v>
      </c>
      <c r="W36" s="86">
        <f>IF(MOD(W$3,12)=4,MAX(V36*(1+Assumptions!$C$14),Assumptions!$C$11),'monthly revenue '!V36)</f>
        <v>525</v>
      </c>
      <c r="X36" s="86">
        <f>IF(MOD(X$3,12)=4,MAX(W36*(1+Assumptions!$C$14),Assumptions!$C$11),'monthly revenue '!W36)</f>
        <v>525</v>
      </c>
      <c r="Y36" s="86">
        <f>IF(MOD(Y$3,12)=4,MAX(X36*(1+Assumptions!$C$14),Assumptions!$C$11),'monthly revenue '!X36)</f>
        <v>525</v>
      </c>
      <c r="Z36" s="86">
        <f>IF(MOD(Z$3,12)=4,MAX(Y36*(1+Assumptions!$C$14),Assumptions!$C$11),'monthly revenue '!Y36)</f>
        <v>525</v>
      </c>
      <c r="AA36" s="86">
        <f>IF(MOD(AA$3,12)=4,MAX(Z36*(1+Assumptions!$C$14),Assumptions!$C$11),'monthly revenue '!Z36)</f>
        <v>525</v>
      </c>
      <c r="AB36" s="86">
        <f>IF(MOD(AB$3,12)=4,MAX(AA36*(1+Assumptions!$C$14),Assumptions!$C$11),'monthly revenue '!AA36)</f>
        <v>525</v>
      </c>
      <c r="AC36" s="86">
        <f>IF(MOD(AC$3,12)=4,MAX(AB36*(1+Assumptions!$C$14),Assumptions!$C$11),'monthly revenue '!AB36)</f>
        <v>525</v>
      </c>
      <c r="AD36" s="86">
        <f>IF(MOD(AD$3,12)=4,MAX(AC36*(1+Assumptions!$C$14),Assumptions!$C$11),'monthly revenue '!AC36)</f>
        <v>525</v>
      </c>
      <c r="AE36" s="86">
        <f>IF(MOD(AE$3,12)=4,MAX(AD36*(1+Assumptions!$C$14),Assumptions!$C$11),'monthly revenue '!AD36)</f>
        <v>525</v>
      </c>
      <c r="AF36" s="86">
        <f>IF(MOD(AF$3,12)=4,MAX(AE36*(1+Assumptions!$C$14),Assumptions!$C$11),'monthly revenue '!AE36)</f>
        <v>551.25</v>
      </c>
      <c r="AG36" s="86">
        <f>IF(MOD(AG$3,12)=4,MAX(AF36*(1+Assumptions!$C$14),Assumptions!$C$11),'monthly revenue '!AF36)</f>
        <v>551.25</v>
      </c>
      <c r="AH36" s="86">
        <f>IF(MOD(AH$3,12)=4,MAX(AG36*(1+Assumptions!$C$14),Assumptions!$C$11),'monthly revenue '!AG36)</f>
        <v>551.25</v>
      </c>
      <c r="AI36" s="86">
        <f>IF(MOD(AI$3,12)=4,MAX(AH36*(1+Assumptions!$C$14),Assumptions!$C$11),'monthly revenue '!AH36)</f>
        <v>551.25</v>
      </c>
      <c r="AJ36" s="86">
        <f>IF(MOD(AJ$3,12)=4,MAX(AI36*(1+Assumptions!$C$14),Assumptions!$C$11),'monthly revenue '!AI36)</f>
        <v>551.25</v>
      </c>
      <c r="AK36" s="86">
        <f>IF(MOD(AK$3,12)=4,MAX(AJ36*(1+Assumptions!$C$14),Assumptions!$C$11),'monthly revenue '!AJ36)</f>
        <v>551.25</v>
      </c>
      <c r="AL36" s="86">
        <f>IF(MOD(AL$3,12)=4,MAX(AK36*(1+Assumptions!$C$14),Assumptions!$C$11),'monthly revenue '!AK36)</f>
        <v>551.25</v>
      </c>
      <c r="AM36" s="86">
        <f>IF(MOD(AM$3,12)=4,MAX(AL36*(1+Assumptions!$C$14),Assumptions!$C$11),'monthly revenue '!AL36)</f>
        <v>551.25</v>
      </c>
      <c r="AN36" s="86">
        <f>IF(MOD(AN$3,12)=4,MAX(AM36*(1+Assumptions!$C$14),Assumptions!$C$11),'monthly revenue '!AM36)</f>
        <v>551.25</v>
      </c>
    </row>
    <row r="37" spans="1:40" x14ac:dyDescent="0.25">
      <c r="A37" s="146" t="s">
        <v>7</v>
      </c>
      <c r="E37" s="86">
        <f>IF(MOD(E$3,12)=4,MAX(D37*(1+Assumptions!$C$14),Assumptions!$C$12),'monthly revenue '!D37)</f>
        <v>0</v>
      </c>
      <c r="F37" s="86">
        <f>IF(MOD(F$3,12)=4,MAX(E37*(1+Assumptions!$C$14),Assumptions!$C$12),'monthly revenue '!E37)</f>
        <v>0</v>
      </c>
      <c r="G37" s="86">
        <f>IF(MOD(G$3,12)=4,MAX(F37*(1+Assumptions!$C$14),Assumptions!$C$12),'monthly revenue '!F37)</f>
        <v>0</v>
      </c>
      <c r="H37" s="86">
        <f>IF(MOD(H$3,12)=4,MAX(G37*(1+Assumptions!$C$14),Assumptions!$C$12),'monthly revenue '!G37)</f>
        <v>400</v>
      </c>
      <c r="I37" s="86">
        <f>IF(MOD(I$3,12)=4,MAX(H37*(1+Assumptions!$C$14),Assumptions!$C$12),'monthly revenue '!H37)</f>
        <v>400</v>
      </c>
      <c r="J37" s="86">
        <f>IF(MOD(J$3,12)=4,MAX(I37*(1+Assumptions!$C$14),Assumptions!$C$12),'monthly revenue '!I37)</f>
        <v>400</v>
      </c>
      <c r="K37" s="86">
        <f>IF(MOD(K$3,12)=4,MAX(J37*(1+Assumptions!$C$14),Assumptions!$C$12),'monthly revenue '!J37)</f>
        <v>400</v>
      </c>
      <c r="L37" s="86">
        <f>IF(MOD(L$3,12)=4,MAX(K37*(1+Assumptions!$C$14),Assumptions!$C$12),'monthly revenue '!K37)</f>
        <v>400</v>
      </c>
      <c r="M37" s="86">
        <f>IF(MOD(M$3,12)=4,MAX(L37*(1+Assumptions!$C$14),Assumptions!$C$12),'monthly revenue '!L37)</f>
        <v>400</v>
      </c>
      <c r="N37" s="86">
        <f>IF(MOD(N$3,12)=4,MAX(M37*(1+Assumptions!$C$14),Assumptions!$C$12),'monthly revenue '!M37)</f>
        <v>400</v>
      </c>
      <c r="O37" s="86">
        <f>IF(MOD(O$3,12)=4,MAX(N37*(1+Assumptions!$C$14),Assumptions!$C$12),'monthly revenue '!N37)</f>
        <v>400</v>
      </c>
      <c r="P37" s="86">
        <f>IF(MOD(P$3,12)=4,MAX(O37*(1+Assumptions!$C$14),Assumptions!$C$12),'monthly revenue '!O37)</f>
        <v>400</v>
      </c>
      <c r="Q37" s="86">
        <f>IF(MOD(Q$3,12)=4,MAX(P37*(1+Assumptions!$C$14),Assumptions!$C$12),'monthly revenue '!P37)</f>
        <v>400</v>
      </c>
      <c r="R37" s="86">
        <f>IF(MOD(R$3,12)=4,MAX(Q37*(1+Assumptions!$C$14),Assumptions!$C$12),'monthly revenue '!Q37)</f>
        <v>400</v>
      </c>
      <c r="S37" s="86">
        <f>IF(MOD(S$3,12)=4,MAX(R37*(1+Assumptions!$C$14),Assumptions!$C$12),'monthly revenue '!R37)</f>
        <v>400</v>
      </c>
      <c r="T37" s="86">
        <f>IF(MOD(T$3,12)=4,MAX(S37*(1+Assumptions!$C$14),Assumptions!$C$12),'monthly revenue '!S37)</f>
        <v>420</v>
      </c>
      <c r="U37" s="86">
        <f>IF(MOD(U$3,12)=4,MAX(T37*(1+Assumptions!$C$14),Assumptions!$C$12),'monthly revenue '!T37)</f>
        <v>420</v>
      </c>
      <c r="V37" s="86">
        <f>IF(MOD(V$3,12)=4,MAX(U37*(1+Assumptions!$C$14),Assumptions!$C$12),'monthly revenue '!U37)</f>
        <v>420</v>
      </c>
      <c r="W37" s="86">
        <f>IF(MOD(W$3,12)=4,MAX(V37*(1+Assumptions!$C$14),Assumptions!$C$12),'monthly revenue '!V37)</f>
        <v>420</v>
      </c>
      <c r="X37" s="86">
        <f>IF(MOD(X$3,12)=4,MAX(W37*(1+Assumptions!$C$14),Assumptions!$C$12),'monthly revenue '!W37)</f>
        <v>420</v>
      </c>
      <c r="Y37" s="86">
        <f>IF(MOD(Y$3,12)=4,MAX(X37*(1+Assumptions!$C$14),Assumptions!$C$12),'monthly revenue '!X37)</f>
        <v>420</v>
      </c>
      <c r="Z37" s="86">
        <f>IF(MOD(Z$3,12)=4,MAX(Y37*(1+Assumptions!$C$14),Assumptions!$C$12),'monthly revenue '!Y37)</f>
        <v>420</v>
      </c>
      <c r="AA37" s="86">
        <f>IF(MOD(AA$3,12)=4,MAX(Z37*(1+Assumptions!$C$14),Assumptions!$C$12),'monthly revenue '!Z37)</f>
        <v>420</v>
      </c>
      <c r="AB37" s="86">
        <f>IF(MOD(AB$3,12)=4,MAX(AA37*(1+Assumptions!$C$14),Assumptions!$C$12),'monthly revenue '!AA37)</f>
        <v>420</v>
      </c>
      <c r="AC37" s="86">
        <f>IF(MOD(AC$3,12)=4,MAX(AB37*(1+Assumptions!$C$14),Assumptions!$C$12),'monthly revenue '!AB37)</f>
        <v>420</v>
      </c>
      <c r="AD37" s="86">
        <f>IF(MOD(AD$3,12)=4,MAX(AC37*(1+Assumptions!$C$14),Assumptions!$C$12),'monthly revenue '!AC37)</f>
        <v>420</v>
      </c>
      <c r="AE37" s="86">
        <f>IF(MOD(AE$3,12)=4,MAX(AD37*(1+Assumptions!$C$14),Assumptions!$C$12),'monthly revenue '!AD37)</f>
        <v>420</v>
      </c>
      <c r="AF37" s="86">
        <f>IF(MOD(AF$3,12)=4,MAX(AE37*(1+Assumptions!$C$14),Assumptions!$C$12),'monthly revenue '!AE37)</f>
        <v>441</v>
      </c>
      <c r="AG37" s="86">
        <f>IF(MOD(AG$3,12)=4,MAX(AF37*(1+Assumptions!$C$14),Assumptions!$C$12),'monthly revenue '!AF37)</f>
        <v>441</v>
      </c>
      <c r="AH37" s="86">
        <f>IF(MOD(AH$3,12)=4,MAX(AG37*(1+Assumptions!$C$14),Assumptions!$C$12),'monthly revenue '!AG37)</f>
        <v>441</v>
      </c>
      <c r="AI37" s="86">
        <f>IF(MOD(AI$3,12)=4,MAX(AH37*(1+Assumptions!$C$14),Assumptions!$C$12),'monthly revenue '!AH37)</f>
        <v>441</v>
      </c>
      <c r="AJ37" s="86">
        <f>IF(MOD(AJ$3,12)=4,MAX(AI37*(1+Assumptions!$C$14),Assumptions!$C$12),'monthly revenue '!AI37)</f>
        <v>441</v>
      </c>
      <c r="AK37" s="86">
        <f>IF(MOD(AK$3,12)=4,MAX(AJ37*(1+Assumptions!$C$14),Assumptions!$C$12),'monthly revenue '!AJ37)</f>
        <v>441</v>
      </c>
      <c r="AL37" s="86">
        <f>IF(MOD(AL$3,12)=4,MAX(AK37*(1+Assumptions!$C$14),Assumptions!$C$12),'monthly revenue '!AK37)</f>
        <v>441</v>
      </c>
      <c r="AM37" s="86">
        <f>IF(MOD(AM$3,12)=4,MAX(AL37*(1+Assumptions!$C$14),Assumptions!$C$12),'monthly revenue '!AL37)</f>
        <v>441</v>
      </c>
      <c r="AN37" s="86">
        <f>IF(MOD(AN$3,12)=4,MAX(AM37*(1+Assumptions!$C$14),Assumptions!$C$12),'monthly revenue '!AM37)</f>
        <v>441</v>
      </c>
    </row>
    <row r="38" spans="1:40" x14ac:dyDescent="0.25">
      <c r="A38" s="146" t="s">
        <v>8</v>
      </c>
      <c r="E38" s="86">
        <f>IF(MOD(E$3,12)=4,MAX(D38*(1+Assumptions!$C$14),Assumptions!$C$13),'monthly revenue '!D38)</f>
        <v>0</v>
      </c>
      <c r="F38" s="86">
        <f>IF(MOD(F$3,12)=4,MAX(E38*(1+Assumptions!$C$14),Assumptions!$C$13),'monthly revenue '!E38)</f>
        <v>0</v>
      </c>
      <c r="G38" s="86">
        <f>IF(MOD(G$3,12)=4,MAX(F38*(1+Assumptions!$C$14),Assumptions!$C$13),'monthly revenue '!F38)</f>
        <v>0</v>
      </c>
      <c r="H38" s="86">
        <f>IF(MOD(H$3,12)=4,MAX(G38*(1+Assumptions!$C$14),Assumptions!$C$13),'monthly revenue '!G38)</f>
        <v>1200</v>
      </c>
      <c r="I38" s="86">
        <f>IF(MOD(I$3,12)=4,MAX(H38*(1+Assumptions!$C$14),Assumptions!$C$13),'monthly revenue '!H38)</f>
        <v>1200</v>
      </c>
      <c r="J38" s="86">
        <f>IF(MOD(J$3,12)=4,MAX(I38*(1+Assumptions!$C$14),Assumptions!$C$13),'monthly revenue '!I38)</f>
        <v>1200</v>
      </c>
      <c r="K38" s="86">
        <f>IF(MOD(K$3,12)=4,MAX(J38*(1+Assumptions!$C$14),Assumptions!$C$13),'monthly revenue '!J38)</f>
        <v>1200</v>
      </c>
      <c r="L38" s="86">
        <f>IF(MOD(L$3,12)=4,MAX(K38*(1+Assumptions!$C$14),Assumptions!$C$13),'monthly revenue '!K38)</f>
        <v>1200</v>
      </c>
      <c r="M38" s="86">
        <f>IF(MOD(M$3,12)=4,MAX(L38*(1+Assumptions!$C$14),Assumptions!$C$13),'monthly revenue '!L38)</f>
        <v>1200</v>
      </c>
      <c r="N38" s="86">
        <f>IF(MOD(N$3,12)=4,MAX(M38*(1+Assumptions!$C$14),Assumptions!$C$13),'monthly revenue '!M38)</f>
        <v>1200</v>
      </c>
      <c r="O38" s="86">
        <f>IF(MOD(O$3,12)=4,MAX(N38*(1+Assumptions!$C$14),Assumptions!$C$13),'monthly revenue '!N38)</f>
        <v>1200</v>
      </c>
      <c r="P38" s="86">
        <f>IF(MOD(P$3,12)=4,MAX(O38*(1+Assumptions!$C$14),Assumptions!$C$13),'monthly revenue '!O38)</f>
        <v>1200</v>
      </c>
      <c r="Q38" s="86">
        <f>IF(MOD(Q$3,12)=4,MAX(P38*(1+Assumptions!$C$14),Assumptions!$C$13),'monthly revenue '!P38)</f>
        <v>1200</v>
      </c>
      <c r="R38" s="86">
        <f>IF(MOD(R$3,12)=4,MAX(Q38*(1+Assumptions!$C$14),Assumptions!$C$13),'monthly revenue '!Q38)</f>
        <v>1200</v>
      </c>
      <c r="S38" s="86">
        <f>IF(MOD(S$3,12)=4,MAX(R38*(1+Assumptions!$C$14),Assumptions!$C$13),'monthly revenue '!R38)</f>
        <v>1200</v>
      </c>
      <c r="T38" s="86">
        <f>IF(MOD(T$3,12)=4,MAX(S38*(1+Assumptions!$C$14),Assumptions!$C$13),'monthly revenue '!S38)</f>
        <v>1260</v>
      </c>
      <c r="U38" s="86">
        <f>IF(MOD(U$3,12)=4,MAX(T38*(1+Assumptions!$C$14),Assumptions!$C$13),'monthly revenue '!T38)</f>
        <v>1260</v>
      </c>
      <c r="V38" s="86">
        <f>IF(MOD(V$3,12)=4,MAX(U38*(1+Assumptions!$C$14),Assumptions!$C$13),'monthly revenue '!U38)</f>
        <v>1260</v>
      </c>
      <c r="W38" s="86">
        <f>IF(MOD(W$3,12)=4,MAX(V38*(1+Assumptions!$C$14),Assumptions!$C$13),'monthly revenue '!V38)</f>
        <v>1260</v>
      </c>
      <c r="X38" s="86">
        <f>IF(MOD(X$3,12)=4,MAX(W38*(1+Assumptions!$C$14),Assumptions!$C$13),'monthly revenue '!W38)</f>
        <v>1260</v>
      </c>
      <c r="Y38" s="86">
        <f>IF(MOD(Y$3,12)=4,MAX(X38*(1+Assumptions!$C$14),Assumptions!$C$13),'monthly revenue '!X38)</f>
        <v>1260</v>
      </c>
      <c r="Z38" s="86">
        <f>IF(MOD(Z$3,12)=4,MAX(Y38*(1+Assumptions!$C$14),Assumptions!$C$13),'monthly revenue '!Y38)</f>
        <v>1260</v>
      </c>
      <c r="AA38" s="86">
        <f>IF(MOD(AA$3,12)=4,MAX(Z38*(1+Assumptions!$C$14),Assumptions!$C$13),'monthly revenue '!Z38)</f>
        <v>1260</v>
      </c>
      <c r="AB38" s="86">
        <f>IF(MOD(AB$3,12)=4,MAX(AA38*(1+Assumptions!$C$14),Assumptions!$C$13),'monthly revenue '!AA38)</f>
        <v>1260</v>
      </c>
      <c r="AC38" s="86">
        <f>IF(MOD(AC$3,12)=4,MAX(AB38*(1+Assumptions!$C$14),Assumptions!$C$13),'monthly revenue '!AB38)</f>
        <v>1260</v>
      </c>
      <c r="AD38" s="86">
        <f>IF(MOD(AD$3,12)=4,MAX(AC38*(1+Assumptions!$C$14),Assumptions!$C$13),'monthly revenue '!AC38)</f>
        <v>1260</v>
      </c>
      <c r="AE38" s="86">
        <f>IF(MOD(AE$3,12)=4,MAX(AD38*(1+Assumptions!$C$14),Assumptions!$C$13),'monthly revenue '!AD38)</f>
        <v>1260</v>
      </c>
      <c r="AF38" s="86">
        <f>IF(MOD(AF$3,12)=4,MAX(AE38*(1+Assumptions!$C$14),Assumptions!$C$13),'monthly revenue '!AE38)</f>
        <v>1323</v>
      </c>
      <c r="AG38" s="86">
        <f>IF(MOD(AG$3,12)=4,MAX(AF38*(1+Assumptions!$C$14),Assumptions!$C$13),'monthly revenue '!AF38)</f>
        <v>1323</v>
      </c>
      <c r="AH38" s="86">
        <f>IF(MOD(AH$3,12)=4,MAX(AG38*(1+Assumptions!$C$14),Assumptions!$C$13),'monthly revenue '!AG38)</f>
        <v>1323</v>
      </c>
      <c r="AI38" s="86">
        <f>IF(MOD(AI$3,12)=4,MAX(AH38*(1+Assumptions!$C$14),Assumptions!$C$13),'monthly revenue '!AH38)</f>
        <v>1323</v>
      </c>
      <c r="AJ38" s="86">
        <f>IF(MOD(AJ$3,12)=4,MAX(AI38*(1+Assumptions!$C$14),Assumptions!$C$13),'monthly revenue '!AI38)</f>
        <v>1323</v>
      </c>
      <c r="AK38" s="86">
        <f>IF(MOD(AK$3,12)=4,MAX(AJ38*(1+Assumptions!$C$14),Assumptions!$C$13),'monthly revenue '!AJ38)</f>
        <v>1323</v>
      </c>
      <c r="AL38" s="86">
        <f>IF(MOD(AL$3,12)=4,MAX(AK38*(1+Assumptions!$C$14),Assumptions!$C$13),'monthly revenue '!AK38)</f>
        <v>1323</v>
      </c>
      <c r="AM38" s="86">
        <f>IF(MOD(AM$3,12)=4,MAX(AL38*(1+Assumptions!$C$14),Assumptions!$C$13),'monthly revenue '!AL38)</f>
        <v>1323</v>
      </c>
      <c r="AN38" s="86">
        <f>IF(MOD(AN$3,12)=4,MAX(AM38*(1+Assumptions!$C$14),Assumptions!$C$13),'monthly revenue '!AM38)</f>
        <v>1323</v>
      </c>
    </row>
    <row r="39" spans="1:40" x14ac:dyDescent="0.25">
      <c r="A39" s="156" t="s">
        <v>54</v>
      </c>
      <c r="B39" s="149"/>
      <c r="C39" s="149"/>
      <c r="D39" s="149"/>
      <c r="E39" s="150">
        <f>SUM(E36:E38)</f>
        <v>0</v>
      </c>
      <c r="F39" s="150">
        <f t="shared" ref="F39:AN39" si="55">SUM(F36:F38)</f>
        <v>0</v>
      </c>
      <c r="G39" s="150">
        <f t="shared" si="55"/>
        <v>0</v>
      </c>
      <c r="H39" s="150">
        <f t="shared" si="55"/>
        <v>2100</v>
      </c>
      <c r="I39" s="150">
        <f t="shared" si="55"/>
        <v>2100</v>
      </c>
      <c r="J39" s="150">
        <f t="shared" si="55"/>
        <v>2100</v>
      </c>
      <c r="K39" s="150">
        <f t="shared" si="55"/>
        <v>2100</v>
      </c>
      <c r="L39" s="150">
        <f t="shared" si="55"/>
        <v>2100</v>
      </c>
      <c r="M39" s="150">
        <f t="shared" si="55"/>
        <v>2100</v>
      </c>
      <c r="N39" s="150">
        <f t="shared" si="55"/>
        <v>2100</v>
      </c>
      <c r="O39" s="150">
        <f t="shared" si="55"/>
        <v>2100</v>
      </c>
      <c r="P39" s="150">
        <f t="shared" si="55"/>
        <v>2100</v>
      </c>
      <c r="Q39" s="150">
        <f t="shared" si="55"/>
        <v>2100</v>
      </c>
      <c r="R39" s="150">
        <f t="shared" si="55"/>
        <v>2100</v>
      </c>
      <c r="S39" s="150">
        <f t="shared" si="55"/>
        <v>2100</v>
      </c>
      <c r="T39" s="150">
        <f t="shared" si="55"/>
        <v>2205</v>
      </c>
      <c r="U39" s="150">
        <f t="shared" si="55"/>
        <v>2205</v>
      </c>
      <c r="V39" s="150">
        <f t="shared" si="55"/>
        <v>2205</v>
      </c>
      <c r="W39" s="150">
        <f t="shared" si="55"/>
        <v>2205</v>
      </c>
      <c r="X39" s="150">
        <f t="shared" si="55"/>
        <v>2205</v>
      </c>
      <c r="Y39" s="150">
        <f t="shared" si="55"/>
        <v>2205</v>
      </c>
      <c r="Z39" s="150">
        <f t="shared" si="55"/>
        <v>2205</v>
      </c>
      <c r="AA39" s="150">
        <f t="shared" si="55"/>
        <v>2205</v>
      </c>
      <c r="AB39" s="150">
        <f t="shared" si="55"/>
        <v>2205</v>
      </c>
      <c r="AC39" s="150">
        <f t="shared" si="55"/>
        <v>2205</v>
      </c>
      <c r="AD39" s="150">
        <f t="shared" si="55"/>
        <v>2205</v>
      </c>
      <c r="AE39" s="150">
        <f t="shared" si="55"/>
        <v>2205</v>
      </c>
      <c r="AF39" s="150">
        <f t="shared" si="55"/>
        <v>2315.25</v>
      </c>
      <c r="AG39" s="150">
        <f t="shared" si="55"/>
        <v>2315.25</v>
      </c>
      <c r="AH39" s="150">
        <f t="shared" si="55"/>
        <v>2315.25</v>
      </c>
      <c r="AI39" s="150">
        <f t="shared" si="55"/>
        <v>2315.25</v>
      </c>
      <c r="AJ39" s="150">
        <f t="shared" si="55"/>
        <v>2315.25</v>
      </c>
      <c r="AK39" s="150">
        <f t="shared" si="55"/>
        <v>2315.25</v>
      </c>
      <c r="AL39" s="150">
        <f t="shared" si="55"/>
        <v>2315.25</v>
      </c>
      <c r="AM39" s="150">
        <f t="shared" si="55"/>
        <v>2315.25</v>
      </c>
      <c r="AN39" s="150">
        <f t="shared" si="55"/>
        <v>2315.25</v>
      </c>
    </row>
    <row r="40" spans="1:40" x14ac:dyDescent="0.25">
      <c r="A40" s="147"/>
    </row>
    <row r="41" spans="1:40" x14ac:dyDescent="0.25">
      <c r="A41" s="89" t="s">
        <v>111</v>
      </c>
    </row>
    <row r="42" spans="1:40" x14ac:dyDescent="0.25">
      <c r="A42" s="146" t="s">
        <v>6</v>
      </c>
      <c r="E42" s="86">
        <f>IF(MOD(E$3,12)=4,MAX(D42*(1+Assumptions!$G$14),Assumptions!$G$11),'monthly revenue '!D42)</f>
        <v>0</v>
      </c>
      <c r="F42" s="86">
        <f>IF(MOD(F$3,12)=4,MAX(E42*(1+Assumptions!$G$14),Assumptions!$G$11),'monthly revenue '!E42)</f>
        <v>0</v>
      </c>
      <c r="G42" s="86">
        <f>IF(MOD(G$3,12)=4,MAX(F42*(1+Assumptions!$G$14),Assumptions!$G$11),'monthly revenue '!F42)</f>
        <v>0</v>
      </c>
      <c r="H42" s="86">
        <f>IF(MOD(H$3,12)=4,MAX(G42*(1+Assumptions!$G$14),Assumptions!$G$11),'monthly revenue '!G42)</f>
        <v>650</v>
      </c>
      <c r="I42" s="86">
        <f>IF(MOD(I$3,12)=4,MAX(H42*(1+Assumptions!$G$14),Assumptions!$G$11),'monthly revenue '!H42)</f>
        <v>650</v>
      </c>
      <c r="J42" s="86">
        <f>IF(MOD(J$3,12)=4,MAX(I42*(1+Assumptions!$G$14),Assumptions!$G$11),'monthly revenue '!I42)</f>
        <v>650</v>
      </c>
      <c r="K42" s="86">
        <f>IF(MOD(K$3,12)=4,MAX(J42*(1+Assumptions!$G$14),Assumptions!$G$11),'monthly revenue '!J42)</f>
        <v>650</v>
      </c>
      <c r="L42" s="86">
        <f>IF(MOD(L$3,12)=4,MAX(K42*(1+Assumptions!$G$14),Assumptions!$G$11),'monthly revenue '!K42)</f>
        <v>650</v>
      </c>
      <c r="M42" s="86">
        <f>IF(MOD(M$3,12)=4,MAX(L42*(1+Assumptions!$G$14),Assumptions!$G$11),'monthly revenue '!L42)</f>
        <v>650</v>
      </c>
      <c r="N42" s="86">
        <f>IF(MOD(N$3,12)=4,MAX(M42*(1+Assumptions!$G$14),Assumptions!$G$11),'monthly revenue '!M42)</f>
        <v>650</v>
      </c>
      <c r="O42" s="86">
        <f>IF(MOD(O$3,12)=4,MAX(N42*(1+Assumptions!$G$14),Assumptions!$G$11),'monthly revenue '!N42)</f>
        <v>650</v>
      </c>
      <c r="P42" s="86">
        <f>IF(MOD(P$3,12)=4,MAX(O42*(1+Assumptions!$G$14),Assumptions!$G$11),'monthly revenue '!O42)</f>
        <v>650</v>
      </c>
      <c r="Q42" s="86">
        <f>IF(MOD(Q$3,12)=4,MAX(P42*(1+Assumptions!$G$14),Assumptions!$G$11),'monthly revenue '!P42)</f>
        <v>650</v>
      </c>
      <c r="R42" s="86">
        <f>IF(MOD(R$3,12)=4,MAX(Q42*(1+Assumptions!$G$14),Assumptions!$G$11),'monthly revenue '!Q42)</f>
        <v>650</v>
      </c>
      <c r="S42" s="86">
        <f>IF(MOD(S$3,12)=4,MAX(R42*(1+Assumptions!$G$14),Assumptions!$G$11),'monthly revenue '!R42)</f>
        <v>650</v>
      </c>
      <c r="T42" s="86">
        <f>IF(MOD(T$3,12)=4,MAX(S42*(1+Assumptions!$G$14),Assumptions!$G$11),'monthly revenue '!S42)</f>
        <v>682.5</v>
      </c>
      <c r="U42" s="86">
        <f>IF(MOD(U$3,12)=4,MAX(T42*(1+Assumptions!$G$14),Assumptions!$G$11),'monthly revenue '!T42)</f>
        <v>682.5</v>
      </c>
      <c r="V42" s="86">
        <f>IF(MOD(V$3,12)=4,MAX(U42*(1+Assumptions!$G$14),Assumptions!$G$11),'monthly revenue '!U42)</f>
        <v>682.5</v>
      </c>
      <c r="W42" s="86">
        <f>IF(MOD(W$3,12)=4,MAX(V42*(1+Assumptions!$G$14),Assumptions!$G$11),'monthly revenue '!V42)</f>
        <v>682.5</v>
      </c>
      <c r="X42" s="86">
        <f>IF(MOD(X$3,12)=4,MAX(W42*(1+Assumptions!$G$14),Assumptions!$G$11),'monthly revenue '!W42)</f>
        <v>682.5</v>
      </c>
      <c r="Y42" s="86">
        <f>IF(MOD(Y$3,12)=4,MAX(X42*(1+Assumptions!$G$14),Assumptions!$G$11),'monthly revenue '!X42)</f>
        <v>682.5</v>
      </c>
      <c r="Z42" s="86">
        <f>IF(MOD(Z$3,12)=4,MAX(Y42*(1+Assumptions!$G$14),Assumptions!$G$11),'monthly revenue '!Y42)</f>
        <v>682.5</v>
      </c>
      <c r="AA42" s="86">
        <f>IF(MOD(AA$3,12)=4,MAX(Z42*(1+Assumptions!$G$14),Assumptions!$G$11),'monthly revenue '!Z42)</f>
        <v>682.5</v>
      </c>
      <c r="AB42" s="86">
        <f>IF(MOD(AB$3,12)=4,MAX(AA42*(1+Assumptions!$G$14),Assumptions!$G$11),'monthly revenue '!AA42)</f>
        <v>682.5</v>
      </c>
      <c r="AC42" s="86">
        <f>IF(MOD(AC$3,12)=4,MAX(AB42*(1+Assumptions!$G$14),Assumptions!$G$11),'monthly revenue '!AB42)</f>
        <v>682.5</v>
      </c>
      <c r="AD42" s="86">
        <f>IF(MOD(AD$3,12)=4,MAX(AC42*(1+Assumptions!$G$14),Assumptions!$G$11),'monthly revenue '!AC42)</f>
        <v>682.5</v>
      </c>
      <c r="AE42" s="86">
        <f>IF(MOD(AE$3,12)=4,MAX(AD42*(1+Assumptions!$G$14),Assumptions!$G$11),'monthly revenue '!AD42)</f>
        <v>682.5</v>
      </c>
      <c r="AF42" s="86">
        <f>IF(MOD(AF$3,12)=4,MAX(AE42*(1+Assumptions!$G$14),Assumptions!$G$11),'monthly revenue '!AE42)</f>
        <v>716.625</v>
      </c>
      <c r="AG42" s="86">
        <f>IF(MOD(AG$3,12)=4,MAX(AF42*(1+Assumptions!$G$14),Assumptions!$G$11),'monthly revenue '!AF42)</f>
        <v>716.625</v>
      </c>
      <c r="AH42" s="86">
        <f>IF(MOD(AH$3,12)=4,MAX(AG42*(1+Assumptions!$G$14),Assumptions!$G$11),'monthly revenue '!AG42)</f>
        <v>716.625</v>
      </c>
      <c r="AI42" s="86">
        <f>IF(MOD(AI$3,12)=4,MAX(AH42*(1+Assumptions!$G$14),Assumptions!$G$11),'monthly revenue '!AH42)</f>
        <v>716.625</v>
      </c>
      <c r="AJ42" s="86">
        <f>IF(MOD(AJ$3,12)=4,MAX(AI42*(1+Assumptions!$G$14),Assumptions!$G$11),'monthly revenue '!AI42)</f>
        <v>716.625</v>
      </c>
      <c r="AK42" s="86">
        <f>IF(MOD(AK$3,12)=4,MAX(AJ42*(1+Assumptions!$G$14),Assumptions!$G$11),'monthly revenue '!AJ42)</f>
        <v>716.625</v>
      </c>
      <c r="AL42" s="86">
        <f>IF(MOD(AL$3,12)=4,MAX(AK42*(1+Assumptions!$G$14),Assumptions!$G$11),'monthly revenue '!AK42)</f>
        <v>716.625</v>
      </c>
      <c r="AM42" s="86">
        <f>IF(MOD(AM$3,12)=4,MAX(AL42*(1+Assumptions!$G$14),Assumptions!$G$11),'monthly revenue '!AL42)</f>
        <v>716.625</v>
      </c>
      <c r="AN42" s="86">
        <f>IF(MOD(AN$3,12)=4,MAX(AM42*(1+Assumptions!$G$14),Assumptions!$G$11),'monthly revenue '!AM42)</f>
        <v>716.625</v>
      </c>
    </row>
    <row r="43" spans="1:40" x14ac:dyDescent="0.25">
      <c r="A43" s="146" t="s">
        <v>7</v>
      </c>
      <c r="E43" s="86">
        <f>IF(MOD(E$3,12)=4,MAX(D43*(1+Assumptions!$G$14),Assumptions!$G$12),'monthly revenue '!D43)</f>
        <v>0</v>
      </c>
      <c r="F43" s="86">
        <f>IF(MOD(F$3,12)=4,MAX(E43*(1+Assumptions!$G$14),Assumptions!$G$12),'monthly revenue '!E43)</f>
        <v>0</v>
      </c>
      <c r="G43" s="86">
        <f>IF(MOD(G$3,12)=4,MAX(F43*(1+Assumptions!$G$14),Assumptions!$G$12),'monthly revenue '!F43)</f>
        <v>0</v>
      </c>
      <c r="H43" s="86">
        <f>IF(MOD(H$3,12)=4,MAX(G43*(1+Assumptions!$G$14),Assumptions!$G$12),'monthly revenue '!G43)</f>
        <v>450</v>
      </c>
      <c r="I43" s="86">
        <f>IF(MOD(I$3,12)=4,MAX(H43*(1+Assumptions!$G$14),Assumptions!$G$12),'monthly revenue '!H43)</f>
        <v>450</v>
      </c>
      <c r="J43" s="86">
        <f>IF(MOD(J$3,12)=4,MAX(I43*(1+Assumptions!$G$14),Assumptions!$G$12),'monthly revenue '!I43)</f>
        <v>450</v>
      </c>
      <c r="K43" s="86">
        <f>IF(MOD(K$3,12)=4,MAX(J43*(1+Assumptions!$G$14),Assumptions!$G$12),'monthly revenue '!J43)</f>
        <v>450</v>
      </c>
      <c r="L43" s="86">
        <f>IF(MOD(L$3,12)=4,MAX(K43*(1+Assumptions!$G$14),Assumptions!$G$12),'monthly revenue '!K43)</f>
        <v>450</v>
      </c>
      <c r="M43" s="86">
        <f>IF(MOD(M$3,12)=4,MAX(L43*(1+Assumptions!$G$14),Assumptions!$G$12),'monthly revenue '!L43)</f>
        <v>450</v>
      </c>
      <c r="N43" s="86">
        <f>IF(MOD(N$3,12)=4,MAX(M43*(1+Assumptions!$G$14),Assumptions!$G$12),'monthly revenue '!M43)</f>
        <v>450</v>
      </c>
      <c r="O43" s="86">
        <f>IF(MOD(O$3,12)=4,MAX(N43*(1+Assumptions!$G$14),Assumptions!$G$12),'monthly revenue '!N43)</f>
        <v>450</v>
      </c>
      <c r="P43" s="86">
        <f>IF(MOD(P$3,12)=4,MAX(O43*(1+Assumptions!$G$14),Assumptions!$G$12),'monthly revenue '!O43)</f>
        <v>450</v>
      </c>
      <c r="Q43" s="86">
        <f>IF(MOD(Q$3,12)=4,MAX(P43*(1+Assumptions!$G$14),Assumptions!$G$12),'monthly revenue '!P43)</f>
        <v>450</v>
      </c>
      <c r="R43" s="86">
        <f>IF(MOD(R$3,12)=4,MAX(Q43*(1+Assumptions!$G$14),Assumptions!$G$12),'monthly revenue '!Q43)</f>
        <v>450</v>
      </c>
      <c r="S43" s="86">
        <f>IF(MOD(S$3,12)=4,MAX(R43*(1+Assumptions!$G$14),Assumptions!$G$12),'monthly revenue '!R43)</f>
        <v>450</v>
      </c>
      <c r="T43" s="86">
        <f>IF(MOD(T$3,12)=4,MAX(S43*(1+Assumptions!$G$14),Assumptions!$G$12),'monthly revenue '!S43)</f>
        <v>472.5</v>
      </c>
      <c r="U43" s="86">
        <f>IF(MOD(U$3,12)=4,MAX(T43*(1+Assumptions!$G$14),Assumptions!$G$12),'monthly revenue '!T43)</f>
        <v>472.5</v>
      </c>
      <c r="V43" s="86">
        <f>IF(MOD(V$3,12)=4,MAX(U43*(1+Assumptions!$G$14),Assumptions!$G$12),'monthly revenue '!U43)</f>
        <v>472.5</v>
      </c>
      <c r="W43" s="86">
        <f>IF(MOD(W$3,12)=4,MAX(V43*(1+Assumptions!$G$14),Assumptions!$G$12),'monthly revenue '!V43)</f>
        <v>472.5</v>
      </c>
      <c r="X43" s="86">
        <f>IF(MOD(X$3,12)=4,MAX(W43*(1+Assumptions!$G$14),Assumptions!$G$12),'monthly revenue '!W43)</f>
        <v>472.5</v>
      </c>
      <c r="Y43" s="86">
        <f>IF(MOD(Y$3,12)=4,MAX(X43*(1+Assumptions!$G$14),Assumptions!$G$12),'monthly revenue '!X43)</f>
        <v>472.5</v>
      </c>
      <c r="Z43" s="86">
        <f>IF(MOD(Z$3,12)=4,MAX(Y43*(1+Assumptions!$G$14),Assumptions!$G$12),'monthly revenue '!Y43)</f>
        <v>472.5</v>
      </c>
      <c r="AA43" s="86">
        <f>IF(MOD(AA$3,12)=4,MAX(Z43*(1+Assumptions!$G$14),Assumptions!$G$12),'monthly revenue '!Z43)</f>
        <v>472.5</v>
      </c>
      <c r="AB43" s="86">
        <f>IF(MOD(AB$3,12)=4,MAX(AA43*(1+Assumptions!$G$14),Assumptions!$G$12),'monthly revenue '!AA43)</f>
        <v>472.5</v>
      </c>
      <c r="AC43" s="86">
        <f>IF(MOD(AC$3,12)=4,MAX(AB43*(1+Assumptions!$G$14),Assumptions!$G$12),'monthly revenue '!AB43)</f>
        <v>472.5</v>
      </c>
      <c r="AD43" s="86">
        <f>IF(MOD(AD$3,12)=4,MAX(AC43*(1+Assumptions!$G$14),Assumptions!$G$12),'monthly revenue '!AC43)</f>
        <v>472.5</v>
      </c>
      <c r="AE43" s="86">
        <f>IF(MOD(AE$3,12)=4,MAX(AD43*(1+Assumptions!$G$14),Assumptions!$G$12),'monthly revenue '!AD43)</f>
        <v>472.5</v>
      </c>
      <c r="AF43" s="86">
        <f>IF(MOD(AF$3,12)=4,MAX(AE43*(1+Assumptions!$G$14),Assumptions!$G$12),'monthly revenue '!AE43)</f>
        <v>496.125</v>
      </c>
      <c r="AG43" s="86">
        <f>IF(MOD(AG$3,12)=4,MAX(AF43*(1+Assumptions!$G$14),Assumptions!$G$12),'monthly revenue '!AF43)</f>
        <v>496.125</v>
      </c>
      <c r="AH43" s="86">
        <f>IF(MOD(AH$3,12)=4,MAX(AG43*(1+Assumptions!$G$14),Assumptions!$G$12),'monthly revenue '!AG43)</f>
        <v>496.125</v>
      </c>
      <c r="AI43" s="86">
        <f>IF(MOD(AI$3,12)=4,MAX(AH43*(1+Assumptions!$G$14),Assumptions!$G$12),'monthly revenue '!AH43)</f>
        <v>496.125</v>
      </c>
      <c r="AJ43" s="86">
        <f>IF(MOD(AJ$3,12)=4,MAX(AI43*(1+Assumptions!$G$14),Assumptions!$G$12),'monthly revenue '!AI43)</f>
        <v>496.125</v>
      </c>
      <c r="AK43" s="86">
        <f>IF(MOD(AK$3,12)=4,MAX(AJ43*(1+Assumptions!$G$14),Assumptions!$G$12),'monthly revenue '!AJ43)</f>
        <v>496.125</v>
      </c>
      <c r="AL43" s="86">
        <f>IF(MOD(AL$3,12)=4,MAX(AK43*(1+Assumptions!$G$14),Assumptions!$G$12),'monthly revenue '!AK43)</f>
        <v>496.125</v>
      </c>
      <c r="AM43" s="86">
        <f>IF(MOD(AM$3,12)=4,MAX(AL43*(1+Assumptions!$G$14),Assumptions!$G$12),'monthly revenue '!AL43)</f>
        <v>496.125</v>
      </c>
      <c r="AN43" s="86">
        <f>IF(MOD(AN$3,12)=4,MAX(AM43*(1+Assumptions!$G$14),Assumptions!$G$12),'monthly revenue '!AM43)</f>
        <v>496.125</v>
      </c>
    </row>
    <row r="44" spans="1:40" x14ac:dyDescent="0.25">
      <c r="A44" s="146" t="s">
        <v>8</v>
      </c>
      <c r="E44" s="86">
        <f>IF(MOD(E$3,12)=4,MAX(D44*(1+Assumptions!$G$14),Assumptions!$G$13),'monthly revenue '!D44)</f>
        <v>0</v>
      </c>
      <c r="F44" s="86">
        <f>IF(MOD(F$3,12)=4,MAX(E44*(1+Assumptions!$G$14),Assumptions!$G$13),'monthly revenue '!E44)</f>
        <v>0</v>
      </c>
      <c r="G44" s="86">
        <f>IF(MOD(G$3,12)=4,MAX(F44*(1+Assumptions!$G$14),Assumptions!$G$13),'monthly revenue '!F44)</f>
        <v>0</v>
      </c>
      <c r="H44" s="86">
        <f>IF(MOD(H$3,12)=4,MAX(G44*(1+Assumptions!$G$14),Assumptions!$G$13),'monthly revenue '!G44)</f>
        <v>1200</v>
      </c>
      <c r="I44" s="86">
        <f>IF(MOD(I$3,12)=4,MAX(H44*(1+Assumptions!$G$14),Assumptions!$G$13),'monthly revenue '!H44)</f>
        <v>1200</v>
      </c>
      <c r="J44" s="86">
        <f>IF(MOD(J$3,12)=4,MAX(I44*(1+Assumptions!$G$14),Assumptions!$G$13),'monthly revenue '!I44)</f>
        <v>1200</v>
      </c>
      <c r="K44" s="86">
        <f>IF(MOD(K$3,12)=4,MAX(J44*(1+Assumptions!$G$14),Assumptions!$G$13),'monthly revenue '!J44)</f>
        <v>1200</v>
      </c>
      <c r="L44" s="86">
        <f>IF(MOD(L$3,12)=4,MAX(K44*(1+Assumptions!$G$14),Assumptions!$G$13),'monthly revenue '!K44)</f>
        <v>1200</v>
      </c>
      <c r="M44" s="86">
        <f>IF(MOD(M$3,12)=4,MAX(L44*(1+Assumptions!$G$14),Assumptions!$G$13),'monthly revenue '!L44)</f>
        <v>1200</v>
      </c>
      <c r="N44" s="86">
        <f>IF(MOD(N$3,12)=4,MAX(M44*(1+Assumptions!$G$14),Assumptions!$G$13),'monthly revenue '!M44)</f>
        <v>1200</v>
      </c>
      <c r="O44" s="86">
        <f>IF(MOD(O$3,12)=4,MAX(N44*(1+Assumptions!$G$14),Assumptions!$G$13),'monthly revenue '!N44)</f>
        <v>1200</v>
      </c>
      <c r="P44" s="86">
        <f>IF(MOD(P$3,12)=4,MAX(O44*(1+Assumptions!$G$14),Assumptions!$G$13),'monthly revenue '!O44)</f>
        <v>1200</v>
      </c>
      <c r="Q44" s="86">
        <f>IF(MOD(Q$3,12)=4,MAX(P44*(1+Assumptions!$G$14),Assumptions!$G$13),'monthly revenue '!P44)</f>
        <v>1200</v>
      </c>
      <c r="R44" s="86">
        <f>IF(MOD(R$3,12)=4,MAX(Q44*(1+Assumptions!$G$14),Assumptions!$G$13),'monthly revenue '!Q44)</f>
        <v>1200</v>
      </c>
      <c r="S44" s="86">
        <f>IF(MOD(S$3,12)=4,MAX(R44*(1+Assumptions!$G$14),Assumptions!$G$13),'monthly revenue '!R44)</f>
        <v>1200</v>
      </c>
      <c r="T44" s="86">
        <f>IF(MOD(T$3,12)=4,MAX(S44*(1+Assumptions!$G$14),Assumptions!$G$13),'monthly revenue '!S44)</f>
        <v>1260</v>
      </c>
      <c r="U44" s="86">
        <f>IF(MOD(U$3,12)=4,MAX(T44*(1+Assumptions!$G$14),Assumptions!$G$13),'monthly revenue '!T44)</f>
        <v>1260</v>
      </c>
      <c r="V44" s="86">
        <f>IF(MOD(V$3,12)=4,MAX(U44*(1+Assumptions!$G$14),Assumptions!$G$13),'monthly revenue '!U44)</f>
        <v>1260</v>
      </c>
      <c r="W44" s="86">
        <f>IF(MOD(W$3,12)=4,MAX(V44*(1+Assumptions!$G$14),Assumptions!$G$13),'monthly revenue '!V44)</f>
        <v>1260</v>
      </c>
      <c r="X44" s="86">
        <f>IF(MOD(X$3,12)=4,MAX(W44*(1+Assumptions!$G$14),Assumptions!$G$13),'monthly revenue '!W44)</f>
        <v>1260</v>
      </c>
      <c r="Y44" s="86">
        <f>IF(MOD(Y$3,12)=4,MAX(X44*(1+Assumptions!$G$14),Assumptions!$G$13),'monthly revenue '!X44)</f>
        <v>1260</v>
      </c>
      <c r="Z44" s="86">
        <f>IF(MOD(Z$3,12)=4,MAX(Y44*(1+Assumptions!$G$14),Assumptions!$G$13),'monthly revenue '!Y44)</f>
        <v>1260</v>
      </c>
      <c r="AA44" s="86">
        <f>IF(MOD(AA$3,12)=4,MAX(Z44*(1+Assumptions!$G$14),Assumptions!$G$13),'monthly revenue '!Z44)</f>
        <v>1260</v>
      </c>
      <c r="AB44" s="86">
        <f>IF(MOD(AB$3,12)=4,MAX(AA44*(1+Assumptions!$G$14),Assumptions!$G$13),'monthly revenue '!AA44)</f>
        <v>1260</v>
      </c>
      <c r="AC44" s="86">
        <f>IF(MOD(AC$3,12)=4,MAX(AB44*(1+Assumptions!$G$14),Assumptions!$G$13),'monthly revenue '!AB44)</f>
        <v>1260</v>
      </c>
      <c r="AD44" s="86">
        <f>IF(MOD(AD$3,12)=4,MAX(AC44*(1+Assumptions!$G$14),Assumptions!$G$13),'monthly revenue '!AC44)</f>
        <v>1260</v>
      </c>
      <c r="AE44" s="86">
        <f>IF(MOD(AE$3,12)=4,MAX(AD44*(1+Assumptions!$G$14),Assumptions!$G$13),'monthly revenue '!AD44)</f>
        <v>1260</v>
      </c>
      <c r="AF44" s="86">
        <f>IF(MOD(AF$3,12)=4,MAX(AE44*(1+Assumptions!$G$14),Assumptions!$G$13),'monthly revenue '!AE44)</f>
        <v>1323</v>
      </c>
      <c r="AG44" s="86">
        <f>IF(MOD(AG$3,12)=4,MAX(AF44*(1+Assumptions!$G$14),Assumptions!$G$13),'monthly revenue '!AF44)</f>
        <v>1323</v>
      </c>
      <c r="AH44" s="86">
        <f>IF(MOD(AH$3,12)=4,MAX(AG44*(1+Assumptions!$G$14),Assumptions!$G$13),'monthly revenue '!AG44)</f>
        <v>1323</v>
      </c>
      <c r="AI44" s="86">
        <f>IF(MOD(AI$3,12)=4,MAX(AH44*(1+Assumptions!$G$14),Assumptions!$G$13),'monthly revenue '!AH44)</f>
        <v>1323</v>
      </c>
      <c r="AJ44" s="86">
        <f>IF(MOD(AJ$3,12)=4,MAX(AI44*(1+Assumptions!$G$14),Assumptions!$G$13),'monthly revenue '!AI44)</f>
        <v>1323</v>
      </c>
      <c r="AK44" s="86">
        <f>IF(MOD(AK$3,12)=4,MAX(AJ44*(1+Assumptions!$G$14),Assumptions!$G$13),'monthly revenue '!AJ44)</f>
        <v>1323</v>
      </c>
      <c r="AL44" s="86">
        <f>IF(MOD(AL$3,12)=4,MAX(AK44*(1+Assumptions!$G$14),Assumptions!$G$13),'monthly revenue '!AK44)</f>
        <v>1323</v>
      </c>
      <c r="AM44" s="86">
        <f>IF(MOD(AM$3,12)=4,MAX(AL44*(1+Assumptions!$G$14),Assumptions!$G$13),'monthly revenue '!AL44)</f>
        <v>1323</v>
      </c>
      <c r="AN44" s="86">
        <f>IF(MOD(AN$3,12)=4,MAX(AM44*(1+Assumptions!$G$14),Assumptions!$G$13),'monthly revenue '!AM44)</f>
        <v>1323</v>
      </c>
    </row>
    <row r="45" spans="1:40" x14ac:dyDescent="0.25">
      <c r="A45" s="156" t="s">
        <v>54</v>
      </c>
      <c r="B45" s="149"/>
      <c r="C45" s="149"/>
      <c r="D45" s="149"/>
      <c r="E45" s="150">
        <f>SUM(E42:E44)</f>
        <v>0</v>
      </c>
      <c r="F45" s="150">
        <f t="shared" ref="F45:AN45" si="56">SUM(F42:F44)</f>
        <v>0</v>
      </c>
      <c r="G45" s="150">
        <f t="shared" si="56"/>
        <v>0</v>
      </c>
      <c r="H45" s="150">
        <f t="shared" si="56"/>
        <v>2300</v>
      </c>
      <c r="I45" s="150">
        <f t="shared" si="56"/>
        <v>2300</v>
      </c>
      <c r="J45" s="150">
        <f t="shared" si="56"/>
        <v>2300</v>
      </c>
      <c r="K45" s="150">
        <f t="shared" si="56"/>
        <v>2300</v>
      </c>
      <c r="L45" s="150">
        <f t="shared" si="56"/>
        <v>2300</v>
      </c>
      <c r="M45" s="150">
        <f t="shared" si="56"/>
        <v>2300</v>
      </c>
      <c r="N45" s="150">
        <f t="shared" si="56"/>
        <v>2300</v>
      </c>
      <c r="O45" s="150">
        <f t="shared" si="56"/>
        <v>2300</v>
      </c>
      <c r="P45" s="150">
        <f t="shared" si="56"/>
        <v>2300</v>
      </c>
      <c r="Q45" s="150">
        <f t="shared" si="56"/>
        <v>2300</v>
      </c>
      <c r="R45" s="150">
        <f t="shared" si="56"/>
        <v>2300</v>
      </c>
      <c r="S45" s="150">
        <f t="shared" si="56"/>
        <v>2300</v>
      </c>
      <c r="T45" s="150">
        <f t="shared" si="56"/>
        <v>2415</v>
      </c>
      <c r="U45" s="150">
        <f t="shared" si="56"/>
        <v>2415</v>
      </c>
      <c r="V45" s="150">
        <f t="shared" si="56"/>
        <v>2415</v>
      </c>
      <c r="W45" s="150">
        <f t="shared" si="56"/>
        <v>2415</v>
      </c>
      <c r="X45" s="150">
        <f t="shared" si="56"/>
        <v>2415</v>
      </c>
      <c r="Y45" s="150">
        <f t="shared" si="56"/>
        <v>2415</v>
      </c>
      <c r="Z45" s="150">
        <f t="shared" si="56"/>
        <v>2415</v>
      </c>
      <c r="AA45" s="150">
        <f t="shared" si="56"/>
        <v>2415</v>
      </c>
      <c r="AB45" s="150">
        <f t="shared" si="56"/>
        <v>2415</v>
      </c>
      <c r="AC45" s="150">
        <f t="shared" si="56"/>
        <v>2415</v>
      </c>
      <c r="AD45" s="150">
        <f t="shared" si="56"/>
        <v>2415</v>
      </c>
      <c r="AE45" s="150">
        <f t="shared" si="56"/>
        <v>2415</v>
      </c>
      <c r="AF45" s="150">
        <f t="shared" si="56"/>
        <v>2535.75</v>
      </c>
      <c r="AG45" s="150">
        <f t="shared" si="56"/>
        <v>2535.75</v>
      </c>
      <c r="AH45" s="150">
        <f t="shared" si="56"/>
        <v>2535.75</v>
      </c>
      <c r="AI45" s="150">
        <f t="shared" si="56"/>
        <v>2535.75</v>
      </c>
      <c r="AJ45" s="150">
        <f t="shared" si="56"/>
        <v>2535.75</v>
      </c>
      <c r="AK45" s="150">
        <f t="shared" si="56"/>
        <v>2535.75</v>
      </c>
      <c r="AL45" s="150">
        <f t="shared" si="56"/>
        <v>2535.75</v>
      </c>
      <c r="AM45" s="150">
        <f t="shared" si="56"/>
        <v>2535.75</v>
      </c>
      <c r="AN45" s="150">
        <f t="shared" si="56"/>
        <v>2535.75</v>
      </c>
    </row>
    <row r="47" spans="1:40" x14ac:dyDescent="0.25">
      <c r="A47" s="154" t="s">
        <v>115</v>
      </c>
    </row>
    <row r="49" spans="1:40" x14ac:dyDescent="0.25">
      <c r="A49" s="153" t="s">
        <v>109</v>
      </c>
    </row>
    <row r="50" spans="1:40" x14ac:dyDescent="0.25">
      <c r="A50" s="89" t="s">
        <v>110</v>
      </c>
    </row>
    <row r="51" spans="1:40" x14ac:dyDescent="0.25">
      <c r="A51" s="145" t="s">
        <v>6</v>
      </c>
      <c r="E51" s="86">
        <f>E$23*E$12*E$6/Den</f>
        <v>0</v>
      </c>
      <c r="F51" s="86">
        <f>F$23*F$12*F$6/Den</f>
        <v>0</v>
      </c>
      <c r="G51" s="86">
        <f>G$23*G$12*G$6/Den</f>
        <v>0</v>
      </c>
      <c r="H51" s="86">
        <f>H$23*H$12*H$6/Den</f>
        <v>1.84</v>
      </c>
      <c r="I51" s="86">
        <f>I$23*I$12*I$6/Den</f>
        <v>1.7135999999999998</v>
      </c>
      <c r="J51" s="86">
        <f>J$23*J$12*J$6/Den</f>
        <v>1.8311040000000003</v>
      </c>
      <c r="K51" s="86">
        <f>K$23*K$12*K$6/Den</f>
        <v>1.8677260800000002</v>
      </c>
      <c r="L51" s="86">
        <f>L$23*L$12*L$6/Den</f>
        <v>1.8184860288000002</v>
      </c>
      <c r="M51" s="86">
        <f>M$23*M$12*M$6/Den</f>
        <v>2.031508677888</v>
      </c>
      <c r="N51" s="86">
        <f>N$23*N$12*N$6/Den</f>
        <v>1.8919528643635204</v>
      </c>
      <c r="O51" s="86">
        <f>O$23*O$12*O$6/Den</f>
        <v>1.837897068238848</v>
      </c>
      <c r="P51" s="86">
        <f>P$23*P$12*P$6/Den</f>
        <v>2.155853261044169</v>
      </c>
      <c r="Q51" s="86">
        <f>Q$23*Q$12*Q$6/Den</f>
        <v>2.1033629207752673</v>
      </c>
      <c r="R51" s="86">
        <f>R$23*R$12*R$6/Den</f>
        <v>2.0479106255911921</v>
      </c>
      <c r="S51" s="86">
        <f>S$23*S$12*S$6/Den</f>
        <v>2.1883387827745882</v>
      </c>
      <c r="T51" s="86">
        <f>T$23*T$12*T$6/Den</f>
        <v>2.3437108363515842</v>
      </c>
      <c r="U51" s="86">
        <f>U$23*U$12*U$6/Den</f>
        <v>2.3905850530786155</v>
      </c>
      <c r="V51" s="86">
        <f>V$23*V$12*V$6/Den</f>
        <v>2.4383967541401881</v>
      </c>
      <c r="W51" s="86">
        <f>W$23*W$12*W$6/Den</f>
        <v>2.3741117488037649</v>
      </c>
      <c r="X51" s="86">
        <f>X$23*X$12*X$6/Den</f>
        <v>2.5369079830074517</v>
      </c>
      <c r="Y51" s="86">
        <f>Y$23*Y$12*Y$6/Den</f>
        <v>2.7052664218797644</v>
      </c>
      <c r="Z51" s="86">
        <f>Z$23*Z$12*Z$6/Den</f>
        <v>2.5194263807245458</v>
      </c>
      <c r="AA51" s="86">
        <f>AA$23*AA$12*AA$6/Den</f>
        <v>2.4474427698467016</v>
      </c>
      <c r="AB51" s="86">
        <f>AB$23*AB$12*AB$6/Den</f>
        <v>2.8708503690301805</v>
      </c>
      <c r="AC51" s="86">
        <f>AC$23*AC$12*AC$6/Den</f>
        <v>2.673635430635934</v>
      </c>
      <c r="AD51" s="86">
        <f>AD$23*AD$12*AD$6/Den</f>
        <v>2.8569704315938265</v>
      </c>
      <c r="AE51" s="86">
        <f>AE$23*AE$12*AE$6/Den</f>
        <v>2.9141098402257031</v>
      </c>
      <c r="AF51" s="86">
        <f>AF$23*AF$12*AF$6/Den</f>
        <v>2.9791474734780135</v>
      </c>
      <c r="AG51" s="86">
        <f>AG$23*AG$12*AG$6/Den</f>
        <v>3.3281333203711516</v>
      </c>
      <c r="AH51" s="86">
        <f>AH$23*AH$12*AH$6/Den</f>
        <v>3.2471005090925504</v>
      </c>
      <c r="AI51" s="86">
        <f>AI$23*AI$12*AI$6/Den</f>
        <v>3.161495132034656</v>
      </c>
      <c r="AJ51" s="86">
        <f>AJ$23*AJ$12*AJ$6/Den</f>
        <v>3.3782833696598895</v>
      </c>
      <c r="AK51" s="86">
        <f>AK$23*AK$12*AK$6/Den</f>
        <v>3.4458490370530872</v>
      </c>
      <c r="AL51" s="86">
        <f>AL$23*AL$12*AL$6/Den</f>
        <v>3.5147660177941491</v>
      </c>
      <c r="AM51" s="86">
        <f>AM$23*AM$12*AM$6/Den</f>
        <v>3.2591466710454835</v>
      </c>
      <c r="AN51" s="86">
        <f>AN$23*AN$12*AN$6/Den</f>
        <v>3.8229790451363534</v>
      </c>
    </row>
    <row r="52" spans="1:40" x14ac:dyDescent="0.25">
      <c r="A52" s="145" t="s">
        <v>7</v>
      </c>
      <c r="E52" s="86">
        <f>E$24*E$12*E$6/Den</f>
        <v>0</v>
      </c>
      <c r="F52" s="86">
        <f>F$24*F$12*F$6/Den</f>
        <v>0</v>
      </c>
      <c r="G52" s="86">
        <f>G$24*G$12*G$6/Den</f>
        <v>0</v>
      </c>
      <c r="H52" s="86">
        <f>H$24*H$12*H$6/Den</f>
        <v>1.38</v>
      </c>
      <c r="I52" s="86">
        <f>I$24*I$12*I$6/Den</f>
        <v>1.2851999999999999</v>
      </c>
      <c r="J52" s="86">
        <f>J$24*J$12*J$6/Den</f>
        <v>1.3733279999999999</v>
      </c>
      <c r="K52" s="86">
        <f>K$24*K$12*K$6/Den</f>
        <v>1.40079456</v>
      </c>
      <c r="L52" s="86">
        <f>L$24*L$12*L$6/Den</f>
        <v>1.3638645216</v>
      </c>
      <c r="M52" s="86">
        <f>M$24*M$12*M$6/Den</f>
        <v>1.5236315084160004</v>
      </c>
      <c r="N52" s="86">
        <f>N$24*N$12*N$6/Den</f>
        <v>1.4189646482726401</v>
      </c>
      <c r="O52" s="86">
        <f>O$24*O$12*O$6/Den</f>
        <v>1.3784228011791362</v>
      </c>
      <c r="P52" s="86">
        <f>P$24*P$12*P$6/Den</f>
        <v>1.6168899457831265</v>
      </c>
      <c r="Q52" s="86">
        <f>Q$24*Q$12*Q$6/Den</f>
        <v>1.5775221905814505</v>
      </c>
      <c r="R52" s="86">
        <f>R$24*R$12*R$6/Den</f>
        <v>1.5359329691933938</v>
      </c>
      <c r="S52" s="86">
        <f>S$24*S$12*S$6/Den</f>
        <v>1.6412540870809413</v>
      </c>
      <c r="T52" s="86">
        <f>T$24*T$12*T$6/Den</f>
        <v>1.7577831272636877</v>
      </c>
      <c r="U52" s="86">
        <f>U$24*U$12*U$6/Den</f>
        <v>1.7929387898089615</v>
      </c>
      <c r="V52" s="86">
        <f>V$24*V$12*V$6/Den</f>
        <v>1.8287975656051407</v>
      </c>
      <c r="W52" s="86">
        <f>W$24*W$12*W$6/Den</f>
        <v>1.7805838116028236</v>
      </c>
      <c r="X52" s="86">
        <f>X$24*X$12*X$6/Den</f>
        <v>1.902680987255589</v>
      </c>
      <c r="Y52" s="86">
        <f>Y$24*Y$12*Y$6/Den</f>
        <v>2.0289498164098236</v>
      </c>
      <c r="Z52" s="86">
        <f>Z$24*Z$12*Z$6/Den</f>
        <v>1.8895697855434095</v>
      </c>
      <c r="AA52" s="86">
        <f>AA$24*AA$12*AA$6/Den</f>
        <v>1.8355820773850264</v>
      </c>
      <c r="AB52" s="86">
        <f>AB$24*AB$12*AB$6/Den</f>
        <v>2.1531377767726361</v>
      </c>
      <c r="AC52" s="86">
        <f>AC$24*AC$12*AC$6/Den</f>
        <v>2.0052265729769507</v>
      </c>
      <c r="AD52" s="86">
        <f>AD$24*AD$12*AD$6/Den</f>
        <v>2.14272782369537</v>
      </c>
      <c r="AE52" s="86">
        <f>AE$24*AE$12*AE$6/Den</f>
        <v>2.1855823801692775</v>
      </c>
      <c r="AF52" s="86">
        <f>AF$24*AF$12*AF$6/Den</f>
        <v>2.2343606051085101</v>
      </c>
      <c r="AG52" s="86">
        <f>AG$24*AG$12*AG$6/Den</f>
        <v>2.4960999902783638</v>
      </c>
      <c r="AH52" s="86">
        <f>AH$24*AH$12*AH$6/Den</f>
        <v>2.4353253818194127</v>
      </c>
      <c r="AI52" s="86">
        <f>AI$24*AI$12*AI$6/Den</f>
        <v>2.3711213490259917</v>
      </c>
      <c r="AJ52" s="86">
        <f>AJ$24*AJ$12*AJ$6/Den</f>
        <v>2.5337125272449175</v>
      </c>
      <c r="AK52" s="86">
        <f>AK$24*AK$12*AK$6/Den</f>
        <v>2.5843867777898155</v>
      </c>
      <c r="AL52" s="86">
        <f>AL$24*AL$12*AL$6/Den</f>
        <v>2.636074513345612</v>
      </c>
      <c r="AM52" s="86">
        <f>AM$24*AM$12*AM$6/Den</f>
        <v>2.4443600032841131</v>
      </c>
      <c r="AN52" s="86">
        <f>AN$24*AN$12*AN$6/Den</f>
        <v>2.8672342838522646</v>
      </c>
    </row>
    <row r="53" spans="1:40" x14ac:dyDescent="0.25">
      <c r="A53" s="145" t="s">
        <v>8</v>
      </c>
      <c r="E53" s="86">
        <f>E$25*E$12*E$6/Den</f>
        <v>0</v>
      </c>
      <c r="F53" s="86">
        <f>F$25*F$12*F$6/Den</f>
        <v>0</v>
      </c>
      <c r="G53" s="86">
        <f>G$25*G$12*G$6/Den</f>
        <v>0</v>
      </c>
      <c r="H53" s="86">
        <f>H$25*H$12*H$6/Den</f>
        <v>5.52</v>
      </c>
      <c r="I53" s="86">
        <f>I$25*I$12*I$6/Den</f>
        <v>5.1407999999999996</v>
      </c>
      <c r="J53" s="86">
        <f>J$25*J$12*J$6/Den</f>
        <v>5.4933119999999995</v>
      </c>
      <c r="K53" s="86">
        <f>K$25*K$12*K$6/Den</f>
        <v>5.6031782400000001</v>
      </c>
      <c r="L53" s="86">
        <f>L$25*L$12*L$6/Den</f>
        <v>5.4554580864000002</v>
      </c>
      <c r="M53" s="86">
        <f>M$25*M$12*M$6/Den</f>
        <v>6.0945260336640015</v>
      </c>
      <c r="N53" s="86">
        <f>N$25*N$12*N$6/Den</f>
        <v>5.6758585930905605</v>
      </c>
      <c r="O53" s="86">
        <f>O$25*O$12*O$6/Den</f>
        <v>5.5136912047165447</v>
      </c>
      <c r="P53" s="86">
        <f>P$25*P$12*P$6/Den</f>
        <v>6.467559783132506</v>
      </c>
      <c r="Q53" s="86">
        <f>Q$25*Q$12*Q$6/Den</f>
        <v>6.310088762325802</v>
      </c>
      <c r="R53" s="86">
        <f>R$25*R$12*R$6/Den</f>
        <v>6.1437318767735754</v>
      </c>
      <c r="S53" s="86">
        <f>S$25*S$12*S$6/Den</f>
        <v>6.5650163483237653</v>
      </c>
      <c r="T53" s="86">
        <f>T$25*T$12*T$6/Den</f>
        <v>7.0311325090547507</v>
      </c>
      <c r="U53" s="86">
        <f>U$25*U$12*U$6/Den</f>
        <v>7.1717551592358459</v>
      </c>
      <c r="V53" s="86">
        <f>V$25*V$12*V$6/Den</f>
        <v>7.3151902624205629</v>
      </c>
      <c r="W53" s="86">
        <f>W$25*W$12*W$6/Den</f>
        <v>7.1223352464112946</v>
      </c>
      <c r="X53" s="86">
        <f>X$25*X$12*X$6/Den</f>
        <v>7.6107239490223559</v>
      </c>
      <c r="Y53" s="86">
        <f>Y$25*Y$12*Y$6/Den</f>
        <v>8.1157992656392945</v>
      </c>
      <c r="Z53" s="86">
        <f>Z$25*Z$12*Z$6/Den</f>
        <v>7.5582791421736379</v>
      </c>
      <c r="AA53" s="86">
        <f>AA$25*AA$12*AA$6/Den</f>
        <v>7.3423283095401057</v>
      </c>
      <c r="AB53" s="86">
        <f>AB$25*AB$12*AB$6/Den</f>
        <v>8.6125511070905443</v>
      </c>
      <c r="AC53" s="86">
        <f>AC$25*AC$12*AC$6/Den</f>
        <v>8.0209062919078029</v>
      </c>
      <c r="AD53" s="86">
        <f>AD$25*AD$12*AD$6/Den</f>
        <v>8.5709112947814798</v>
      </c>
      <c r="AE53" s="86">
        <f>AE$25*AE$12*AE$6/Den</f>
        <v>8.7423295206771101</v>
      </c>
      <c r="AF53" s="86">
        <f>AF$25*AF$12*AF$6/Den</f>
        <v>8.9374424204340404</v>
      </c>
      <c r="AG53" s="86">
        <f>AG$25*AG$12*AG$6/Den</f>
        <v>9.9843999611134553</v>
      </c>
      <c r="AH53" s="86">
        <f>AH$25*AH$12*AH$6/Den</f>
        <v>9.7413015272776509</v>
      </c>
      <c r="AI53" s="86">
        <f>AI$25*AI$12*AI$6/Den</f>
        <v>9.4844853961039668</v>
      </c>
      <c r="AJ53" s="86">
        <f>AJ$25*AJ$12*AJ$6/Den</f>
        <v>10.13485010897967</v>
      </c>
      <c r="AK53" s="86">
        <f>AK$25*AK$12*AK$6/Den</f>
        <v>10.337547111159262</v>
      </c>
      <c r="AL53" s="86">
        <f>AL$25*AL$12*AL$6/Den</f>
        <v>10.544298053382448</v>
      </c>
      <c r="AM53" s="86">
        <f>AM$25*AM$12*AM$6/Den</f>
        <v>9.7774400131364523</v>
      </c>
      <c r="AN53" s="86">
        <f>AN$25*AN$12*AN$6/Den</f>
        <v>11.468937135409059</v>
      </c>
    </row>
    <row r="54" spans="1:40" x14ac:dyDescent="0.25">
      <c r="A54" s="156" t="s">
        <v>54</v>
      </c>
      <c r="B54" s="157"/>
      <c r="C54" s="157"/>
      <c r="D54" s="157"/>
      <c r="E54" s="158">
        <f>SUM(E51:E53)</f>
        <v>0</v>
      </c>
      <c r="F54" s="158">
        <f t="shared" ref="F54:AN54" si="57">SUM(F51:F53)</f>
        <v>0</v>
      </c>
      <c r="G54" s="158">
        <f t="shared" si="57"/>
        <v>0</v>
      </c>
      <c r="H54" s="158">
        <f t="shared" si="57"/>
        <v>8.7399999999999984</v>
      </c>
      <c r="I54" s="158">
        <f t="shared" si="57"/>
        <v>8.1395999999999997</v>
      </c>
      <c r="J54" s="158">
        <f t="shared" si="57"/>
        <v>8.6977440000000001</v>
      </c>
      <c r="K54" s="158">
        <f t="shared" si="57"/>
        <v>8.8716988800000003</v>
      </c>
      <c r="L54" s="158">
        <f t="shared" si="57"/>
        <v>8.6378086368000009</v>
      </c>
      <c r="M54" s="158">
        <f t="shared" si="57"/>
        <v>9.649666219968001</v>
      </c>
      <c r="N54" s="158">
        <f t="shared" si="57"/>
        <v>8.9867761057267206</v>
      </c>
      <c r="O54" s="158">
        <f t="shared" si="57"/>
        <v>8.7300110741345289</v>
      </c>
      <c r="P54" s="158">
        <f t="shared" si="57"/>
        <v>10.240302989959801</v>
      </c>
      <c r="Q54" s="158">
        <f t="shared" si="57"/>
        <v>9.9909738736825204</v>
      </c>
      <c r="R54" s="158">
        <f t="shared" si="57"/>
        <v>9.7275754715581613</v>
      </c>
      <c r="S54" s="158">
        <f t="shared" si="57"/>
        <v>10.394609218179294</v>
      </c>
      <c r="T54" s="158">
        <f t="shared" si="57"/>
        <v>11.132626472670022</v>
      </c>
      <c r="U54" s="158">
        <f t="shared" si="57"/>
        <v>11.355279002123423</v>
      </c>
      <c r="V54" s="158">
        <f t="shared" si="57"/>
        <v>11.582384582165892</v>
      </c>
      <c r="W54" s="158">
        <f t="shared" si="57"/>
        <v>11.277030806817884</v>
      </c>
      <c r="X54" s="158">
        <f t="shared" si="57"/>
        <v>12.050312919285396</v>
      </c>
      <c r="Y54" s="158">
        <f t="shared" si="57"/>
        <v>12.850015503928883</v>
      </c>
      <c r="Z54" s="158">
        <f t="shared" si="57"/>
        <v>11.967275308441593</v>
      </c>
      <c r="AA54" s="158">
        <f t="shared" si="57"/>
        <v>11.625353156771833</v>
      </c>
      <c r="AB54" s="158">
        <f t="shared" si="57"/>
        <v>13.63653925289336</v>
      </c>
      <c r="AC54" s="158">
        <f t="shared" si="57"/>
        <v>12.699768295520688</v>
      </c>
      <c r="AD54" s="158">
        <f t="shared" si="57"/>
        <v>13.570609550070676</v>
      </c>
      <c r="AE54" s="158">
        <f t="shared" si="57"/>
        <v>13.842021741072092</v>
      </c>
      <c r="AF54" s="158">
        <f t="shared" si="57"/>
        <v>14.150950499020563</v>
      </c>
      <c r="AG54" s="158">
        <f t="shared" si="57"/>
        <v>15.808633271762972</v>
      </c>
      <c r="AH54" s="158">
        <f t="shared" si="57"/>
        <v>15.423727418189614</v>
      </c>
      <c r="AI54" s="158">
        <f t="shared" si="57"/>
        <v>15.017101877164615</v>
      </c>
      <c r="AJ54" s="158">
        <f t="shared" si="57"/>
        <v>16.046846005884476</v>
      </c>
      <c r="AK54" s="158">
        <f t="shared" si="57"/>
        <v>16.367782926002164</v>
      </c>
      <c r="AL54" s="158">
        <f t="shared" si="57"/>
        <v>16.695138584522208</v>
      </c>
      <c r="AM54" s="158">
        <f t="shared" si="57"/>
        <v>15.480946687466048</v>
      </c>
      <c r="AN54" s="158">
        <f t="shared" si="57"/>
        <v>18.159150464397676</v>
      </c>
    </row>
    <row r="55" spans="1:40" x14ac:dyDescent="0.25">
      <c r="A55" s="147"/>
    </row>
    <row r="56" spans="1:40" x14ac:dyDescent="0.25">
      <c r="A56" s="89" t="s">
        <v>111</v>
      </c>
    </row>
    <row r="57" spans="1:40" x14ac:dyDescent="0.25">
      <c r="A57" s="146" t="s">
        <v>6</v>
      </c>
      <c r="E57" s="86">
        <f>E$29*E$13*E$6/Den</f>
        <v>0</v>
      </c>
      <c r="F57" s="86">
        <f>F$29*F$13*F$6/Den</f>
        <v>0</v>
      </c>
      <c r="G57" s="86">
        <f>G$29*G$13*G$6/Den</f>
        <v>0</v>
      </c>
      <c r="H57" s="86">
        <f>H$29*H$13*H$6/Den</f>
        <v>2.3919999999999999</v>
      </c>
      <c r="I57" s="86">
        <f>I$29*I$13*I$6/Den</f>
        <v>2.2276799999999999</v>
      </c>
      <c r="J57" s="86">
        <f>J$29*J$13*J$6/Den</f>
        <v>2.3804352</v>
      </c>
      <c r="K57" s="86">
        <f>K$29*K$13*K$6/Den</f>
        <v>2.4280439039999999</v>
      </c>
      <c r="L57" s="86">
        <f>L$29*L$13*L$6/Den</f>
        <v>2.3640318374400002</v>
      </c>
      <c r="M57" s="86">
        <f>M$29*M$13*M$6/Den</f>
        <v>2.6409612812544006</v>
      </c>
      <c r="N57" s="86">
        <f>N$29*N$13*N$6/Den</f>
        <v>2.4595387236725759</v>
      </c>
      <c r="O57" s="86">
        <f>O$29*O$13*O$6/Den</f>
        <v>2.3892661887105024</v>
      </c>
      <c r="P57" s="86">
        <f>P$29*P$13*P$6/Den</f>
        <v>2.8026092393574196</v>
      </c>
      <c r="Q57" s="86">
        <f>Q$29*Q$13*Q$6/Den</f>
        <v>2.7343717970078472</v>
      </c>
      <c r="R57" s="86">
        <f>R$29*R$13*R$6/Den</f>
        <v>2.6622838132685498</v>
      </c>
      <c r="S57" s="86">
        <f>S$29*S$13*S$6/Den</f>
        <v>2.8448404176069646</v>
      </c>
      <c r="T57" s="86">
        <f>T$29*T$13*T$6/Den</f>
        <v>3.0468240872570589</v>
      </c>
      <c r="U57" s="86">
        <f>U$29*U$13*U$6/Den</f>
        <v>3.1077605690021999</v>
      </c>
      <c r="V57" s="86">
        <f>V$29*V$13*V$6/Den</f>
        <v>3.1699157803822442</v>
      </c>
      <c r="W57" s="86">
        <f>W$29*W$13*W$6/Den</f>
        <v>3.086345273444894</v>
      </c>
      <c r="X57" s="86">
        <f>X$29*X$13*X$6/Den</f>
        <v>3.2979803779096866</v>
      </c>
      <c r="Y57" s="86">
        <f>Y$29*Y$13*Y$6/Den</f>
        <v>3.5168463484436931</v>
      </c>
      <c r="Z57" s="86">
        <f>Z$29*Z$13*Z$6/Den</f>
        <v>3.275254294941909</v>
      </c>
      <c r="AA57" s="86">
        <f>AA$29*AA$13*AA$6/Den</f>
        <v>3.1816756008007121</v>
      </c>
      <c r="AB57" s="86">
        <f>AB$29*AB$13*AB$6/Den</f>
        <v>3.7321054797392352</v>
      </c>
      <c r="AC57" s="86">
        <f>AC$29*AC$13*AC$6/Den</f>
        <v>3.4757260598267141</v>
      </c>
      <c r="AD57" s="86">
        <f>AD$29*AD$13*AD$6/Den</f>
        <v>3.7140615610719738</v>
      </c>
      <c r="AE57" s="86">
        <f>AE$29*AE$13*AE$6/Den</f>
        <v>3.7883427922934141</v>
      </c>
      <c r="AF57" s="86">
        <f>AF$29*AF$13*AF$6/Den</f>
        <v>3.8728917155214164</v>
      </c>
      <c r="AG57" s="86">
        <f>AG$29*AG$13*AG$6/Den</f>
        <v>4.3265733164824969</v>
      </c>
      <c r="AH57" s="86">
        <f>AH$29*AH$13*AH$6/Den</f>
        <v>4.2212306618203144</v>
      </c>
      <c r="AI57" s="86">
        <f>AI$29*AI$13*AI$6/Den</f>
        <v>4.1099436716450519</v>
      </c>
      <c r="AJ57" s="86">
        <f>AJ$29*AJ$13*AJ$6/Den</f>
        <v>4.3917683805578545</v>
      </c>
      <c r="AK57" s="86">
        <f>AK$29*AK$13*AK$6/Den</f>
        <v>4.479603748169013</v>
      </c>
      <c r="AL57" s="86">
        <f>AL$29*AL$13*AL$6/Den</f>
        <v>4.569195823132393</v>
      </c>
      <c r="AM57" s="86">
        <f>AM$29*AM$13*AM$6/Den</f>
        <v>4.2368906723591282</v>
      </c>
      <c r="AN57" s="86">
        <f>AN$29*AN$13*AN$6/Den</f>
        <v>4.9698727586772566</v>
      </c>
    </row>
    <row r="58" spans="1:40" x14ac:dyDescent="0.25">
      <c r="A58" s="146" t="s">
        <v>7</v>
      </c>
      <c r="E58" s="86">
        <f>E$30*E$13*E$6/Den</f>
        <v>0</v>
      </c>
      <c r="F58" s="86">
        <f>F$30*F$13*F$6/Den</f>
        <v>0</v>
      </c>
      <c r="G58" s="86">
        <f>G$30*G$13*G$6/Den</f>
        <v>0</v>
      </c>
      <c r="H58" s="86">
        <f>H$30*H$13*H$6/Den</f>
        <v>2.3919999999999999</v>
      </c>
      <c r="I58" s="86">
        <f>I$30*I$13*I$6/Den</f>
        <v>2.2276799999999999</v>
      </c>
      <c r="J58" s="86">
        <f>J$30*J$13*J$6/Den</f>
        <v>2.3804352</v>
      </c>
      <c r="K58" s="86">
        <f>K$30*K$13*K$6/Den</f>
        <v>2.4280439039999999</v>
      </c>
      <c r="L58" s="86">
        <f>L$30*L$13*L$6/Den</f>
        <v>2.3640318374400002</v>
      </c>
      <c r="M58" s="86">
        <f>M$30*M$13*M$6/Den</f>
        <v>2.6409612812544006</v>
      </c>
      <c r="N58" s="86">
        <f>N$30*N$13*N$6/Den</f>
        <v>2.4595387236725759</v>
      </c>
      <c r="O58" s="86">
        <f>O$30*O$13*O$6/Den</f>
        <v>2.3892661887105024</v>
      </c>
      <c r="P58" s="86">
        <f>P$30*P$13*P$6/Den</f>
        <v>2.8026092393574196</v>
      </c>
      <c r="Q58" s="86">
        <f>Q$30*Q$13*Q$6/Den</f>
        <v>2.7343717970078472</v>
      </c>
      <c r="R58" s="86">
        <f>R$30*R$13*R$6/Den</f>
        <v>2.6622838132685498</v>
      </c>
      <c r="S58" s="86">
        <f>S$30*S$13*S$6/Den</f>
        <v>2.8448404176069646</v>
      </c>
      <c r="T58" s="86">
        <f>T$30*T$13*T$6/Den</f>
        <v>3.0468240872570589</v>
      </c>
      <c r="U58" s="86">
        <f>U$30*U$13*U$6/Den</f>
        <v>3.1077605690021999</v>
      </c>
      <c r="V58" s="86">
        <f>V$30*V$13*V$6/Den</f>
        <v>3.1699157803822442</v>
      </c>
      <c r="W58" s="86">
        <f>W$30*W$13*W$6/Den</f>
        <v>3.086345273444894</v>
      </c>
      <c r="X58" s="86">
        <f>X$30*X$13*X$6/Den</f>
        <v>3.2979803779096866</v>
      </c>
      <c r="Y58" s="86">
        <f>Y$30*Y$13*Y$6/Den</f>
        <v>3.5168463484436931</v>
      </c>
      <c r="Z58" s="86">
        <f>Z$30*Z$13*Z$6/Den</f>
        <v>3.275254294941909</v>
      </c>
      <c r="AA58" s="86">
        <f>AA$30*AA$13*AA$6/Den</f>
        <v>3.1816756008007121</v>
      </c>
      <c r="AB58" s="86">
        <f>AB$30*AB$13*AB$6/Den</f>
        <v>3.7321054797392352</v>
      </c>
      <c r="AC58" s="86">
        <f>AC$30*AC$13*AC$6/Den</f>
        <v>3.4757260598267141</v>
      </c>
      <c r="AD58" s="86">
        <f>AD$30*AD$13*AD$6/Den</f>
        <v>3.7140615610719738</v>
      </c>
      <c r="AE58" s="86">
        <f>AE$30*AE$13*AE$6/Den</f>
        <v>3.7883427922934141</v>
      </c>
      <c r="AF58" s="86">
        <f>AF$30*AF$13*AF$6/Den</f>
        <v>3.8728917155214164</v>
      </c>
      <c r="AG58" s="86">
        <f>AG$30*AG$13*AG$6/Den</f>
        <v>4.3265733164824969</v>
      </c>
      <c r="AH58" s="86">
        <f>AH$30*AH$13*AH$6/Den</f>
        <v>4.2212306618203144</v>
      </c>
      <c r="AI58" s="86">
        <f>AI$30*AI$13*AI$6/Den</f>
        <v>4.1099436716450519</v>
      </c>
      <c r="AJ58" s="86">
        <f>AJ$30*AJ$13*AJ$6/Den</f>
        <v>4.3917683805578545</v>
      </c>
      <c r="AK58" s="86">
        <f>AK$30*AK$13*AK$6/Den</f>
        <v>4.479603748169013</v>
      </c>
      <c r="AL58" s="86">
        <f>AL$30*AL$13*AL$6/Den</f>
        <v>4.569195823132393</v>
      </c>
      <c r="AM58" s="86">
        <f>AM$30*AM$13*AM$6/Den</f>
        <v>4.2368906723591282</v>
      </c>
      <c r="AN58" s="86">
        <f>AN$30*AN$13*AN$6/Den</f>
        <v>4.9698727586772566</v>
      </c>
    </row>
    <row r="59" spans="1:40" x14ac:dyDescent="0.25">
      <c r="A59" s="146" t="s">
        <v>8</v>
      </c>
      <c r="E59" s="86">
        <f>E$31*E$13*E$6/Den</f>
        <v>0</v>
      </c>
      <c r="F59" s="86">
        <f>F$31*F$13*F$6/Den</f>
        <v>0</v>
      </c>
      <c r="G59" s="86">
        <f>G$31*G$13*G$6/Den</f>
        <v>0</v>
      </c>
      <c r="H59" s="86">
        <f>H$31*H$13*H$6/Den</f>
        <v>7.1760000000000002</v>
      </c>
      <c r="I59" s="86">
        <f>I$31*I$13*I$6/Den</f>
        <v>6.6830400000000001</v>
      </c>
      <c r="J59" s="86">
        <f>J$31*J$13*J$6/Den</f>
        <v>7.141305599999999</v>
      </c>
      <c r="K59" s="86">
        <f>K$31*K$13*K$6/Den</f>
        <v>7.2841317119999998</v>
      </c>
      <c r="L59" s="86">
        <f>L$31*L$13*L$6/Den</f>
        <v>7.0920955123200011</v>
      </c>
      <c r="M59" s="86">
        <f>M$31*M$13*M$6/Den</f>
        <v>7.9228838437632003</v>
      </c>
      <c r="N59" s="86">
        <f>N$31*N$13*N$6/Den</f>
        <v>7.3786161710177272</v>
      </c>
      <c r="O59" s="86">
        <f>O$31*O$13*O$6/Den</f>
        <v>7.1677985661315082</v>
      </c>
      <c r="P59" s="86">
        <f>P$31*P$13*P$6/Den</f>
        <v>8.4078277180722569</v>
      </c>
      <c r="Q59" s="86">
        <f>Q$31*Q$13*Q$6/Den</f>
        <v>8.2031153910235428</v>
      </c>
      <c r="R59" s="86">
        <f>R$31*R$13*R$6/Den</f>
        <v>7.9868514398056503</v>
      </c>
      <c r="S59" s="86">
        <f>S$31*S$13*S$6/Den</f>
        <v>8.5345212528208929</v>
      </c>
      <c r="T59" s="86">
        <f>T$31*T$13*T$6/Den</f>
        <v>9.1404722617711762</v>
      </c>
      <c r="U59" s="86">
        <f>U$31*U$13*U$6/Den</f>
        <v>9.3232817070066005</v>
      </c>
      <c r="V59" s="86">
        <f>V$31*V$13*V$6/Den</f>
        <v>9.509747341146733</v>
      </c>
      <c r="W59" s="86">
        <f>W$31*W$13*W$6/Den</f>
        <v>9.259035820334681</v>
      </c>
      <c r="X59" s="86">
        <f>X$31*X$13*X$6/Den</f>
        <v>9.8939411337290597</v>
      </c>
      <c r="Y59" s="86">
        <f>Y$31*Y$13*Y$6/Den</f>
        <v>10.550539045331078</v>
      </c>
      <c r="Z59" s="86">
        <f>Z$31*Z$13*Z$6/Den</f>
        <v>9.8257628848257266</v>
      </c>
      <c r="AA59" s="86">
        <f>AA$31*AA$13*AA$6/Den</f>
        <v>9.5450268024021359</v>
      </c>
      <c r="AB59" s="86">
        <f>AB$31*AB$13*AB$6/Den</f>
        <v>11.196316439217703</v>
      </c>
      <c r="AC59" s="86">
        <f>AC$31*AC$13*AC$6/Den</f>
        <v>10.427178179480141</v>
      </c>
      <c r="AD59" s="86">
        <f>AD$31*AD$13*AD$6/Den</f>
        <v>11.142184683215923</v>
      </c>
      <c r="AE59" s="86">
        <f>AE$31*AE$13*AE$6/Den</f>
        <v>11.365028376880241</v>
      </c>
      <c r="AF59" s="86">
        <f>AF$31*AF$13*AF$6/Den</f>
        <v>11.61867514656425</v>
      </c>
      <c r="AG59" s="86">
        <f>AG$31*AG$13*AG$6/Den</f>
        <v>12.979719949447492</v>
      </c>
      <c r="AH59" s="86">
        <f>AH$31*AH$13*AH$6/Den</f>
        <v>12.663691985460943</v>
      </c>
      <c r="AI59" s="86">
        <f>AI$31*AI$13*AI$6/Den</f>
        <v>12.329831014935156</v>
      </c>
      <c r="AJ59" s="86">
        <f>AJ$31*AJ$13*AJ$6/Den</f>
        <v>13.175305141673565</v>
      </c>
      <c r="AK59" s="86">
        <f>AK$31*AK$13*AK$6/Den</f>
        <v>13.438811244507036</v>
      </c>
      <c r="AL59" s="86">
        <f>AL$31*AL$13*AL$6/Den</f>
        <v>13.707587469397177</v>
      </c>
      <c r="AM59" s="86">
        <f>AM$31*AM$13*AM$6/Den</f>
        <v>12.710672017077382</v>
      </c>
      <c r="AN59" s="86">
        <f>AN$31*AN$13*AN$6/Den</f>
        <v>14.90961827603177</v>
      </c>
    </row>
    <row r="60" spans="1:40" x14ac:dyDescent="0.25">
      <c r="A60" s="156" t="s">
        <v>54</v>
      </c>
      <c r="B60" s="157"/>
      <c r="C60" s="157"/>
      <c r="D60" s="157"/>
      <c r="E60" s="150">
        <f>SUM(E57:E59)</f>
        <v>0</v>
      </c>
      <c r="F60" s="150">
        <f t="shared" ref="F60:O60" si="58">SUM(F57:F59)</f>
        <v>0</v>
      </c>
      <c r="G60" s="150">
        <f t="shared" si="58"/>
        <v>0</v>
      </c>
      <c r="H60" s="150">
        <f t="shared" si="58"/>
        <v>11.96</v>
      </c>
      <c r="I60" s="150">
        <f t="shared" si="58"/>
        <v>11.138400000000001</v>
      </c>
      <c r="J60" s="150">
        <f t="shared" si="58"/>
        <v>11.902175999999999</v>
      </c>
      <c r="K60" s="150">
        <f t="shared" si="58"/>
        <v>12.140219519999999</v>
      </c>
      <c r="L60" s="150">
        <f t="shared" si="58"/>
        <v>11.820159187200002</v>
      </c>
      <c r="M60" s="150">
        <f t="shared" si="58"/>
        <v>13.204806406272002</v>
      </c>
      <c r="N60" s="150">
        <f t="shared" si="58"/>
        <v>12.297693618362878</v>
      </c>
      <c r="O60" s="150">
        <f t="shared" si="58"/>
        <v>11.946330943552514</v>
      </c>
      <c r="P60" s="150">
        <f t="shared" ref="P60" si="59">SUM(P57:P59)</f>
        <v>14.013046196787096</v>
      </c>
      <c r="Q60" s="150">
        <f t="shared" ref="Q60" si="60">SUM(Q57:Q59)</f>
        <v>13.671858985039236</v>
      </c>
      <c r="R60" s="150">
        <f t="shared" ref="R60" si="61">SUM(R57:R59)</f>
        <v>13.311419066342751</v>
      </c>
      <c r="S60" s="150">
        <f t="shared" ref="S60" si="62">SUM(S57:S59)</f>
        <v>14.224202088034822</v>
      </c>
      <c r="T60" s="150">
        <f t="shared" ref="T60" si="63">SUM(T57:T59)</f>
        <v>15.234120436285295</v>
      </c>
      <c r="U60" s="150">
        <f t="shared" ref="U60" si="64">SUM(U57:U59)</f>
        <v>15.538802845011</v>
      </c>
      <c r="V60" s="150">
        <f t="shared" ref="V60" si="65">SUM(V57:V59)</f>
        <v>15.849578901911222</v>
      </c>
      <c r="W60" s="150">
        <f t="shared" ref="W60" si="66">SUM(W57:W59)</f>
        <v>15.431726367224469</v>
      </c>
      <c r="X60" s="150">
        <f t="shared" ref="X60:Y60" si="67">SUM(X57:X59)</f>
        <v>16.489901889548435</v>
      </c>
      <c r="Y60" s="150">
        <f t="shared" si="67"/>
        <v>17.584231742218464</v>
      </c>
      <c r="Z60" s="150">
        <f t="shared" ref="Z60" si="68">SUM(Z57:Z59)</f>
        <v>16.376271474709544</v>
      </c>
      <c r="AA60" s="150">
        <f t="shared" ref="AA60" si="69">SUM(AA57:AA59)</f>
        <v>15.908378004003559</v>
      </c>
      <c r="AB60" s="150">
        <f t="shared" ref="AB60" si="70">SUM(AB57:AB59)</f>
        <v>18.660527398696175</v>
      </c>
      <c r="AC60" s="150">
        <f t="shared" ref="AC60" si="71">SUM(AC57:AC59)</f>
        <v>17.378630299133569</v>
      </c>
      <c r="AD60" s="150">
        <f t="shared" ref="AD60" si="72">SUM(AD57:AD59)</f>
        <v>18.570307805359871</v>
      </c>
      <c r="AE60" s="150">
        <f t="shared" ref="AE60" si="73">SUM(AE57:AE59)</f>
        <v>18.94171396146707</v>
      </c>
      <c r="AF60" s="150">
        <f t="shared" ref="AF60" si="74">SUM(AF57:AF59)</f>
        <v>19.364458577607081</v>
      </c>
      <c r="AG60" s="150">
        <f t="shared" ref="AG60" si="75">SUM(AG57:AG59)</f>
        <v>21.632866582412486</v>
      </c>
      <c r="AH60" s="150">
        <f t="shared" ref="AH60:AI60" si="76">SUM(AH57:AH59)</f>
        <v>21.106153309101572</v>
      </c>
      <c r="AI60" s="150">
        <f t="shared" si="76"/>
        <v>20.54971835822526</v>
      </c>
      <c r="AJ60" s="150">
        <f t="shared" ref="AJ60" si="77">SUM(AJ57:AJ59)</f>
        <v>21.958841902789274</v>
      </c>
      <c r="AK60" s="150">
        <f t="shared" ref="AK60" si="78">SUM(AK57:AK59)</f>
        <v>22.39801874084506</v>
      </c>
      <c r="AL60" s="150">
        <f t="shared" ref="AL60" si="79">SUM(AL57:AL59)</f>
        <v>22.845979115661962</v>
      </c>
      <c r="AM60" s="150">
        <f t="shared" ref="AM60" si="80">SUM(AM57:AM59)</f>
        <v>21.18445336179564</v>
      </c>
      <c r="AN60" s="150">
        <f t="shared" ref="AN60" si="81">SUM(AN57:AN59)</f>
        <v>24.849363793386281</v>
      </c>
    </row>
    <row r="61" spans="1:40" x14ac:dyDescent="0.25">
      <c r="A61" s="147"/>
    </row>
    <row r="62" spans="1:40" x14ac:dyDescent="0.25">
      <c r="A62" s="152" t="s">
        <v>113</v>
      </c>
    </row>
    <row r="63" spans="1:40" x14ac:dyDescent="0.25">
      <c r="A63" s="89" t="s">
        <v>110</v>
      </c>
    </row>
    <row r="64" spans="1:40" x14ac:dyDescent="0.25">
      <c r="A64" s="146" t="s">
        <v>6</v>
      </c>
      <c r="E64" s="86">
        <f>E$36*E$16*E$7/Den</f>
        <v>0</v>
      </c>
      <c r="F64" s="86">
        <f>F$36*F$16*F$7/Den</f>
        <v>0</v>
      </c>
      <c r="G64" s="86">
        <f>G$36*G$16*G$7/Den</f>
        <v>0</v>
      </c>
      <c r="H64" s="86">
        <f>H$36*H$16*H$7/Den</f>
        <v>1.04</v>
      </c>
      <c r="I64" s="86">
        <f>I$36*I$16*I$7/Den</f>
        <v>1.3520000000000001</v>
      </c>
      <c r="J64" s="86">
        <f>J$36*J$16*J$7/Den</f>
        <v>1.1248640000000001</v>
      </c>
      <c r="K64" s="86">
        <f>K$36*K$16*K$7/Den</f>
        <v>1.3160908800000002</v>
      </c>
      <c r="L64" s="86">
        <f>L$36*L$16*L$7/Den</f>
        <v>1.3687345152000003</v>
      </c>
      <c r="M64" s="86">
        <f>M$36*M$16*M$7/Den</f>
        <v>1.2653190184960001</v>
      </c>
      <c r="N64" s="86">
        <f>N$36*N$16*N$7/Den</f>
        <v>1.6449147240448003</v>
      </c>
      <c r="O64" s="86">
        <f>O$36*O$16*O$7/Den</f>
        <v>1.3685690504052737</v>
      </c>
      <c r="P64" s="86">
        <f>P$36*P$16*P$7/Den</f>
        <v>1.4233118124214847</v>
      </c>
      <c r="Q64" s="86">
        <f>Q$36*Q$16*Q$7/Den</f>
        <v>1.4802442849183444</v>
      </c>
      <c r="R64" s="86">
        <f>R$36*R$16*R$7/Den</f>
        <v>1.924317570393848</v>
      </c>
      <c r="S64" s="86">
        <f>S$36*S$16*S$7/Den</f>
        <v>1.6010322185676815</v>
      </c>
      <c r="T64" s="86">
        <f>T$36*T$16*T$7/Den</f>
        <v>1.9668680805103966</v>
      </c>
      <c r="U64" s="86">
        <f>U$36*U$16*U$7/Den</f>
        <v>2.0455428037308128</v>
      </c>
      <c r="V64" s="86">
        <f>V$36*V$16*V$7/Den</f>
        <v>1.8909906807822627</v>
      </c>
      <c r="W64" s="86">
        <f>W$36*W$16*W$7/Den</f>
        <v>2.4582878850169414</v>
      </c>
      <c r="X64" s="86">
        <f>X$36*X$16*X$7/Den</f>
        <v>2.0452955203340957</v>
      </c>
      <c r="Y64" s="86">
        <f>Y$36*Y$16*Y$7/Den</f>
        <v>2.1271073411474597</v>
      </c>
      <c r="Z64" s="86">
        <f>Z$36*Z$16*Z$7/Den</f>
        <v>2.7652395434916972</v>
      </c>
      <c r="AA64" s="86">
        <f>AA$36*AA$16*AA$7/Den</f>
        <v>2.300679300185092</v>
      </c>
      <c r="AB64" s="86">
        <f>AB$36*AB$16*AB$7/Den</f>
        <v>2.3927064721924962</v>
      </c>
      <c r="AC64" s="86">
        <f>AC$36*AC$16*AC$7/Den</f>
        <v>2.7994665724652203</v>
      </c>
      <c r="AD64" s="86">
        <f>AD$36*AD$16*AD$7/Den</f>
        <v>2.9114452353638289</v>
      </c>
      <c r="AE64" s="86">
        <f>AE$36*AE$16*AE$7/Den</f>
        <v>2.6914693731363402</v>
      </c>
      <c r="AF64" s="86">
        <f>AF$36*AF$16*AF$7/Den</f>
        <v>3.6738556943311051</v>
      </c>
      <c r="AG64" s="86">
        <f>AG$36*AG$16*AG$7/Den</f>
        <v>3.0566479376834792</v>
      </c>
      <c r="AH64" s="86">
        <f>AH$36*AH$16*AH$7/Den</f>
        <v>3.1789138551908183</v>
      </c>
      <c r="AI64" s="86">
        <f>AI$36*AI$16*AI$7/Den</f>
        <v>4.132588011748064</v>
      </c>
      <c r="AJ64" s="86">
        <f>AJ$36*AJ$16*AJ$7/Den</f>
        <v>3.4383132257743894</v>
      </c>
      <c r="AK64" s="86">
        <f>AK$36*AK$16*AK$7/Den</f>
        <v>3.9689999999999999</v>
      </c>
      <c r="AL64" s="86">
        <f>AL$36*AL$16*AL$7/Den</f>
        <v>3.9689999999999999</v>
      </c>
      <c r="AM64" s="86">
        <f>AM$36*AM$16*AM$7/Den</f>
        <v>3.528</v>
      </c>
      <c r="AN64" s="86">
        <f>AN$36*AN$16*AN$7/Den</f>
        <v>3.528</v>
      </c>
    </row>
    <row r="65" spans="1:40" x14ac:dyDescent="0.25">
      <c r="A65" s="146" t="s">
        <v>7</v>
      </c>
      <c r="E65" s="86">
        <f>E$37*E$16*E$7/Den</f>
        <v>0</v>
      </c>
      <c r="F65" s="86">
        <f>F$37*F$16*F$7/Den</f>
        <v>0</v>
      </c>
      <c r="G65" s="86">
        <f>G$37*G$16*G$7/Den</f>
        <v>0</v>
      </c>
      <c r="H65" s="86">
        <f>H$37*H$16*H$7/Den</f>
        <v>0.83199999999999996</v>
      </c>
      <c r="I65" s="86">
        <f>I$37*I$16*I$7/Den</f>
        <v>1.0815999999999999</v>
      </c>
      <c r="J65" s="86">
        <f>J$37*J$16*J$7/Den</f>
        <v>0.8998912</v>
      </c>
      <c r="K65" s="86">
        <f>K$37*K$16*K$7/Den</f>
        <v>1.0528727040000003</v>
      </c>
      <c r="L65" s="86">
        <f>L$37*L$16*L$7/Den</f>
        <v>1.0949876121600002</v>
      </c>
      <c r="M65" s="86">
        <f>M$37*M$16*M$7/Den</f>
        <v>1.0122552147968</v>
      </c>
      <c r="N65" s="86">
        <f>N$37*N$16*N$7/Den</f>
        <v>1.3159317792358403</v>
      </c>
      <c r="O65" s="86">
        <f>O$37*O$16*O$7/Den</f>
        <v>1.0948552403242191</v>
      </c>
      <c r="P65" s="86">
        <f>P$37*P$16*P$7/Den</f>
        <v>1.138649449937188</v>
      </c>
      <c r="Q65" s="86">
        <f>Q$37*Q$16*Q$7/Den</f>
        <v>1.1841954279346756</v>
      </c>
      <c r="R65" s="86">
        <f>R$37*R$16*R$7/Den</f>
        <v>1.5394540563150783</v>
      </c>
      <c r="S65" s="86">
        <f>S$37*S$16*S$7/Den</f>
        <v>1.2808257748541452</v>
      </c>
      <c r="T65" s="86">
        <f>T$37*T$16*T$7/Den</f>
        <v>1.5734944644083175</v>
      </c>
      <c r="U65" s="86">
        <f>U$37*U$16*U$7/Den</f>
        <v>1.6364342429846501</v>
      </c>
      <c r="V65" s="86">
        <f>V$37*V$16*V$7/Den</f>
        <v>1.5127925446258101</v>
      </c>
      <c r="W65" s="86">
        <f>W$37*W$16*W$7/Den</f>
        <v>1.9666303080135534</v>
      </c>
      <c r="X65" s="86">
        <f>X$37*X$16*X$7/Den</f>
        <v>1.6362364162672765</v>
      </c>
      <c r="Y65" s="86">
        <f>Y$37*Y$16*Y$7/Den</f>
        <v>1.7016858729179676</v>
      </c>
      <c r="Z65" s="86">
        <f>Z$37*Z$16*Z$7/Den</f>
        <v>2.2121916347933581</v>
      </c>
      <c r="AA65" s="86">
        <f>AA$37*AA$16*AA$7/Den</f>
        <v>1.8405434401480738</v>
      </c>
      <c r="AB65" s="86">
        <f>AB$37*AB$16*AB$7/Den</f>
        <v>1.9141651777539967</v>
      </c>
      <c r="AC65" s="86">
        <f>AC$37*AC$16*AC$7/Den</f>
        <v>2.2395732579721761</v>
      </c>
      <c r="AD65" s="86">
        <f>AD$37*AD$16*AD$7/Den</f>
        <v>2.3291561882910634</v>
      </c>
      <c r="AE65" s="86">
        <f>AE$37*AE$16*AE$7/Den</f>
        <v>2.1531754985090723</v>
      </c>
      <c r="AF65" s="86">
        <f>AF$37*AF$16*AF$7/Den</f>
        <v>2.9390845554648841</v>
      </c>
      <c r="AG65" s="86">
        <f>AG$37*AG$16*AG$7/Den</f>
        <v>2.4453183501467834</v>
      </c>
      <c r="AH65" s="86">
        <f>AH$37*AH$16*AH$7/Den</f>
        <v>2.5431310841526549</v>
      </c>
      <c r="AI65" s="86">
        <f>AI$37*AI$16*AI$7/Den</f>
        <v>3.3060704093984516</v>
      </c>
      <c r="AJ65" s="86">
        <f>AJ$37*AJ$16*AJ$7/Den</f>
        <v>2.7506505806195118</v>
      </c>
      <c r="AK65" s="86">
        <f>AK$37*AK$16*AK$7/Den</f>
        <v>3.1751999999999998</v>
      </c>
      <c r="AL65" s="86">
        <f>AL$37*AL$16*AL$7/Den</f>
        <v>3.1751999999999998</v>
      </c>
      <c r="AM65" s="86">
        <f>AM$37*AM$16*AM$7/Den</f>
        <v>2.8224</v>
      </c>
      <c r="AN65" s="86">
        <f>AN$37*AN$16*AN$7/Den</f>
        <v>2.8224</v>
      </c>
    </row>
    <row r="66" spans="1:40" x14ac:dyDescent="0.25">
      <c r="A66" s="146" t="s">
        <v>8</v>
      </c>
      <c r="E66" s="86">
        <f>E$38*E$16*E$7/Den</f>
        <v>0</v>
      </c>
      <c r="F66" s="86">
        <f>F$38*F$16*F$7/Den</f>
        <v>0</v>
      </c>
      <c r="G66" s="86">
        <f>G$38*G$16*G$7/Den</f>
        <v>0</v>
      </c>
      <c r="H66" s="86">
        <f>H$38*H$16*H$7/Den</f>
        <v>2.496</v>
      </c>
      <c r="I66" s="86">
        <f>I$38*I$16*I$7/Den</f>
        <v>3.2448000000000001</v>
      </c>
      <c r="J66" s="86">
        <f>J$38*J$16*J$7/Den</f>
        <v>2.6996735999999997</v>
      </c>
      <c r="K66" s="86">
        <f>K$38*K$16*K$7/Den</f>
        <v>3.1586181120000001</v>
      </c>
      <c r="L66" s="86">
        <f>L$38*L$16*L$7/Den</f>
        <v>3.2849628364800005</v>
      </c>
      <c r="M66" s="86">
        <f>M$38*M$16*M$7/Den</f>
        <v>3.0367656443904001</v>
      </c>
      <c r="N66" s="86">
        <f>N$38*N$16*N$7/Den</f>
        <v>3.9477953377075208</v>
      </c>
      <c r="O66" s="86">
        <f>O$38*O$16*O$7/Den</f>
        <v>3.2845657209726569</v>
      </c>
      <c r="P66" s="86">
        <f>P$38*P$16*P$7/Den</f>
        <v>3.4159483498115639</v>
      </c>
      <c r="Q66" s="86">
        <f>Q$38*Q$16*Q$7/Den</f>
        <v>3.5525862838040267</v>
      </c>
      <c r="R66" s="86">
        <f>R$38*R$16*R$7/Den</f>
        <v>4.618362168945235</v>
      </c>
      <c r="S66" s="86">
        <f>S$38*S$16*S$7/Den</f>
        <v>3.8424773245624362</v>
      </c>
      <c r="T66" s="86">
        <f>T$38*T$16*T$7/Den</f>
        <v>4.7204833932249519</v>
      </c>
      <c r="U66" s="86">
        <f>U$38*U$16*U$7/Den</f>
        <v>4.9093027289539499</v>
      </c>
      <c r="V66" s="86">
        <f>V$38*V$16*V$7/Den</f>
        <v>4.5383776338774302</v>
      </c>
      <c r="W66" s="86">
        <f>W$38*W$16*W$7/Den</f>
        <v>5.8998909240406601</v>
      </c>
      <c r="X66" s="86">
        <f>X$38*X$16*X$7/Den</f>
        <v>4.9087092488018289</v>
      </c>
      <c r="Y66" s="86">
        <f>Y$38*Y$16*Y$7/Den</f>
        <v>5.1050576187539027</v>
      </c>
      <c r="Z66" s="86">
        <f>Z$38*Z$16*Z$7/Den</f>
        <v>6.6365749043800744</v>
      </c>
      <c r="AA66" s="86">
        <f>AA$38*AA$16*AA$7/Den</f>
        <v>5.5216303204442214</v>
      </c>
      <c r="AB66" s="86">
        <f>AB$38*AB$16*AB$7/Den</f>
        <v>5.7424955332619909</v>
      </c>
      <c r="AC66" s="86">
        <f>AC$38*AC$16*AC$7/Den</f>
        <v>6.7187197739165274</v>
      </c>
      <c r="AD66" s="86">
        <f>AD$38*AD$16*AD$7/Den</f>
        <v>6.9874685648731898</v>
      </c>
      <c r="AE66" s="86">
        <f>AE$38*AE$16*AE$7/Den</f>
        <v>6.459526495527216</v>
      </c>
      <c r="AF66" s="86">
        <f>AF$38*AF$16*AF$7/Den</f>
        <v>8.8172536663946524</v>
      </c>
      <c r="AG66" s="86">
        <f>AG$38*AG$16*AG$7/Den</f>
        <v>7.3359550504403499</v>
      </c>
      <c r="AH66" s="86">
        <f>AH$38*AH$16*AH$7/Den</f>
        <v>7.6293932524579651</v>
      </c>
      <c r="AI66" s="86">
        <f>AI$38*AI$16*AI$7/Den</f>
        <v>9.9182112281953554</v>
      </c>
      <c r="AJ66" s="86">
        <f>AJ$38*AJ$16*AJ$7/Den</f>
        <v>8.2519517418585338</v>
      </c>
      <c r="AK66" s="86">
        <f>AK$38*AK$16*AK$7/Den</f>
        <v>9.5256000000000007</v>
      </c>
      <c r="AL66" s="86">
        <f>AL$38*AL$16*AL$7/Den</f>
        <v>9.5256000000000007</v>
      </c>
      <c r="AM66" s="86">
        <f>AM$38*AM$16*AM$7/Den</f>
        <v>8.4672000000000001</v>
      </c>
      <c r="AN66" s="86">
        <f>AN$38*AN$16*AN$7/Den</f>
        <v>8.4672000000000001</v>
      </c>
    </row>
    <row r="67" spans="1:40" x14ac:dyDescent="0.25">
      <c r="A67" s="156" t="s">
        <v>54</v>
      </c>
      <c r="B67" s="157"/>
      <c r="C67" s="157"/>
      <c r="D67" s="157"/>
      <c r="E67" s="150">
        <f>SUM(E64:E66)</f>
        <v>0</v>
      </c>
      <c r="F67" s="150">
        <f t="shared" ref="F67:AN67" si="82">SUM(F64:F66)</f>
        <v>0</v>
      </c>
      <c r="G67" s="150">
        <f t="shared" si="82"/>
        <v>0</v>
      </c>
      <c r="H67" s="150">
        <f t="shared" si="82"/>
        <v>4.3680000000000003</v>
      </c>
      <c r="I67" s="150">
        <f t="shared" si="82"/>
        <v>5.6783999999999999</v>
      </c>
      <c r="J67" s="150">
        <f t="shared" si="82"/>
        <v>4.7244288000000001</v>
      </c>
      <c r="K67" s="150">
        <f t="shared" si="82"/>
        <v>5.5275816960000004</v>
      </c>
      <c r="L67" s="150">
        <f t="shared" si="82"/>
        <v>5.7486849638400006</v>
      </c>
      <c r="M67" s="150">
        <f t="shared" si="82"/>
        <v>5.3143398776832003</v>
      </c>
      <c r="N67" s="150">
        <f t="shared" si="82"/>
        <v>6.9086418409881611</v>
      </c>
      <c r="O67" s="150">
        <f t="shared" si="82"/>
        <v>5.7479900117021501</v>
      </c>
      <c r="P67" s="150">
        <f t="shared" si="82"/>
        <v>5.9779096121702366</v>
      </c>
      <c r="Q67" s="150">
        <f t="shared" si="82"/>
        <v>6.2170259966570462</v>
      </c>
      <c r="R67" s="150">
        <f t="shared" si="82"/>
        <v>8.0821337956541619</v>
      </c>
      <c r="S67" s="150">
        <f t="shared" si="82"/>
        <v>6.7243353179842629</v>
      </c>
      <c r="T67" s="150">
        <f t="shared" si="82"/>
        <v>8.2608459381436656</v>
      </c>
      <c r="U67" s="150">
        <f t="shared" si="82"/>
        <v>8.5912797756694133</v>
      </c>
      <c r="V67" s="150">
        <f t="shared" si="82"/>
        <v>7.9421608592855026</v>
      </c>
      <c r="W67" s="150">
        <f t="shared" si="82"/>
        <v>10.324809117071155</v>
      </c>
      <c r="X67" s="150">
        <f t="shared" si="82"/>
        <v>8.590241185403201</v>
      </c>
      <c r="Y67" s="150">
        <f t="shared" si="82"/>
        <v>8.9338508328193296</v>
      </c>
      <c r="Z67" s="150">
        <f t="shared" si="82"/>
        <v>11.61400608266513</v>
      </c>
      <c r="AA67" s="150">
        <f t="shared" si="82"/>
        <v>9.6628530607773868</v>
      </c>
      <c r="AB67" s="150">
        <f t="shared" si="82"/>
        <v>10.049367183208485</v>
      </c>
      <c r="AC67" s="150">
        <f t="shared" si="82"/>
        <v>11.757759604353923</v>
      </c>
      <c r="AD67" s="150">
        <f t="shared" si="82"/>
        <v>12.228069988528082</v>
      </c>
      <c r="AE67" s="150">
        <f t="shared" si="82"/>
        <v>11.304171367172628</v>
      </c>
      <c r="AF67" s="150">
        <f t="shared" si="82"/>
        <v>15.430193916190643</v>
      </c>
      <c r="AG67" s="150">
        <f t="shared" si="82"/>
        <v>12.837921338270611</v>
      </c>
      <c r="AH67" s="150">
        <f t="shared" si="82"/>
        <v>13.351438191801439</v>
      </c>
      <c r="AI67" s="150">
        <f t="shared" si="82"/>
        <v>17.356869649341871</v>
      </c>
      <c r="AJ67" s="150">
        <f t="shared" si="82"/>
        <v>14.440915548252434</v>
      </c>
      <c r="AK67" s="150">
        <f t="shared" si="82"/>
        <v>16.669800000000002</v>
      </c>
      <c r="AL67" s="150">
        <f t="shared" si="82"/>
        <v>16.669800000000002</v>
      </c>
      <c r="AM67" s="150">
        <f t="shared" si="82"/>
        <v>14.817600000000001</v>
      </c>
      <c r="AN67" s="150">
        <f t="shared" si="82"/>
        <v>14.817600000000001</v>
      </c>
    </row>
    <row r="68" spans="1:40" x14ac:dyDescent="0.25">
      <c r="A68" s="147"/>
    </row>
    <row r="69" spans="1:40" x14ac:dyDescent="0.25">
      <c r="A69" s="89" t="s">
        <v>111</v>
      </c>
    </row>
    <row r="70" spans="1:40" x14ac:dyDescent="0.25">
      <c r="A70" s="146" t="s">
        <v>6</v>
      </c>
      <c r="E70" s="86">
        <f>E$42*E$17*E$7/Den</f>
        <v>0</v>
      </c>
      <c r="F70" s="86">
        <f>F$42*F$17*F$7/Den</f>
        <v>0</v>
      </c>
      <c r="G70" s="86">
        <f>G$42*G$17*G$7/Den</f>
        <v>0</v>
      </c>
      <c r="H70" s="86">
        <f>H$42*H$17*H$7/Den</f>
        <v>1.56</v>
      </c>
      <c r="I70" s="86">
        <f>I$42*I$17*I$7/Den</f>
        <v>2.0280000000000005</v>
      </c>
      <c r="J70" s="86">
        <f>J$42*J$17*J$7/Den</f>
        <v>1.6872960000000004</v>
      </c>
      <c r="K70" s="86">
        <f>K$42*K$17*K$7/Den</f>
        <v>1.9741363200000006</v>
      </c>
      <c r="L70" s="86">
        <f>L$42*L$17*L$7/Den</f>
        <v>2.0531017728000007</v>
      </c>
      <c r="M70" s="86">
        <f>M$42*M$17*M$7/Den</f>
        <v>1.8979785277440007</v>
      </c>
      <c r="N70" s="86">
        <f>N$42*N$17*N$7/Den</f>
        <v>2.4673720860672006</v>
      </c>
      <c r="O70" s="86">
        <f>O$42*O$17*O$7/Den</f>
        <v>2.0528535756079109</v>
      </c>
      <c r="P70" s="86">
        <f>P$42*P$17*P$7/Den</f>
        <v>2.1349677186322271</v>
      </c>
      <c r="Q70" s="86">
        <f>Q$42*Q$17*Q$7/Den</f>
        <v>2.2203664273775163</v>
      </c>
      <c r="R70" s="86">
        <f>R$42*R$17*R$7/Den</f>
        <v>2.8864763555907715</v>
      </c>
      <c r="S70" s="86">
        <f>S$42*S$17*S$7/Den</f>
        <v>2.4015483278515224</v>
      </c>
      <c r="T70" s="86">
        <f>T$42*T$17*T$7/Den</f>
        <v>2.9503021207655951</v>
      </c>
      <c r="U70" s="86">
        <f>U$42*U$17*U$7/Den</f>
        <v>3.0683142055962196</v>
      </c>
      <c r="V70" s="86">
        <f>V$42*V$17*V$7/Den</f>
        <v>2.8364860211733931</v>
      </c>
      <c r="W70" s="86">
        <f>W$42*W$17*W$7/Den</f>
        <v>3.6874318275254114</v>
      </c>
      <c r="X70" s="86">
        <f>X$42*X$17*X$7/Den</f>
        <v>3.0679432805011428</v>
      </c>
      <c r="Y70" s="86">
        <f>Y$42*Y$17*Y$7/Den</f>
        <v>3.1906610117211884</v>
      </c>
      <c r="Z70" s="86">
        <f>Z$42*Z$17*Z$7/Den</f>
        <v>4.1478593152375458</v>
      </c>
      <c r="AA70" s="86">
        <f>AA$42*AA$17*AA$7/Den</f>
        <v>3.4510189502776378</v>
      </c>
      <c r="AB70" s="86">
        <f>AB$42*AB$17*AB$7/Den</f>
        <v>3.5890597082887434</v>
      </c>
      <c r="AC70" s="86">
        <f>AC$42*AC$17*AC$7/Den</f>
        <v>4.1991998586978303</v>
      </c>
      <c r="AD70" s="86">
        <f>AD$42*AD$17*AD$7/Den</f>
        <v>4.3671678530457436</v>
      </c>
      <c r="AE70" s="86">
        <f>AE$42*AE$17*AE$7/Den</f>
        <v>4.0372040597045098</v>
      </c>
      <c r="AF70" s="86">
        <f>AF$42*AF$17*AF$7/Den</f>
        <v>5.5107835414966573</v>
      </c>
      <c r="AG70" s="86">
        <f>AG$42*AG$17*AG$7/Den</f>
        <v>4.5849719065252188</v>
      </c>
      <c r="AH70" s="86">
        <f>AH$42*AH$17*AH$7/Den</f>
        <v>4.7683707827862269</v>
      </c>
      <c r="AI70" s="86">
        <f>AI$42*AI$17*AI$7/Den</f>
        <v>6.1988820176220951</v>
      </c>
      <c r="AJ70" s="86">
        <f>AJ$42*AJ$17*AJ$7/Den</f>
        <v>5.1574698386615836</v>
      </c>
      <c r="AK70" s="86">
        <f>AK$42*AK$17*AK$7/Den</f>
        <v>5.8046625000000001</v>
      </c>
      <c r="AL70" s="86">
        <f>AL$42*AL$17*AL$7/Den</f>
        <v>5.8046625000000001</v>
      </c>
      <c r="AM70" s="86">
        <f>AM$42*AM$17*AM$7/Den</f>
        <v>5.1597</v>
      </c>
      <c r="AN70" s="86">
        <f>AN$42*AN$17*AN$7/Den</f>
        <v>5.1597</v>
      </c>
    </row>
    <row r="71" spans="1:40" x14ac:dyDescent="0.25">
      <c r="A71" s="146" t="s">
        <v>7</v>
      </c>
      <c r="E71" s="86">
        <f>E$43*E$17*E$7/Den</f>
        <v>0</v>
      </c>
      <c r="F71" s="86">
        <f>F$43*F$17*F$7/Den</f>
        <v>0</v>
      </c>
      <c r="G71" s="86">
        <f>G$43*G$17*G$7/Den</f>
        <v>0</v>
      </c>
      <c r="H71" s="86">
        <f>H$43*H$17*H$7/Den</f>
        <v>1.08</v>
      </c>
      <c r="I71" s="86">
        <f>I$43*I$17*I$7/Den</f>
        <v>1.4040000000000004</v>
      </c>
      <c r="J71" s="86">
        <f>J$43*J$17*J$7/Den</f>
        <v>1.1681280000000003</v>
      </c>
      <c r="K71" s="86">
        <f>K$43*K$17*K$7/Den</f>
        <v>1.3667097600000004</v>
      </c>
      <c r="L71" s="86">
        <f>L$43*L$17*L$7/Den</f>
        <v>1.4213781504000005</v>
      </c>
      <c r="M71" s="86">
        <f>M$43*M$17*M$7/Den</f>
        <v>1.3139851345920004</v>
      </c>
      <c r="N71" s="86">
        <f>N$43*N$17*N$7/Den</f>
        <v>1.7081806749696002</v>
      </c>
      <c r="O71" s="86">
        <f>O$43*O$17*O$7/Den</f>
        <v>1.4212063215747075</v>
      </c>
      <c r="P71" s="86">
        <f>P$43*P$17*P$7/Den</f>
        <v>1.4780545744376958</v>
      </c>
      <c r="Q71" s="86">
        <f>Q$43*Q$17*Q$7/Den</f>
        <v>1.537176757415204</v>
      </c>
      <c r="R71" s="86">
        <f>R$43*R$17*R$7/Den</f>
        <v>1.998329784639765</v>
      </c>
      <c r="S71" s="86">
        <f>S$43*S$17*S$7/Den</f>
        <v>1.6626103808202848</v>
      </c>
      <c r="T71" s="86">
        <f>T$43*T$17*T$7/Den</f>
        <v>2.0425168528377196</v>
      </c>
      <c r="U71" s="86">
        <f>U$43*U$17*U$7/Den</f>
        <v>2.1242175269512287</v>
      </c>
      <c r="V71" s="86">
        <f>V$43*V$17*V$7/Den</f>
        <v>1.9637210915815801</v>
      </c>
      <c r="W71" s="86">
        <f>W$43*W$17*W$7/Den</f>
        <v>2.5528374190560541</v>
      </c>
      <c r="X71" s="86">
        <f>X$43*X$17*X$7/Den</f>
        <v>2.1239607326546373</v>
      </c>
      <c r="Y71" s="86">
        <f>Y$43*Y$17*Y$7/Den</f>
        <v>2.2089191619608228</v>
      </c>
      <c r="Z71" s="86">
        <f>Z$43*Z$17*Z$7/Den</f>
        <v>2.8715949105490699</v>
      </c>
      <c r="AA71" s="86">
        <f>AA$43*AA$17*AA$7/Den</f>
        <v>2.3891669655768264</v>
      </c>
      <c r="AB71" s="86">
        <f>AB$43*AB$17*AB$7/Den</f>
        <v>2.4847336441998991</v>
      </c>
      <c r="AC71" s="86">
        <f>AC$43*AC$17*AC$7/Den</f>
        <v>2.9071383637138823</v>
      </c>
      <c r="AD71" s="86">
        <f>AD$43*AD$17*AD$7/Den</f>
        <v>3.023423898262438</v>
      </c>
      <c r="AE71" s="86">
        <f>AE$43*AE$17*AE$7/Den</f>
        <v>2.7949874259492762</v>
      </c>
      <c r="AF71" s="86">
        <f>AF$43*AF$17*AF$7/Den</f>
        <v>3.8151578364207617</v>
      </c>
      <c r="AG71" s="86">
        <f>AG$43*AG$17*AG$7/Den</f>
        <v>3.1742113199020743</v>
      </c>
      <c r="AH71" s="86">
        <f>AH$43*AH$17*AH$7/Den</f>
        <v>3.3011797726981573</v>
      </c>
      <c r="AI71" s="86">
        <f>AI$43*AI$17*AI$7/Den</f>
        <v>4.2915337045076045</v>
      </c>
      <c r="AJ71" s="86">
        <f>AJ$43*AJ$17*AJ$7/Den</f>
        <v>3.5705560421503271</v>
      </c>
      <c r="AK71" s="86">
        <f>AK$43*AK$17*AK$7/Den</f>
        <v>4.0186124999999997</v>
      </c>
      <c r="AL71" s="86">
        <f>AL$43*AL$17*AL$7/Den</f>
        <v>4.0186124999999997</v>
      </c>
      <c r="AM71" s="86">
        <f>AM$43*AM$17*AM$7/Den</f>
        <v>3.5720999999999998</v>
      </c>
      <c r="AN71" s="86">
        <f>AN$43*AN$17*AN$7/Den</f>
        <v>3.5720999999999998</v>
      </c>
    </row>
    <row r="72" spans="1:40" x14ac:dyDescent="0.25">
      <c r="A72" s="146" t="s">
        <v>8</v>
      </c>
      <c r="E72" s="86">
        <f>E$44*E$17*E$7/Den</f>
        <v>0</v>
      </c>
      <c r="F72" s="86">
        <f>F$44*F$17*F$7/Den</f>
        <v>0</v>
      </c>
      <c r="G72" s="86">
        <f>G$44*G$17*G$7/Den</f>
        <v>0</v>
      </c>
      <c r="H72" s="86">
        <f>H$44*H$17*H$7/Den</f>
        <v>2.88</v>
      </c>
      <c r="I72" s="86">
        <f>I$44*I$17*I$7/Den</f>
        <v>3.7440000000000002</v>
      </c>
      <c r="J72" s="86">
        <f>J$44*J$17*J$7/Den</f>
        <v>3.1150080000000004</v>
      </c>
      <c r="K72" s="86">
        <f>K$44*K$17*K$7/Den</f>
        <v>3.644559360000001</v>
      </c>
      <c r="L72" s="86">
        <f>L$44*L$17*L$7/Den</f>
        <v>3.790341734400001</v>
      </c>
      <c r="M72" s="86">
        <f>M$44*M$17*M$7/Den</f>
        <v>3.5039603589120012</v>
      </c>
      <c r="N72" s="86">
        <f>N$44*N$17*N$7/Den</f>
        <v>4.5551484665856012</v>
      </c>
      <c r="O72" s="86">
        <f>O$44*O$17*O$7/Den</f>
        <v>3.7898835241992201</v>
      </c>
      <c r="P72" s="86">
        <f>P$44*P$17*P$7/Den</f>
        <v>3.941478865167189</v>
      </c>
      <c r="Q72" s="86">
        <f>Q$44*Q$17*Q$7/Den</f>
        <v>4.0991380197738767</v>
      </c>
      <c r="R72" s="86">
        <f>R$44*R$17*R$7/Den</f>
        <v>5.3288794257060408</v>
      </c>
      <c r="S72" s="86">
        <f>S$44*S$17*S$7/Den</f>
        <v>4.4336276821874261</v>
      </c>
      <c r="T72" s="86">
        <f>T$44*T$17*T$7/Den</f>
        <v>5.4467116075672521</v>
      </c>
      <c r="U72" s="86">
        <f>U$44*U$17*U$7/Den</f>
        <v>5.6645800718699428</v>
      </c>
      <c r="V72" s="86">
        <f>V$44*V$17*V$7/Den</f>
        <v>5.2365895775508804</v>
      </c>
      <c r="W72" s="86">
        <f>W$44*W$17*W$7/Den</f>
        <v>6.8075664508161458</v>
      </c>
      <c r="X72" s="86">
        <f>X$44*X$17*X$7/Den</f>
        <v>5.6638952870790327</v>
      </c>
      <c r="Y72" s="86">
        <f>Y$44*Y$17*Y$7/Den</f>
        <v>5.8904510985621936</v>
      </c>
      <c r="Z72" s="86">
        <f>Z$44*Z$17*Z$7/Den</f>
        <v>7.6575864281308537</v>
      </c>
      <c r="AA72" s="86">
        <f>AA$44*AA$17*AA$7/Den</f>
        <v>6.3711119082048695</v>
      </c>
      <c r="AB72" s="86">
        <f>AB$44*AB$17*AB$7/Den</f>
        <v>6.6259563845330636</v>
      </c>
      <c r="AC72" s="86">
        <f>AC$44*AC$17*AC$7/Den</f>
        <v>7.752368969903686</v>
      </c>
      <c r="AD72" s="86">
        <f>AD$44*AD$17*AD$7/Den</f>
        <v>8.062463728699834</v>
      </c>
      <c r="AE72" s="86">
        <f>AE$44*AE$17*AE$7/Den</f>
        <v>7.4532998025314035</v>
      </c>
      <c r="AF72" s="86">
        <f>AF$44*AF$17*AF$7/Den</f>
        <v>10.173754230455366</v>
      </c>
      <c r="AG72" s="86">
        <f>AG$44*AG$17*AG$7/Den</f>
        <v>8.4645635197388653</v>
      </c>
      <c r="AH72" s="86">
        <f>AH$44*AH$17*AH$7/Den</f>
        <v>8.8031460605284195</v>
      </c>
      <c r="AI72" s="86">
        <f>AI$44*AI$17*AI$7/Den</f>
        <v>11.444089878686945</v>
      </c>
      <c r="AJ72" s="86">
        <f>AJ$44*AJ$17*AJ$7/Den</f>
        <v>9.52148277906754</v>
      </c>
      <c r="AK72" s="86">
        <f>AK$44*AK$17*AK$7/Den</f>
        <v>10.7163</v>
      </c>
      <c r="AL72" s="86">
        <f>AL$44*AL$17*AL$7/Den</f>
        <v>10.7163</v>
      </c>
      <c r="AM72" s="86">
        <f>AM$44*AM$17*AM$7/Den</f>
        <v>9.5256000000000007</v>
      </c>
      <c r="AN72" s="86">
        <f>AN$44*AN$17*AN$7/Den</f>
        <v>9.5256000000000007</v>
      </c>
    </row>
    <row r="73" spans="1:40" x14ac:dyDescent="0.25">
      <c r="A73" s="156" t="s">
        <v>54</v>
      </c>
      <c r="B73" s="157"/>
      <c r="C73" s="157"/>
      <c r="D73" s="157"/>
      <c r="E73" s="150">
        <f>SUM(E70:E72)</f>
        <v>0</v>
      </c>
      <c r="F73" s="150">
        <f t="shared" ref="F73:AN73" si="83">SUM(F70:F72)</f>
        <v>0</v>
      </c>
      <c r="G73" s="150">
        <f t="shared" si="83"/>
        <v>0</v>
      </c>
      <c r="H73" s="150">
        <f t="shared" si="83"/>
        <v>5.52</v>
      </c>
      <c r="I73" s="150">
        <f t="shared" si="83"/>
        <v>7.176000000000001</v>
      </c>
      <c r="J73" s="150">
        <f t="shared" si="83"/>
        <v>5.9704320000000006</v>
      </c>
      <c r="K73" s="150">
        <f t="shared" si="83"/>
        <v>6.9854054400000027</v>
      </c>
      <c r="L73" s="150">
        <f t="shared" si="83"/>
        <v>7.2648216576000024</v>
      </c>
      <c r="M73" s="150">
        <f t="shared" si="83"/>
        <v>6.7159240212480018</v>
      </c>
      <c r="N73" s="150">
        <f t="shared" si="83"/>
        <v>8.7307012276224025</v>
      </c>
      <c r="O73" s="150">
        <f t="shared" si="83"/>
        <v>7.263943421381839</v>
      </c>
      <c r="P73" s="150">
        <f t="shared" si="83"/>
        <v>7.5545011582371124</v>
      </c>
      <c r="Q73" s="150">
        <f t="shared" si="83"/>
        <v>7.8566812045665966</v>
      </c>
      <c r="R73" s="150">
        <f t="shared" si="83"/>
        <v>10.213685565936578</v>
      </c>
      <c r="S73" s="150">
        <f t="shared" si="83"/>
        <v>8.4977863908592326</v>
      </c>
      <c r="T73" s="150">
        <f t="shared" si="83"/>
        <v>10.439530581170567</v>
      </c>
      <c r="U73" s="150">
        <f t="shared" si="83"/>
        <v>10.857111804417391</v>
      </c>
      <c r="V73" s="150">
        <f t="shared" si="83"/>
        <v>10.036796690305854</v>
      </c>
      <c r="W73" s="150">
        <f t="shared" si="83"/>
        <v>13.047835697397613</v>
      </c>
      <c r="X73" s="150">
        <f t="shared" si="83"/>
        <v>10.855799300234812</v>
      </c>
      <c r="Y73" s="150">
        <f t="shared" si="83"/>
        <v>11.290031272244205</v>
      </c>
      <c r="Z73" s="150">
        <f t="shared" si="83"/>
        <v>14.677040653917469</v>
      </c>
      <c r="AA73" s="150">
        <f t="shared" si="83"/>
        <v>12.211297824059333</v>
      </c>
      <c r="AB73" s="150">
        <f t="shared" si="83"/>
        <v>12.699749737021707</v>
      </c>
      <c r="AC73" s="150">
        <f t="shared" si="83"/>
        <v>14.8587071923154</v>
      </c>
      <c r="AD73" s="150">
        <f t="shared" si="83"/>
        <v>15.453055480008015</v>
      </c>
      <c r="AE73" s="150">
        <f t="shared" si="83"/>
        <v>14.285491288185188</v>
      </c>
      <c r="AF73" s="150">
        <f t="shared" si="83"/>
        <v>19.499695608372782</v>
      </c>
      <c r="AG73" s="150">
        <f t="shared" si="83"/>
        <v>16.223746746166157</v>
      </c>
      <c r="AH73" s="150">
        <f t="shared" si="83"/>
        <v>16.872696616012803</v>
      </c>
      <c r="AI73" s="150">
        <f t="shared" si="83"/>
        <v>21.934505600816646</v>
      </c>
      <c r="AJ73" s="150">
        <f t="shared" si="83"/>
        <v>18.249508659879453</v>
      </c>
      <c r="AK73" s="150">
        <f t="shared" si="83"/>
        <v>20.539574999999999</v>
      </c>
      <c r="AL73" s="150">
        <f t="shared" si="83"/>
        <v>20.539574999999999</v>
      </c>
      <c r="AM73" s="150">
        <f t="shared" si="83"/>
        <v>18.257400000000001</v>
      </c>
      <c r="AN73" s="150">
        <f t="shared" si="83"/>
        <v>18.257400000000001</v>
      </c>
    </row>
    <row r="75" spans="1:40" x14ac:dyDescent="0.25">
      <c r="A75" s="154" t="s">
        <v>116</v>
      </c>
    </row>
    <row r="76" spans="1:40" x14ac:dyDescent="0.25">
      <c r="A76" s="146" t="s">
        <v>6</v>
      </c>
      <c r="E76" s="86">
        <f>E51+E57+E64+E70</f>
        <v>0</v>
      </c>
      <c r="F76" s="86">
        <f t="shared" ref="F76:AN78" si="84">F51+F57+F64+F70</f>
        <v>0</v>
      </c>
      <c r="G76" s="86">
        <f t="shared" si="84"/>
        <v>0</v>
      </c>
      <c r="H76" s="86">
        <f t="shared" si="84"/>
        <v>6.8320000000000007</v>
      </c>
      <c r="I76" s="86">
        <f t="shared" si="84"/>
        <v>7.3212800000000007</v>
      </c>
      <c r="J76" s="86">
        <f t="shared" si="84"/>
        <v>7.0236992000000011</v>
      </c>
      <c r="K76" s="86">
        <f t="shared" si="84"/>
        <v>7.585997184</v>
      </c>
      <c r="L76" s="86">
        <f t="shared" si="84"/>
        <v>7.6043541542400019</v>
      </c>
      <c r="M76" s="86">
        <f t="shared" si="84"/>
        <v>7.8357675053824014</v>
      </c>
      <c r="N76" s="86">
        <f t="shared" si="84"/>
        <v>8.4637783981480972</v>
      </c>
      <c r="O76" s="86">
        <f t="shared" si="84"/>
        <v>7.6485858829625357</v>
      </c>
      <c r="P76" s="86">
        <f t="shared" si="84"/>
        <v>8.5167420314553013</v>
      </c>
      <c r="Q76" s="86">
        <f t="shared" si="84"/>
        <v>8.5383454300789747</v>
      </c>
      <c r="R76" s="86">
        <f t="shared" si="84"/>
        <v>9.5209883648443618</v>
      </c>
      <c r="S76" s="86">
        <f t="shared" si="84"/>
        <v>9.0357597468007569</v>
      </c>
      <c r="T76" s="86">
        <f t="shared" si="84"/>
        <v>10.307705124884635</v>
      </c>
      <c r="U76" s="86">
        <f t="shared" si="84"/>
        <v>10.612202631407849</v>
      </c>
      <c r="V76" s="86">
        <f t="shared" si="84"/>
        <v>10.335789236478089</v>
      </c>
      <c r="W76" s="86">
        <f t="shared" si="84"/>
        <v>11.606176734791012</v>
      </c>
      <c r="X76" s="86">
        <f t="shared" si="84"/>
        <v>10.948127161752378</v>
      </c>
      <c r="Y76" s="86">
        <f t="shared" si="84"/>
        <v>11.539881123192105</v>
      </c>
      <c r="Z76" s="86">
        <f t="shared" si="84"/>
        <v>12.707779534395698</v>
      </c>
      <c r="AA76" s="86">
        <f t="shared" si="84"/>
        <v>11.380816621110142</v>
      </c>
      <c r="AB76" s="86">
        <f t="shared" si="84"/>
        <v>12.584722029250656</v>
      </c>
      <c r="AC76" s="86">
        <f t="shared" si="84"/>
        <v>13.148027921625697</v>
      </c>
      <c r="AD76" s="86">
        <f t="shared" si="84"/>
        <v>13.849645081075373</v>
      </c>
      <c r="AE76" s="86">
        <f t="shared" si="84"/>
        <v>13.431126065359969</v>
      </c>
      <c r="AF76" s="86">
        <f t="shared" si="84"/>
        <v>16.036678424827194</v>
      </c>
      <c r="AG76" s="86">
        <f t="shared" si="84"/>
        <v>15.296326481062346</v>
      </c>
      <c r="AH76" s="86">
        <f t="shared" si="84"/>
        <v>15.41561580888991</v>
      </c>
      <c r="AI76" s="86">
        <f t="shared" si="84"/>
        <v>17.602908833049867</v>
      </c>
      <c r="AJ76" s="86">
        <f t="shared" si="84"/>
        <v>16.365834814653716</v>
      </c>
      <c r="AK76" s="86">
        <f t="shared" si="84"/>
        <v>17.699115285222099</v>
      </c>
      <c r="AL76" s="86">
        <f t="shared" si="84"/>
        <v>17.857624340926542</v>
      </c>
      <c r="AM76" s="86">
        <f t="shared" si="84"/>
        <v>16.183737343404612</v>
      </c>
      <c r="AN76" s="86">
        <f t="shared" si="84"/>
        <v>17.480551803813611</v>
      </c>
    </row>
    <row r="77" spans="1:40" x14ac:dyDescent="0.25">
      <c r="A77" s="146" t="s">
        <v>7</v>
      </c>
      <c r="E77" s="86">
        <f t="shared" ref="E77:T78" si="85">E52+E58+E65+E71</f>
        <v>0</v>
      </c>
      <c r="F77" s="86">
        <f t="shared" si="85"/>
        <v>0</v>
      </c>
      <c r="G77" s="86">
        <f t="shared" si="85"/>
        <v>0</v>
      </c>
      <c r="H77" s="86">
        <f t="shared" si="85"/>
        <v>5.6840000000000002</v>
      </c>
      <c r="I77" s="86">
        <f t="shared" si="85"/>
        <v>5.9984800000000007</v>
      </c>
      <c r="J77" s="86">
        <f t="shared" si="85"/>
        <v>5.8217824</v>
      </c>
      <c r="K77" s="86">
        <f t="shared" si="85"/>
        <v>6.2484209280000016</v>
      </c>
      <c r="L77" s="86">
        <f t="shared" si="85"/>
        <v>6.2442621216000012</v>
      </c>
      <c r="M77" s="86">
        <f t="shared" si="85"/>
        <v>6.4908331390592018</v>
      </c>
      <c r="N77" s="86">
        <f t="shared" si="85"/>
        <v>6.9026158261506563</v>
      </c>
      <c r="O77" s="86">
        <f t="shared" si="85"/>
        <v>6.2837505517885646</v>
      </c>
      <c r="P77" s="86">
        <f t="shared" si="85"/>
        <v>7.0362032095154303</v>
      </c>
      <c r="Q77" s="86">
        <f t="shared" si="85"/>
        <v>7.0332661729391779</v>
      </c>
      <c r="R77" s="86">
        <f t="shared" si="85"/>
        <v>7.7360006234167864</v>
      </c>
      <c r="S77" s="86">
        <f t="shared" si="85"/>
        <v>7.4295306603623361</v>
      </c>
      <c r="T77" s="86">
        <f t="shared" si="85"/>
        <v>8.4206185317667845</v>
      </c>
      <c r="U77" s="86">
        <f t="shared" si="84"/>
        <v>8.6613511287470413</v>
      </c>
      <c r="V77" s="86">
        <f t="shared" si="84"/>
        <v>8.4752269821947763</v>
      </c>
      <c r="W77" s="86">
        <f t="shared" si="84"/>
        <v>9.3863968121173258</v>
      </c>
      <c r="X77" s="86">
        <f t="shared" si="84"/>
        <v>8.9608585140871906</v>
      </c>
      <c r="Y77" s="86">
        <f t="shared" si="84"/>
        <v>9.4564011997323068</v>
      </c>
      <c r="Z77" s="86">
        <f t="shared" si="84"/>
        <v>10.248610625827746</v>
      </c>
      <c r="AA77" s="86">
        <f t="shared" si="84"/>
        <v>9.2469680839106392</v>
      </c>
      <c r="AB77" s="86">
        <f t="shared" si="84"/>
        <v>10.284142078465766</v>
      </c>
      <c r="AC77" s="86">
        <f t="shared" si="84"/>
        <v>10.627664254489723</v>
      </c>
      <c r="AD77" s="86">
        <f t="shared" si="84"/>
        <v>11.209369471320846</v>
      </c>
      <c r="AE77" s="86">
        <f t="shared" si="84"/>
        <v>10.922088096921041</v>
      </c>
      <c r="AF77" s="86">
        <f t="shared" si="84"/>
        <v>12.861494712515572</v>
      </c>
      <c r="AG77" s="86">
        <f t="shared" si="84"/>
        <v>12.442202976809718</v>
      </c>
      <c r="AH77" s="86">
        <f t="shared" si="84"/>
        <v>12.500866900490539</v>
      </c>
      <c r="AI77" s="86">
        <f t="shared" si="84"/>
        <v>14.078669134577101</v>
      </c>
      <c r="AJ77" s="86">
        <f t="shared" si="84"/>
        <v>13.246687530572611</v>
      </c>
      <c r="AK77" s="86">
        <f t="shared" si="84"/>
        <v>14.257803025958829</v>
      </c>
      <c r="AL77" s="86">
        <f t="shared" si="84"/>
        <v>14.399082836478005</v>
      </c>
      <c r="AM77" s="86">
        <f t="shared" si="84"/>
        <v>13.075750675643242</v>
      </c>
      <c r="AN77" s="86">
        <f t="shared" si="84"/>
        <v>14.231607042529522</v>
      </c>
    </row>
    <row r="78" spans="1:40" x14ac:dyDescent="0.25">
      <c r="A78" s="146" t="s">
        <v>8</v>
      </c>
      <c r="E78" s="86">
        <f t="shared" si="85"/>
        <v>0</v>
      </c>
      <c r="F78" s="86">
        <f t="shared" si="84"/>
        <v>0</v>
      </c>
      <c r="G78" s="86">
        <f t="shared" si="84"/>
        <v>0</v>
      </c>
      <c r="H78" s="86">
        <f t="shared" si="84"/>
        <v>18.071999999999999</v>
      </c>
      <c r="I78" s="86">
        <f t="shared" si="84"/>
        <v>18.812640000000002</v>
      </c>
      <c r="J78" s="86">
        <f t="shared" si="84"/>
        <v>18.449299199999999</v>
      </c>
      <c r="K78" s="86">
        <f t="shared" si="84"/>
        <v>19.690487424000001</v>
      </c>
      <c r="L78" s="86">
        <f t="shared" si="84"/>
        <v>19.622858169600001</v>
      </c>
      <c r="M78" s="86">
        <f t="shared" si="84"/>
        <v>20.558135880729601</v>
      </c>
      <c r="N78" s="86">
        <f t="shared" si="84"/>
        <v>21.55741856840141</v>
      </c>
      <c r="O78" s="86">
        <f t="shared" si="84"/>
        <v>19.75593901601993</v>
      </c>
      <c r="P78" s="86">
        <f t="shared" si="84"/>
        <v>22.232814716183515</v>
      </c>
      <c r="Q78" s="86">
        <f t="shared" si="84"/>
        <v>22.16492845692725</v>
      </c>
      <c r="R78" s="86">
        <f t="shared" si="84"/>
        <v>24.077824911230504</v>
      </c>
      <c r="S78" s="86">
        <f t="shared" si="84"/>
        <v>23.37564260789452</v>
      </c>
      <c r="T78" s="86">
        <f t="shared" si="84"/>
        <v>26.338799771618131</v>
      </c>
      <c r="U78" s="86">
        <f t="shared" si="84"/>
        <v>27.068919667066339</v>
      </c>
      <c r="V78" s="86">
        <f t="shared" si="84"/>
        <v>26.599904814995607</v>
      </c>
      <c r="W78" s="86">
        <f t="shared" si="84"/>
        <v>29.088828441602786</v>
      </c>
      <c r="X78" s="86">
        <f t="shared" si="84"/>
        <v>28.077269618632275</v>
      </c>
      <c r="Y78" s="86">
        <f t="shared" si="84"/>
        <v>29.661847028286473</v>
      </c>
      <c r="Z78" s="86">
        <f t="shared" si="84"/>
        <v>31.678203359510292</v>
      </c>
      <c r="AA78" s="86">
        <f t="shared" si="84"/>
        <v>28.780097340591333</v>
      </c>
      <c r="AB78" s="86">
        <f t="shared" si="84"/>
        <v>32.177319464103306</v>
      </c>
      <c r="AC78" s="86">
        <f t="shared" si="84"/>
        <v>32.919173215208154</v>
      </c>
      <c r="AD78" s="86">
        <f t="shared" si="84"/>
        <v>34.763028271570427</v>
      </c>
      <c r="AE78" s="86">
        <f t="shared" si="84"/>
        <v>34.020184195615968</v>
      </c>
      <c r="AF78" s="86">
        <f t="shared" si="84"/>
        <v>39.547125463848303</v>
      </c>
      <c r="AG78" s="86">
        <f t="shared" si="84"/>
        <v>38.76463848074016</v>
      </c>
      <c r="AH78" s="86">
        <f t="shared" si="84"/>
        <v>38.837532825724978</v>
      </c>
      <c r="AI78" s="86">
        <f t="shared" si="84"/>
        <v>43.176617517921422</v>
      </c>
      <c r="AJ78" s="86">
        <f t="shared" si="84"/>
        <v>41.083589771579312</v>
      </c>
      <c r="AK78" s="86">
        <f t="shared" si="84"/>
        <v>44.018258355666305</v>
      </c>
      <c r="AL78" s="86">
        <f t="shared" si="84"/>
        <v>44.493785522779632</v>
      </c>
      <c r="AM78" s="86">
        <f t="shared" si="84"/>
        <v>40.48091203021383</v>
      </c>
      <c r="AN78" s="86">
        <f t="shared" si="84"/>
        <v>44.371355411440831</v>
      </c>
    </row>
    <row r="79" spans="1:40" ht="15.75" thickBot="1" x14ac:dyDescent="0.3">
      <c r="A79" s="159" t="s">
        <v>54</v>
      </c>
      <c r="B79" s="160"/>
      <c r="C79" s="160"/>
      <c r="D79" s="160"/>
      <c r="E79" s="161">
        <f>SUM(E76:E78)</f>
        <v>0</v>
      </c>
      <c r="F79" s="161">
        <f t="shared" ref="F79:AN79" si="86">SUM(F76:F78)</f>
        <v>0</v>
      </c>
      <c r="G79" s="161">
        <f t="shared" si="86"/>
        <v>0</v>
      </c>
      <c r="H79" s="161">
        <f t="shared" si="86"/>
        <v>30.588000000000001</v>
      </c>
      <c r="I79" s="161">
        <f t="shared" si="86"/>
        <v>32.132400000000004</v>
      </c>
      <c r="J79" s="161">
        <f t="shared" si="86"/>
        <v>31.294780799999998</v>
      </c>
      <c r="K79" s="161">
        <f t="shared" si="86"/>
        <v>33.524905536000006</v>
      </c>
      <c r="L79" s="161">
        <f t="shared" si="86"/>
        <v>33.471474445440002</v>
      </c>
      <c r="M79" s="161">
        <f t="shared" si="86"/>
        <v>34.884736525171206</v>
      </c>
      <c r="N79" s="161">
        <f t="shared" si="86"/>
        <v>36.923812792700161</v>
      </c>
      <c r="O79" s="161">
        <f t="shared" si="86"/>
        <v>33.68827545077103</v>
      </c>
      <c r="P79" s="161">
        <f t="shared" si="86"/>
        <v>37.785759957154248</v>
      </c>
      <c r="Q79" s="161">
        <f t="shared" si="86"/>
        <v>37.736540059945398</v>
      </c>
      <c r="R79" s="161">
        <f t="shared" si="86"/>
        <v>41.33481389949165</v>
      </c>
      <c r="S79" s="161">
        <f t="shared" si="86"/>
        <v>39.840933015057615</v>
      </c>
      <c r="T79" s="161">
        <f t="shared" si="86"/>
        <v>45.067123428269554</v>
      </c>
      <c r="U79" s="161">
        <f t="shared" si="86"/>
        <v>46.342473427221229</v>
      </c>
      <c r="V79" s="161">
        <f t="shared" si="86"/>
        <v>45.410921033668473</v>
      </c>
      <c r="W79" s="161">
        <f t="shared" si="86"/>
        <v>50.081401988511125</v>
      </c>
      <c r="X79" s="161">
        <f t="shared" si="86"/>
        <v>47.986255294471846</v>
      </c>
      <c r="Y79" s="161">
        <f t="shared" si="86"/>
        <v>50.658129351210889</v>
      </c>
      <c r="Z79" s="161">
        <f t="shared" si="86"/>
        <v>54.634593519733734</v>
      </c>
      <c r="AA79" s="161">
        <f t="shared" si="86"/>
        <v>49.407882045612112</v>
      </c>
      <c r="AB79" s="161">
        <f t="shared" si="86"/>
        <v>55.046183571819725</v>
      </c>
      <c r="AC79" s="161">
        <f t="shared" si="86"/>
        <v>56.694865391323574</v>
      </c>
      <c r="AD79" s="161">
        <f t="shared" si="86"/>
        <v>59.822042823966648</v>
      </c>
      <c r="AE79" s="161">
        <f t="shared" si="86"/>
        <v>58.373398357896974</v>
      </c>
      <c r="AF79" s="161">
        <f t="shared" si="86"/>
        <v>68.44529860119107</v>
      </c>
      <c r="AG79" s="161">
        <f t="shared" si="86"/>
        <v>66.503167938612222</v>
      </c>
      <c r="AH79" s="161">
        <f t="shared" si="86"/>
        <v>66.754015535105424</v>
      </c>
      <c r="AI79" s="161">
        <f t="shared" si="86"/>
        <v>74.858195485548393</v>
      </c>
      <c r="AJ79" s="161">
        <f t="shared" si="86"/>
        <v>70.696112116805637</v>
      </c>
      <c r="AK79" s="161">
        <f t="shared" si="86"/>
        <v>75.975176666847233</v>
      </c>
      <c r="AL79" s="161">
        <f t="shared" si="86"/>
        <v>76.750492700184182</v>
      </c>
      <c r="AM79" s="161">
        <f t="shared" si="86"/>
        <v>69.74040004926168</v>
      </c>
      <c r="AN79" s="161">
        <f t="shared" si="86"/>
        <v>76.08351425778396</v>
      </c>
    </row>
    <row r="80" spans="1:40" ht="15.75" thickTop="1" x14ac:dyDescent="0.25"/>
    <row r="81" spans="1:4" s="163" customFormat="1" x14ac:dyDescent="0.25">
      <c r="A81" s="162" t="s">
        <v>91</v>
      </c>
      <c r="B81" s="162"/>
      <c r="C81" s="162"/>
      <c r="D81" s="16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xSplit="4" ySplit="4" topLeftCell="AF5" activePane="bottomRight" state="frozen"/>
      <selection pane="topRight" activeCell="E1" sqref="E1"/>
      <selection pane="bottomLeft" activeCell="A5" sqref="A5"/>
      <selection pane="bottomRight" activeCell="AF5" sqref="AF5"/>
    </sheetView>
  </sheetViews>
  <sheetFormatPr defaultRowHeight="15" x14ac:dyDescent="0.25"/>
  <cols>
    <col min="1" max="1" width="43" bestFit="1" customWidth="1"/>
    <col min="2" max="2" width="10.5703125" bestFit="1" customWidth="1"/>
    <col min="5" max="5" width="9.5703125" style="86" bestFit="1" customWidth="1"/>
    <col min="6" max="6" width="10.140625" style="86" bestFit="1" customWidth="1"/>
    <col min="7" max="7" width="9.42578125" style="86" bestFit="1" customWidth="1"/>
    <col min="8" max="40" width="12.5703125" style="86" bestFit="1" customWidth="1"/>
    <col min="41" max="16384" width="9.140625" style="86"/>
  </cols>
  <sheetData>
    <row r="1" spans="1:40" customFormat="1" x14ac:dyDescent="0.25">
      <c r="A1" s="89" t="s">
        <v>105</v>
      </c>
      <c r="B1" s="88" t="str">
        <f>convertor!C1</f>
        <v xml:space="preserve">lakhs </v>
      </c>
    </row>
    <row r="2" spans="1:40" customFormat="1" x14ac:dyDescent="0.25"/>
    <row r="3" spans="1:40" customFormat="1" x14ac:dyDescent="0.25">
      <c r="E3" s="91">
        <v>1</v>
      </c>
      <c r="F3" s="91">
        <f>E3+1</f>
        <v>2</v>
      </c>
      <c r="G3" s="91">
        <f t="shared" ref="G3:AN3" si="0">F3+1</f>
        <v>3</v>
      </c>
      <c r="H3" s="91">
        <f t="shared" si="0"/>
        <v>4</v>
      </c>
      <c r="I3" s="91">
        <f t="shared" si="0"/>
        <v>5</v>
      </c>
      <c r="J3" s="91">
        <f t="shared" si="0"/>
        <v>6</v>
      </c>
      <c r="K3" s="91">
        <f t="shared" si="0"/>
        <v>7</v>
      </c>
      <c r="L3" s="91">
        <f t="shared" si="0"/>
        <v>8</v>
      </c>
      <c r="M3" s="91">
        <f t="shared" si="0"/>
        <v>9</v>
      </c>
      <c r="N3" s="91">
        <f t="shared" si="0"/>
        <v>10</v>
      </c>
      <c r="O3" s="91">
        <f t="shared" si="0"/>
        <v>11</v>
      </c>
      <c r="P3" s="91">
        <f t="shared" si="0"/>
        <v>12</v>
      </c>
      <c r="Q3" s="91">
        <f t="shared" si="0"/>
        <v>13</v>
      </c>
      <c r="R3" s="91">
        <f t="shared" si="0"/>
        <v>14</v>
      </c>
      <c r="S3" s="91">
        <f t="shared" si="0"/>
        <v>15</v>
      </c>
      <c r="T3" s="91">
        <f t="shared" si="0"/>
        <v>16</v>
      </c>
      <c r="U3" s="91">
        <f t="shared" si="0"/>
        <v>17</v>
      </c>
      <c r="V3" s="91">
        <f t="shared" si="0"/>
        <v>18</v>
      </c>
      <c r="W3" s="91">
        <f t="shared" si="0"/>
        <v>19</v>
      </c>
      <c r="X3" s="91">
        <f t="shared" si="0"/>
        <v>20</v>
      </c>
      <c r="Y3" s="91">
        <f t="shared" si="0"/>
        <v>21</v>
      </c>
      <c r="Z3" s="91">
        <f t="shared" si="0"/>
        <v>22</v>
      </c>
      <c r="AA3" s="91">
        <f t="shared" si="0"/>
        <v>23</v>
      </c>
      <c r="AB3" s="91">
        <f t="shared" si="0"/>
        <v>24</v>
      </c>
      <c r="AC3" s="91">
        <f t="shared" si="0"/>
        <v>25</v>
      </c>
      <c r="AD3" s="91">
        <f t="shared" si="0"/>
        <v>26</v>
      </c>
      <c r="AE3" s="91">
        <f t="shared" si="0"/>
        <v>27</v>
      </c>
      <c r="AF3" s="91">
        <f t="shared" si="0"/>
        <v>28</v>
      </c>
      <c r="AG3" s="91">
        <f t="shared" si="0"/>
        <v>29</v>
      </c>
      <c r="AH3" s="91">
        <f t="shared" si="0"/>
        <v>30</v>
      </c>
      <c r="AI3" s="91">
        <f t="shared" si="0"/>
        <v>31</v>
      </c>
      <c r="AJ3" s="91">
        <f t="shared" si="0"/>
        <v>32</v>
      </c>
      <c r="AK3" s="91">
        <f t="shared" si="0"/>
        <v>33</v>
      </c>
      <c r="AL3" s="91">
        <f t="shared" si="0"/>
        <v>34</v>
      </c>
      <c r="AM3" s="91">
        <f t="shared" si="0"/>
        <v>35</v>
      </c>
      <c r="AN3" s="91">
        <f t="shared" si="0"/>
        <v>36</v>
      </c>
    </row>
    <row r="4" spans="1:40" customFormat="1" x14ac:dyDescent="0.25">
      <c r="E4" s="90">
        <f>EOMONTH(Assumptions!G3,0)</f>
        <v>43951</v>
      </c>
      <c r="F4" s="90">
        <f>EOMONTH(E4,1)</f>
        <v>43982</v>
      </c>
      <c r="G4" s="90">
        <f t="shared" ref="G4:AN4" si="1">EOMONTH(F4,1)</f>
        <v>44012</v>
      </c>
      <c r="H4" s="90">
        <f t="shared" si="1"/>
        <v>44043</v>
      </c>
      <c r="I4" s="90">
        <f t="shared" si="1"/>
        <v>44074</v>
      </c>
      <c r="J4" s="90">
        <f t="shared" si="1"/>
        <v>44104</v>
      </c>
      <c r="K4" s="90">
        <f t="shared" si="1"/>
        <v>44135</v>
      </c>
      <c r="L4" s="90">
        <f t="shared" si="1"/>
        <v>44165</v>
      </c>
      <c r="M4" s="90">
        <f t="shared" si="1"/>
        <v>44196</v>
      </c>
      <c r="N4" s="90">
        <f t="shared" si="1"/>
        <v>44227</v>
      </c>
      <c r="O4" s="90">
        <f t="shared" si="1"/>
        <v>44255</v>
      </c>
      <c r="P4" s="90">
        <f t="shared" si="1"/>
        <v>44286</v>
      </c>
      <c r="Q4" s="90">
        <f t="shared" si="1"/>
        <v>44316</v>
      </c>
      <c r="R4" s="90">
        <f t="shared" si="1"/>
        <v>44347</v>
      </c>
      <c r="S4" s="90">
        <f t="shared" si="1"/>
        <v>44377</v>
      </c>
      <c r="T4" s="90">
        <f t="shared" si="1"/>
        <v>44408</v>
      </c>
      <c r="U4" s="90">
        <f t="shared" si="1"/>
        <v>44439</v>
      </c>
      <c r="V4" s="90">
        <f t="shared" si="1"/>
        <v>44469</v>
      </c>
      <c r="W4" s="90">
        <f t="shared" si="1"/>
        <v>44500</v>
      </c>
      <c r="X4" s="90">
        <f t="shared" si="1"/>
        <v>44530</v>
      </c>
      <c r="Y4" s="90">
        <f t="shared" si="1"/>
        <v>44561</v>
      </c>
      <c r="Z4" s="90">
        <f t="shared" si="1"/>
        <v>44592</v>
      </c>
      <c r="AA4" s="90">
        <f t="shared" si="1"/>
        <v>44620</v>
      </c>
      <c r="AB4" s="90">
        <f t="shared" si="1"/>
        <v>44651</v>
      </c>
      <c r="AC4" s="90">
        <f t="shared" si="1"/>
        <v>44681</v>
      </c>
      <c r="AD4" s="90">
        <f t="shared" si="1"/>
        <v>44712</v>
      </c>
      <c r="AE4" s="90">
        <f t="shared" si="1"/>
        <v>44742</v>
      </c>
      <c r="AF4" s="90">
        <f t="shared" si="1"/>
        <v>44773</v>
      </c>
      <c r="AG4" s="90">
        <f t="shared" si="1"/>
        <v>44804</v>
      </c>
      <c r="AH4" s="90">
        <f t="shared" si="1"/>
        <v>44834</v>
      </c>
      <c r="AI4" s="90">
        <f t="shared" si="1"/>
        <v>44865</v>
      </c>
      <c r="AJ4" s="90">
        <f t="shared" si="1"/>
        <v>44895</v>
      </c>
      <c r="AK4" s="90">
        <f t="shared" si="1"/>
        <v>44926</v>
      </c>
      <c r="AL4" s="90">
        <f t="shared" si="1"/>
        <v>44957</v>
      </c>
      <c r="AM4" s="90">
        <f t="shared" si="1"/>
        <v>44985</v>
      </c>
      <c r="AN4" s="90">
        <f t="shared" si="1"/>
        <v>45016</v>
      </c>
    </row>
    <row r="5" spans="1:40" s="87" customFormat="1" x14ac:dyDescent="0.25"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</row>
    <row r="6" spans="1:40" x14ac:dyDescent="0.25">
      <c r="A6" s="9" t="s">
        <v>117</v>
      </c>
    </row>
    <row r="7" spans="1:40" x14ac:dyDescent="0.25">
      <c r="A7" t="str">
        <f>'monthly revenue '!A76</f>
        <v>Alcoholic Beverages</v>
      </c>
      <c r="E7" s="155">
        <f>'monthly revenue '!E76</f>
        <v>0</v>
      </c>
      <c r="F7" s="155">
        <f>'monthly revenue '!F76</f>
        <v>0</v>
      </c>
      <c r="G7" s="155">
        <f>'monthly revenue '!G76</f>
        <v>0</v>
      </c>
      <c r="H7" s="155">
        <f>'monthly revenue '!H76</f>
        <v>6.8320000000000007</v>
      </c>
      <c r="I7" s="155">
        <f>'monthly revenue '!I76</f>
        <v>7.3212800000000007</v>
      </c>
      <c r="J7" s="155">
        <f>'monthly revenue '!J76</f>
        <v>7.0236992000000011</v>
      </c>
      <c r="K7" s="155">
        <f>'monthly revenue '!K76</f>
        <v>7.585997184</v>
      </c>
      <c r="L7" s="155">
        <f>'monthly revenue '!L76</f>
        <v>7.6043541542400019</v>
      </c>
      <c r="M7" s="155">
        <f>'monthly revenue '!M76</f>
        <v>7.8357675053824014</v>
      </c>
      <c r="N7" s="155">
        <f>'monthly revenue '!N76</f>
        <v>8.4637783981480972</v>
      </c>
      <c r="O7" s="155">
        <f>'monthly revenue '!O76</f>
        <v>7.6485858829625357</v>
      </c>
      <c r="P7" s="155">
        <f>'monthly revenue '!P76</f>
        <v>8.5167420314553013</v>
      </c>
      <c r="Q7" s="155">
        <f>'monthly revenue '!Q76</f>
        <v>8.5383454300789747</v>
      </c>
      <c r="R7" s="155">
        <f>'monthly revenue '!R76</f>
        <v>9.5209883648443618</v>
      </c>
      <c r="S7" s="155">
        <f>'monthly revenue '!S76</f>
        <v>9.0357597468007569</v>
      </c>
      <c r="T7" s="155">
        <f>'monthly revenue '!T76</f>
        <v>10.307705124884635</v>
      </c>
      <c r="U7" s="155">
        <f>'monthly revenue '!U76</f>
        <v>10.612202631407849</v>
      </c>
      <c r="V7" s="155">
        <f>'monthly revenue '!V76</f>
        <v>10.335789236478089</v>
      </c>
      <c r="W7" s="155">
        <f>'monthly revenue '!W76</f>
        <v>11.606176734791012</v>
      </c>
      <c r="X7" s="155">
        <f>'monthly revenue '!X76</f>
        <v>10.948127161752378</v>
      </c>
      <c r="Y7" s="155">
        <f>'monthly revenue '!Y76</f>
        <v>11.539881123192105</v>
      </c>
      <c r="Z7" s="155">
        <f>'monthly revenue '!Z76</f>
        <v>12.707779534395698</v>
      </c>
      <c r="AA7" s="155">
        <f>'monthly revenue '!AA76</f>
        <v>11.380816621110142</v>
      </c>
      <c r="AB7" s="155">
        <f>'monthly revenue '!AB76</f>
        <v>12.584722029250656</v>
      </c>
      <c r="AC7" s="155">
        <f>'monthly revenue '!AC76</f>
        <v>13.148027921625697</v>
      </c>
      <c r="AD7" s="155">
        <f>'monthly revenue '!AD76</f>
        <v>13.849645081075373</v>
      </c>
      <c r="AE7" s="155">
        <f>'monthly revenue '!AE76</f>
        <v>13.431126065359969</v>
      </c>
      <c r="AF7" s="155">
        <f>'monthly revenue '!AF76</f>
        <v>16.036678424827194</v>
      </c>
      <c r="AG7" s="155">
        <f>'monthly revenue '!AG76</f>
        <v>15.296326481062346</v>
      </c>
      <c r="AH7" s="155">
        <f>'monthly revenue '!AH76</f>
        <v>15.41561580888991</v>
      </c>
      <c r="AI7" s="155">
        <f>'monthly revenue '!AI76</f>
        <v>17.602908833049867</v>
      </c>
      <c r="AJ7" s="155">
        <f>'monthly revenue '!AJ76</f>
        <v>16.365834814653716</v>
      </c>
      <c r="AK7" s="155">
        <f>'monthly revenue '!AK76</f>
        <v>17.699115285222099</v>
      </c>
      <c r="AL7" s="155">
        <f>'monthly revenue '!AL76</f>
        <v>17.857624340926542</v>
      </c>
      <c r="AM7" s="155">
        <f>'monthly revenue '!AM76</f>
        <v>16.183737343404612</v>
      </c>
      <c r="AN7" s="155">
        <f>'monthly revenue '!AN76</f>
        <v>17.480551803813611</v>
      </c>
    </row>
    <row r="8" spans="1:40" x14ac:dyDescent="0.25">
      <c r="A8" t="str">
        <f>'monthly revenue '!A77</f>
        <v>Non Alcoholic Beverages</v>
      </c>
      <c r="E8" s="155">
        <f>'monthly revenue '!E77</f>
        <v>0</v>
      </c>
      <c r="F8" s="155">
        <f>'monthly revenue '!F77</f>
        <v>0</v>
      </c>
      <c r="G8" s="155">
        <f>'monthly revenue '!G77</f>
        <v>0</v>
      </c>
      <c r="H8" s="155">
        <f>'monthly revenue '!H77</f>
        <v>5.6840000000000002</v>
      </c>
      <c r="I8" s="155">
        <f>'monthly revenue '!I77</f>
        <v>5.9984800000000007</v>
      </c>
      <c r="J8" s="155">
        <f>'monthly revenue '!J77</f>
        <v>5.8217824</v>
      </c>
      <c r="K8" s="155">
        <f>'monthly revenue '!K77</f>
        <v>6.2484209280000016</v>
      </c>
      <c r="L8" s="155">
        <f>'monthly revenue '!L77</f>
        <v>6.2442621216000012</v>
      </c>
      <c r="M8" s="155">
        <f>'monthly revenue '!M77</f>
        <v>6.4908331390592018</v>
      </c>
      <c r="N8" s="155">
        <f>'monthly revenue '!N77</f>
        <v>6.9026158261506563</v>
      </c>
      <c r="O8" s="155">
        <f>'monthly revenue '!O77</f>
        <v>6.2837505517885646</v>
      </c>
      <c r="P8" s="155">
        <f>'monthly revenue '!P77</f>
        <v>7.0362032095154303</v>
      </c>
      <c r="Q8" s="155">
        <f>'monthly revenue '!Q77</f>
        <v>7.0332661729391779</v>
      </c>
      <c r="R8" s="155">
        <f>'monthly revenue '!R77</f>
        <v>7.7360006234167864</v>
      </c>
      <c r="S8" s="155">
        <f>'monthly revenue '!S77</f>
        <v>7.4295306603623361</v>
      </c>
      <c r="T8" s="155">
        <f>'monthly revenue '!T77</f>
        <v>8.4206185317667845</v>
      </c>
      <c r="U8" s="155">
        <f>'monthly revenue '!U77</f>
        <v>8.6613511287470413</v>
      </c>
      <c r="V8" s="155">
        <f>'monthly revenue '!V77</f>
        <v>8.4752269821947763</v>
      </c>
      <c r="W8" s="155">
        <f>'monthly revenue '!W77</f>
        <v>9.3863968121173258</v>
      </c>
      <c r="X8" s="155">
        <f>'monthly revenue '!X77</f>
        <v>8.9608585140871906</v>
      </c>
      <c r="Y8" s="155">
        <f>'monthly revenue '!Y77</f>
        <v>9.4564011997323068</v>
      </c>
      <c r="Z8" s="155">
        <f>'monthly revenue '!Z77</f>
        <v>10.248610625827746</v>
      </c>
      <c r="AA8" s="155">
        <f>'monthly revenue '!AA77</f>
        <v>9.2469680839106392</v>
      </c>
      <c r="AB8" s="155">
        <f>'monthly revenue '!AB77</f>
        <v>10.284142078465766</v>
      </c>
      <c r="AC8" s="155">
        <f>'monthly revenue '!AC77</f>
        <v>10.627664254489723</v>
      </c>
      <c r="AD8" s="155">
        <f>'monthly revenue '!AD77</f>
        <v>11.209369471320846</v>
      </c>
      <c r="AE8" s="155">
        <f>'monthly revenue '!AE77</f>
        <v>10.922088096921041</v>
      </c>
      <c r="AF8" s="155">
        <f>'monthly revenue '!AF77</f>
        <v>12.861494712515572</v>
      </c>
      <c r="AG8" s="155">
        <f>'monthly revenue '!AG77</f>
        <v>12.442202976809718</v>
      </c>
      <c r="AH8" s="155">
        <f>'monthly revenue '!AH77</f>
        <v>12.500866900490539</v>
      </c>
      <c r="AI8" s="155">
        <f>'monthly revenue '!AI77</f>
        <v>14.078669134577101</v>
      </c>
      <c r="AJ8" s="155">
        <f>'monthly revenue '!AJ77</f>
        <v>13.246687530572611</v>
      </c>
      <c r="AK8" s="155">
        <f>'monthly revenue '!AK77</f>
        <v>14.257803025958829</v>
      </c>
      <c r="AL8" s="155">
        <f>'monthly revenue '!AL77</f>
        <v>14.399082836478005</v>
      </c>
      <c r="AM8" s="155">
        <f>'monthly revenue '!AM77</f>
        <v>13.075750675643242</v>
      </c>
      <c r="AN8" s="155">
        <f>'monthly revenue '!AN77</f>
        <v>14.231607042529522</v>
      </c>
    </row>
    <row r="9" spans="1:40" x14ac:dyDescent="0.25">
      <c r="A9" t="str">
        <f>'monthly revenue '!A78</f>
        <v>Food</v>
      </c>
      <c r="E9" s="155">
        <f>'monthly revenue '!E78</f>
        <v>0</v>
      </c>
      <c r="F9" s="155">
        <f>'monthly revenue '!F78</f>
        <v>0</v>
      </c>
      <c r="G9" s="155">
        <f>'monthly revenue '!G78</f>
        <v>0</v>
      </c>
      <c r="H9" s="155">
        <f>'monthly revenue '!H78</f>
        <v>18.071999999999999</v>
      </c>
      <c r="I9" s="155">
        <f>'monthly revenue '!I78</f>
        <v>18.812640000000002</v>
      </c>
      <c r="J9" s="155">
        <f>'monthly revenue '!J78</f>
        <v>18.449299199999999</v>
      </c>
      <c r="K9" s="155">
        <f>'monthly revenue '!K78</f>
        <v>19.690487424000001</v>
      </c>
      <c r="L9" s="155">
        <f>'monthly revenue '!L78</f>
        <v>19.622858169600001</v>
      </c>
      <c r="M9" s="155">
        <f>'monthly revenue '!M78</f>
        <v>20.558135880729601</v>
      </c>
      <c r="N9" s="155">
        <f>'monthly revenue '!N78</f>
        <v>21.55741856840141</v>
      </c>
      <c r="O9" s="155">
        <f>'monthly revenue '!O78</f>
        <v>19.75593901601993</v>
      </c>
      <c r="P9" s="155">
        <f>'monthly revenue '!P78</f>
        <v>22.232814716183515</v>
      </c>
      <c r="Q9" s="155">
        <f>'monthly revenue '!Q78</f>
        <v>22.16492845692725</v>
      </c>
      <c r="R9" s="155">
        <f>'monthly revenue '!R78</f>
        <v>24.077824911230504</v>
      </c>
      <c r="S9" s="155">
        <f>'monthly revenue '!S78</f>
        <v>23.37564260789452</v>
      </c>
      <c r="T9" s="155">
        <f>'monthly revenue '!T78</f>
        <v>26.338799771618131</v>
      </c>
      <c r="U9" s="155">
        <f>'monthly revenue '!U78</f>
        <v>27.068919667066339</v>
      </c>
      <c r="V9" s="155">
        <f>'monthly revenue '!V78</f>
        <v>26.599904814995607</v>
      </c>
      <c r="W9" s="155">
        <f>'monthly revenue '!W78</f>
        <v>29.088828441602786</v>
      </c>
      <c r="X9" s="155">
        <f>'monthly revenue '!X78</f>
        <v>28.077269618632275</v>
      </c>
      <c r="Y9" s="155">
        <f>'monthly revenue '!Y78</f>
        <v>29.661847028286473</v>
      </c>
      <c r="Z9" s="155">
        <f>'monthly revenue '!Z78</f>
        <v>31.678203359510292</v>
      </c>
      <c r="AA9" s="155">
        <f>'monthly revenue '!AA78</f>
        <v>28.780097340591333</v>
      </c>
      <c r="AB9" s="155">
        <f>'monthly revenue '!AB78</f>
        <v>32.177319464103306</v>
      </c>
      <c r="AC9" s="155">
        <f>'monthly revenue '!AC78</f>
        <v>32.919173215208154</v>
      </c>
      <c r="AD9" s="155">
        <f>'monthly revenue '!AD78</f>
        <v>34.763028271570427</v>
      </c>
      <c r="AE9" s="155">
        <f>'monthly revenue '!AE78</f>
        <v>34.020184195615968</v>
      </c>
      <c r="AF9" s="155">
        <f>'monthly revenue '!AF78</f>
        <v>39.547125463848303</v>
      </c>
      <c r="AG9" s="155">
        <f>'monthly revenue '!AG78</f>
        <v>38.76463848074016</v>
      </c>
      <c r="AH9" s="155">
        <f>'monthly revenue '!AH78</f>
        <v>38.837532825724978</v>
      </c>
      <c r="AI9" s="155">
        <f>'monthly revenue '!AI78</f>
        <v>43.176617517921422</v>
      </c>
      <c r="AJ9" s="155">
        <f>'monthly revenue '!AJ78</f>
        <v>41.083589771579312</v>
      </c>
      <c r="AK9" s="155">
        <f>'monthly revenue '!AK78</f>
        <v>44.018258355666305</v>
      </c>
      <c r="AL9" s="155">
        <f>'monthly revenue '!AL78</f>
        <v>44.493785522779632</v>
      </c>
      <c r="AM9" s="155">
        <f>'monthly revenue '!AM78</f>
        <v>40.48091203021383</v>
      </c>
      <c r="AN9" s="155">
        <f>'monthly revenue '!AN78</f>
        <v>44.371355411440831</v>
      </c>
    </row>
    <row r="10" spans="1:40" ht="15.75" thickBot="1" x14ac:dyDescent="0.3">
      <c r="A10" s="160" t="str">
        <f>'monthly revenue '!A79</f>
        <v>Total</v>
      </c>
      <c r="B10" s="160"/>
      <c r="C10" s="160"/>
      <c r="D10" s="160"/>
      <c r="E10" s="165">
        <f>'monthly revenue '!E79</f>
        <v>0</v>
      </c>
      <c r="F10" s="165">
        <f>'monthly revenue '!F79</f>
        <v>0</v>
      </c>
      <c r="G10" s="165">
        <f>'monthly revenue '!G79</f>
        <v>0</v>
      </c>
      <c r="H10" s="165">
        <f>'monthly revenue '!H79</f>
        <v>30.588000000000001</v>
      </c>
      <c r="I10" s="165">
        <f>'monthly revenue '!I79</f>
        <v>32.132400000000004</v>
      </c>
      <c r="J10" s="165">
        <f>'monthly revenue '!J79</f>
        <v>31.294780799999998</v>
      </c>
      <c r="K10" s="165">
        <f>'monthly revenue '!K79</f>
        <v>33.524905536000006</v>
      </c>
      <c r="L10" s="165">
        <f>'monthly revenue '!L79</f>
        <v>33.471474445440002</v>
      </c>
      <c r="M10" s="165">
        <f>'monthly revenue '!M79</f>
        <v>34.884736525171206</v>
      </c>
      <c r="N10" s="165">
        <f>'monthly revenue '!N79</f>
        <v>36.923812792700161</v>
      </c>
      <c r="O10" s="165">
        <f>'monthly revenue '!O79</f>
        <v>33.68827545077103</v>
      </c>
      <c r="P10" s="165">
        <f>'monthly revenue '!P79</f>
        <v>37.785759957154248</v>
      </c>
      <c r="Q10" s="165">
        <f>'monthly revenue '!Q79</f>
        <v>37.736540059945398</v>
      </c>
      <c r="R10" s="165">
        <f>'monthly revenue '!R79</f>
        <v>41.33481389949165</v>
      </c>
      <c r="S10" s="165">
        <f>'monthly revenue '!S79</f>
        <v>39.840933015057615</v>
      </c>
      <c r="T10" s="165">
        <f>'monthly revenue '!T79</f>
        <v>45.067123428269554</v>
      </c>
      <c r="U10" s="165">
        <f>'monthly revenue '!U79</f>
        <v>46.342473427221229</v>
      </c>
      <c r="V10" s="165">
        <f>'monthly revenue '!V79</f>
        <v>45.410921033668473</v>
      </c>
      <c r="W10" s="165">
        <f>'monthly revenue '!W79</f>
        <v>50.081401988511125</v>
      </c>
      <c r="X10" s="165">
        <f>'monthly revenue '!X79</f>
        <v>47.986255294471846</v>
      </c>
      <c r="Y10" s="165">
        <f>'monthly revenue '!Y79</f>
        <v>50.658129351210889</v>
      </c>
      <c r="Z10" s="165">
        <f>'monthly revenue '!Z79</f>
        <v>54.634593519733734</v>
      </c>
      <c r="AA10" s="165">
        <f>'monthly revenue '!AA79</f>
        <v>49.407882045612112</v>
      </c>
      <c r="AB10" s="165">
        <f>'monthly revenue '!AB79</f>
        <v>55.046183571819725</v>
      </c>
      <c r="AC10" s="165">
        <f>'monthly revenue '!AC79</f>
        <v>56.694865391323574</v>
      </c>
      <c r="AD10" s="165">
        <f>'monthly revenue '!AD79</f>
        <v>59.822042823966648</v>
      </c>
      <c r="AE10" s="165">
        <f>'monthly revenue '!AE79</f>
        <v>58.373398357896974</v>
      </c>
      <c r="AF10" s="165">
        <f>'monthly revenue '!AF79</f>
        <v>68.44529860119107</v>
      </c>
      <c r="AG10" s="165">
        <f>'monthly revenue '!AG79</f>
        <v>66.503167938612222</v>
      </c>
      <c r="AH10" s="165">
        <f>'monthly revenue '!AH79</f>
        <v>66.754015535105424</v>
      </c>
      <c r="AI10" s="165">
        <f>'monthly revenue '!AI79</f>
        <v>74.858195485548393</v>
      </c>
      <c r="AJ10" s="165">
        <f>'monthly revenue '!AJ79</f>
        <v>70.696112116805637</v>
      </c>
      <c r="AK10" s="165">
        <f>'monthly revenue '!AK79</f>
        <v>75.975176666847233</v>
      </c>
      <c r="AL10" s="165">
        <f>'monthly revenue '!AL79</f>
        <v>76.750492700184182</v>
      </c>
      <c r="AM10" s="165">
        <f>'monthly revenue '!AM79</f>
        <v>69.74040004926168</v>
      </c>
      <c r="AN10" s="165">
        <f>'monthly revenue '!AN79</f>
        <v>76.08351425778396</v>
      </c>
    </row>
    <row r="11" spans="1:40" ht="15.75" thickTop="1" x14ac:dyDescent="0.25"/>
    <row r="12" spans="1:40" x14ac:dyDescent="0.25">
      <c r="A12" s="9" t="s">
        <v>118</v>
      </c>
    </row>
    <row r="13" spans="1:40" x14ac:dyDescent="0.25">
      <c r="A13" t="str">
        <f>Assumptions!A25</f>
        <v>Alcoholic Beverage cost (% of revenue)</v>
      </c>
      <c r="E13" s="86">
        <f>E7*Assumptions!$G25</f>
        <v>0</v>
      </c>
      <c r="F13" s="86">
        <f>F7*Assumptions!$G25</f>
        <v>0</v>
      </c>
      <c r="G13" s="86">
        <f>G7*Assumptions!$G25</f>
        <v>0</v>
      </c>
      <c r="H13" s="86">
        <f>H7*Assumptions!$G25</f>
        <v>2.3912</v>
      </c>
      <c r="I13" s="86">
        <f>I7*Assumptions!$G25</f>
        <v>2.5624480000000003</v>
      </c>
      <c r="J13" s="86">
        <f>J7*Assumptions!$G25</f>
        <v>2.45829472</v>
      </c>
      <c r="K13" s="86">
        <f>K7*Assumptions!$G25</f>
        <v>2.6550990143999997</v>
      </c>
      <c r="L13" s="86">
        <f>L7*Assumptions!$G25</f>
        <v>2.6615239539840005</v>
      </c>
      <c r="M13" s="86">
        <f>M7*Assumptions!$G25</f>
        <v>2.7425186268838404</v>
      </c>
      <c r="N13" s="86">
        <f>N7*Assumptions!$G25</f>
        <v>2.9623224393518339</v>
      </c>
      <c r="O13" s="86">
        <f>O7*Assumptions!$G25</f>
        <v>2.6770050590368872</v>
      </c>
      <c r="P13" s="86">
        <f>P7*Assumptions!$G25</f>
        <v>2.9808597110093551</v>
      </c>
      <c r="Q13" s="86">
        <f>Q7*Assumptions!$G25</f>
        <v>2.988420900527641</v>
      </c>
      <c r="R13" s="86">
        <f>R7*Assumptions!$G25</f>
        <v>3.3323459276955263</v>
      </c>
      <c r="S13" s="86">
        <f>S7*Assumptions!$G25</f>
        <v>3.1625159113802646</v>
      </c>
      <c r="T13" s="86">
        <f>T7*Assumptions!$G25</f>
        <v>3.6076967937096218</v>
      </c>
      <c r="U13" s="86">
        <f>U7*Assumptions!$G25</f>
        <v>3.7142709209927469</v>
      </c>
      <c r="V13" s="86">
        <f>V7*Assumptions!$G25</f>
        <v>3.617526232767331</v>
      </c>
      <c r="W13" s="86">
        <f>W7*Assumptions!$G25</f>
        <v>4.0621618571768536</v>
      </c>
      <c r="X13" s="86">
        <f>X7*Assumptions!$G25</f>
        <v>3.831844506613332</v>
      </c>
      <c r="Y13" s="86">
        <f>Y7*Assumptions!$G25</f>
        <v>4.0389583931172366</v>
      </c>
      <c r="Z13" s="86">
        <f>Z7*Assumptions!$G25</f>
        <v>4.4477228370384942</v>
      </c>
      <c r="AA13" s="86">
        <f>AA7*Assumptions!$G25</f>
        <v>3.9832858173885497</v>
      </c>
      <c r="AB13" s="86">
        <f>AB7*Assumptions!$G25</f>
        <v>4.4046527102377295</v>
      </c>
      <c r="AC13" s="86">
        <f>AC7*Assumptions!$G25</f>
        <v>4.6018097725689939</v>
      </c>
      <c r="AD13" s="86">
        <f>AD7*Assumptions!$G25</f>
        <v>4.8473757783763798</v>
      </c>
      <c r="AE13" s="86">
        <f>AE7*Assumptions!$G25</f>
        <v>4.7008941228759884</v>
      </c>
      <c r="AF13" s="86">
        <f>AF7*Assumptions!$G25</f>
        <v>5.6128374486895174</v>
      </c>
      <c r="AG13" s="86">
        <f>AG7*Assumptions!$G25</f>
        <v>5.3537142683718209</v>
      </c>
      <c r="AH13" s="86">
        <f>AH7*Assumptions!$G25</f>
        <v>5.3954655331114685</v>
      </c>
      <c r="AI13" s="86">
        <f>AI7*Assumptions!$G25</f>
        <v>6.1610180915674526</v>
      </c>
      <c r="AJ13" s="86">
        <f>AJ7*Assumptions!$G25</f>
        <v>5.7280421851288006</v>
      </c>
      <c r="AK13" s="86">
        <f>AK7*Assumptions!$G25</f>
        <v>6.1946903498277344</v>
      </c>
      <c r="AL13" s="86">
        <f>AL7*Assumptions!$G25</f>
        <v>6.2501685193242889</v>
      </c>
      <c r="AM13" s="86">
        <f>AM7*Assumptions!$G25</f>
        <v>5.6643080701916135</v>
      </c>
      <c r="AN13" s="86">
        <f>AN7*Assumptions!$G25</f>
        <v>6.1181931313347633</v>
      </c>
    </row>
    <row r="14" spans="1:40" x14ac:dyDescent="0.25">
      <c r="A14" t="str">
        <f>Assumptions!A26</f>
        <v>Non Alcoholic Beverages (% of revenue)</v>
      </c>
      <c r="E14" s="86">
        <f>E8*Assumptions!$G26</f>
        <v>0</v>
      </c>
      <c r="F14" s="86">
        <f>F8*Assumptions!$G26</f>
        <v>0</v>
      </c>
      <c r="G14" s="86">
        <f>G8*Assumptions!$G26</f>
        <v>0</v>
      </c>
      <c r="H14" s="86">
        <f>H8*Assumptions!$G26</f>
        <v>2.2736000000000001</v>
      </c>
      <c r="I14" s="86">
        <f>I8*Assumptions!$G26</f>
        <v>2.3993920000000006</v>
      </c>
      <c r="J14" s="86">
        <f>J8*Assumptions!$G26</f>
        <v>2.3287129600000003</v>
      </c>
      <c r="K14" s="86">
        <f>K8*Assumptions!$G26</f>
        <v>2.499368371200001</v>
      </c>
      <c r="L14" s="86">
        <f>L8*Assumptions!$G26</f>
        <v>2.4977048486400006</v>
      </c>
      <c r="M14" s="86">
        <f>M8*Assumptions!$G26</f>
        <v>2.5963332556236809</v>
      </c>
      <c r="N14" s="86">
        <f>N8*Assumptions!$G26</f>
        <v>2.7610463304602626</v>
      </c>
      <c r="O14" s="86">
        <f>O8*Assumptions!$G26</f>
        <v>2.513500220715426</v>
      </c>
      <c r="P14" s="86">
        <f>P8*Assumptions!$G26</f>
        <v>2.8144812838061721</v>
      </c>
      <c r="Q14" s="86">
        <f>Q8*Assumptions!$G26</f>
        <v>2.8133064691756715</v>
      </c>
      <c r="R14" s="86">
        <f>R8*Assumptions!$G26</f>
        <v>3.0944002493667147</v>
      </c>
      <c r="S14" s="86">
        <f>S8*Assumptions!$G26</f>
        <v>2.9718122641449347</v>
      </c>
      <c r="T14" s="86">
        <f>T8*Assumptions!$G26</f>
        <v>3.3682474127067139</v>
      </c>
      <c r="U14" s="86">
        <f>U8*Assumptions!$G26</f>
        <v>3.4645404514988165</v>
      </c>
      <c r="V14" s="86">
        <f>V8*Assumptions!$G26</f>
        <v>3.3900907928779107</v>
      </c>
      <c r="W14" s="86">
        <f>W8*Assumptions!$G26</f>
        <v>3.7545587248469303</v>
      </c>
      <c r="X14" s="86">
        <f>X8*Assumptions!$G26</f>
        <v>3.5843434056348764</v>
      </c>
      <c r="Y14" s="86">
        <f>Y8*Assumptions!$G26</f>
        <v>3.7825604798929229</v>
      </c>
      <c r="Z14" s="86">
        <f>Z8*Assumptions!$G26</f>
        <v>4.099444250331099</v>
      </c>
      <c r="AA14" s="86">
        <f>AA8*Assumptions!$G26</f>
        <v>3.6987872335642558</v>
      </c>
      <c r="AB14" s="86">
        <f>AB8*Assumptions!$G26</f>
        <v>4.1136568313863071</v>
      </c>
      <c r="AC14" s="86">
        <f>AC8*Assumptions!$G26</f>
        <v>4.2510657017958895</v>
      </c>
      <c r="AD14" s="86">
        <f>AD8*Assumptions!$G26</f>
        <v>4.4837477885283388</v>
      </c>
      <c r="AE14" s="86">
        <f>AE8*Assumptions!$G26</f>
        <v>4.3688352387684164</v>
      </c>
      <c r="AF14" s="86">
        <f>AF8*Assumptions!$G26</f>
        <v>5.1445978850062293</v>
      </c>
      <c r="AG14" s="86">
        <f>AG8*Assumptions!$G26</f>
        <v>4.976881190723887</v>
      </c>
      <c r="AH14" s="86">
        <f>AH8*Assumptions!$G26</f>
        <v>5.0003467601962157</v>
      </c>
      <c r="AI14" s="86">
        <f>AI8*Assumptions!$G26</f>
        <v>5.6314676538308408</v>
      </c>
      <c r="AJ14" s="86">
        <f>AJ8*Assumptions!$G26</f>
        <v>5.2986750122290447</v>
      </c>
      <c r="AK14" s="86">
        <f>AK8*Assumptions!$G26</f>
        <v>5.7031212103835323</v>
      </c>
      <c r="AL14" s="86">
        <f>AL8*Assumptions!$G26</f>
        <v>5.7596331345912022</v>
      </c>
      <c r="AM14" s="86">
        <f>AM8*Assumptions!$G26</f>
        <v>5.2303002702572972</v>
      </c>
      <c r="AN14" s="86">
        <f>AN8*Assumptions!$G26</f>
        <v>5.6926428170118086</v>
      </c>
    </row>
    <row r="15" spans="1:40" x14ac:dyDescent="0.25">
      <c r="A15" t="str">
        <f>Assumptions!A27</f>
        <v>Food (% of revenue)</v>
      </c>
      <c r="E15" s="86">
        <f>E9*Assumptions!$G27</f>
        <v>0</v>
      </c>
      <c r="F15" s="86">
        <f>F9*Assumptions!$G27</f>
        <v>0</v>
      </c>
      <c r="G15" s="86">
        <f>G9*Assumptions!$G27</f>
        <v>0</v>
      </c>
      <c r="H15" s="86">
        <f>H9*Assumptions!$G27</f>
        <v>5.4215999999999998</v>
      </c>
      <c r="I15" s="86">
        <f>I9*Assumptions!$G27</f>
        <v>5.6437920000000004</v>
      </c>
      <c r="J15" s="86">
        <f>J9*Assumptions!$G27</f>
        <v>5.5347897599999998</v>
      </c>
      <c r="K15" s="86">
        <f>K9*Assumptions!$G27</f>
        <v>5.9071462272000002</v>
      </c>
      <c r="L15" s="86">
        <f>L9*Assumptions!$G27</f>
        <v>5.88685745088</v>
      </c>
      <c r="M15" s="86">
        <f>M9*Assumptions!$G27</f>
        <v>6.1674407642188802</v>
      </c>
      <c r="N15" s="86">
        <f>N9*Assumptions!$G27</f>
        <v>6.4672255705204229</v>
      </c>
      <c r="O15" s="86">
        <f>O9*Assumptions!$G27</f>
        <v>5.926781704805979</v>
      </c>
      <c r="P15" s="86">
        <f>P9*Assumptions!$G27</f>
        <v>6.6698444148550546</v>
      </c>
      <c r="Q15" s="86">
        <f>Q9*Assumptions!$G27</f>
        <v>6.649478537078175</v>
      </c>
      <c r="R15" s="86">
        <f>R9*Assumptions!$G27</f>
        <v>7.2233474733691505</v>
      </c>
      <c r="S15" s="86">
        <f>S9*Assumptions!$G27</f>
        <v>7.0126927823683554</v>
      </c>
      <c r="T15" s="86">
        <f>T9*Assumptions!$G27</f>
        <v>7.9016399314854393</v>
      </c>
      <c r="U15" s="86">
        <f>U9*Assumptions!$G27</f>
        <v>8.1206759001199007</v>
      </c>
      <c r="V15" s="86">
        <f>V9*Assumptions!$G27</f>
        <v>7.9799714444986822</v>
      </c>
      <c r="W15" s="86">
        <f>W9*Assumptions!$G27</f>
        <v>8.7266485324808354</v>
      </c>
      <c r="X15" s="86">
        <f>X9*Assumptions!$G27</f>
        <v>8.4231808855896819</v>
      </c>
      <c r="Y15" s="86">
        <f>Y9*Assumptions!$G27</f>
        <v>8.898554108485941</v>
      </c>
      <c r="Z15" s="86">
        <f>Z9*Assumptions!$G27</f>
        <v>9.5034610078530868</v>
      </c>
      <c r="AA15" s="86">
        <f>AA9*Assumptions!$G27</f>
        <v>8.6340292021774001</v>
      </c>
      <c r="AB15" s="86">
        <f>AB9*Assumptions!$G27</f>
        <v>9.6531958392309907</v>
      </c>
      <c r="AC15" s="86">
        <f>AC9*Assumptions!$G27</f>
        <v>9.8757519645624452</v>
      </c>
      <c r="AD15" s="86">
        <f>AD9*Assumptions!$G27</f>
        <v>10.428908481471128</v>
      </c>
      <c r="AE15" s="86">
        <f>AE9*Assumptions!$G27</f>
        <v>10.20605525868479</v>
      </c>
      <c r="AF15" s="86">
        <f>AF9*Assumptions!$G27</f>
        <v>11.864137639154491</v>
      </c>
      <c r="AG15" s="86">
        <f>AG9*Assumptions!$G27</f>
        <v>11.629391544222047</v>
      </c>
      <c r="AH15" s="86">
        <f>AH9*Assumptions!$G27</f>
        <v>11.651259847717492</v>
      </c>
      <c r="AI15" s="86">
        <f>AI9*Assumptions!$G27</f>
        <v>12.952985255376426</v>
      </c>
      <c r="AJ15" s="86">
        <f>AJ9*Assumptions!$G27</f>
        <v>12.325076931473793</v>
      </c>
      <c r="AK15" s="86">
        <f>AK9*Assumptions!$G27</f>
        <v>13.205477506699891</v>
      </c>
      <c r="AL15" s="86">
        <f>AL9*Assumptions!$G27</f>
        <v>13.34813565683389</v>
      </c>
      <c r="AM15" s="86">
        <f>AM9*Assumptions!$G27</f>
        <v>12.144273609064149</v>
      </c>
      <c r="AN15" s="86">
        <f>AN9*Assumptions!$G27</f>
        <v>13.31140662343225</v>
      </c>
    </row>
    <row r="16" spans="1:40" x14ac:dyDescent="0.25">
      <c r="A16" t="s">
        <v>119</v>
      </c>
      <c r="E16" s="86">
        <f>IF(MOD(E$3,12)=4,MAX(D16*(1+Assumptions!$G$41),Assumptions!$G$40)/Den,'monthly p&amp;l'!D16)</f>
        <v>0</v>
      </c>
      <c r="F16" s="86">
        <f>IF(MOD(F$3,12)=4,MAX(E16*(1+Assumptions!$G$41),Assumptions!$G$40)/Den,'monthly p&amp;l'!E16)</f>
        <v>0</v>
      </c>
      <c r="G16" s="86">
        <f>IF(MOD(G$3,12)=4,MAX(F16*(1+Assumptions!$G$41),Assumptions!$G$40)/Den,'monthly p&amp;l'!F16)</f>
        <v>0</v>
      </c>
      <c r="H16" s="86">
        <f>IF(MOD(H$3,12)=4,MAX(G16*(1+Assumptions!$G$41),Assumptions!$G$40)/Den,'monthly p&amp;l'!G16)</f>
        <v>9.86</v>
      </c>
      <c r="I16" s="86">
        <f>IF(MOD(I$3,12)=4,MAX(H16*(1+Assumptions!$G$41),Assumptions!$G$40)/Den,'monthly p&amp;l'!H16)</f>
        <v>9.86</v>
      </c>
      <c r="J16" s="86">
        <f>IF(MOD(J$3,12)=4,MAX(I16*(1+Assumptions!$G$41),Assumptions!$G$40)/Den,'monthly p&amp;l'!I16)</f>
        <v>9.86</v>
      </c>
      <c r="K16" s="86">
        <f>IF(MOD(K$3,12)=4,MAX(J16*(1+Assumptions!$G$41),Assumptions!$G$40)/Den,'monthly p&amp;l'!J16)</f>
        <v>9.86</v>
      </c>
      <c r="L16" s="86">
        <f>IF(MOD(L$3,12)=4,MAX(K16*(1+Assumptions!$G$41),Assumptions!$G$40)/Den,'monthly p&amp;l'!K16)</f>
        <v>9.86</v>
      </c>
      <c r="M16" s="86">
        <f>IF(MOD(M$3,12)=4,MAX(L16*(1+Assumptions!$G$41),Assumptions!$G$40)/Den,'monthly p&amp;l'!L16)</f>
        <v>9.86</v>
      </c>
      <c r="N16" s="86">
        <f>IF(MOD(N$3,12)=4,MAX(M16*(1+Assumptions!$G$41),Assumptions!$G$40)/Den,'monthly p&amp;l'!M16)</f>
        <v>9.86</v>
      </c>
      <c r="O16" s="86">
        <f>IF(MOD(O$3,12)=4,MAX(N16*(1+Assumptions!$G$41),Assumptions!$G$40)/Den,'monthly p&amp;l'!N16)</f>
        <v>9.86</v>
      </c>
      <c r="P16" s="86">
        <f>IF(MOD(P$3,12)=4,MAX(O16*(1+Assumptions!$G$41),Assumptions!$G$40)/Den,'monthly p&amp;l'!O16)</f>
        <v>9.86</v>
      </c>
      <c r="Q16" s="86">
        <f>IF(MOD(Q$3,12)=4,MAX(P16*(1+Assumptions!$G$41),Assumptions!$G$40)/Den,'monthly p&amp;l'!P16)</f>
        <v>9.86</v>
      </c>
      <c r="R16" s="86">
        <f>IF(MOD(R$3,12)=4,MAX(Q16*(1+Assumptions!$G$41),Assumptions!$G$40)/Den,'monthly p&amp;l'!Q16)</f>
        <v>9.86</v>
      </c>
      <c r="S16" s="86">
        <f>IF(MOD(S$3,12)=4,MAX(R16*(1+Assumptions!$G$41),Assumptions!$G$40)/Den,'monthly p&amp;l'!R16)</f>
        <v>9.86</v>
      </c>
      <c r="T16" s="86">
        <f>IF(MOD(T$3,12)=4,MAX(S16*(1+Assumptions!$G$41),Assumptions!$G$40)/Den,'monthly p&amp;l'!S16)</f>
        <v>9.86</v>
      </c>
      <c r="U16" s="86">
        <f>IF(MOD(U$3,12)=4,MAX(T16*(1+Assumptions!$G$41),Assumptions!$G$40)/Den,'monthly p&amp;l'!T16)</f>
        <v>9.86</v>
      </c>
      <c r="V16" s="86">
        <f>IF(MOD(V$3,12)=4,MAX(U16*(1+Assumptions!$G$41),Assumptions!$G$40)/Den,'monthly p&amp;l'!U16)</f>
        <v>9.86</v>
      </c>
      <c r="W16" s="86">
        <f>IF(MOD(W$3,12)=4,MAX(V16*(1+Assumptions!$G$41),Assumptions!$G$40)/Den,'monthly p&amp;l'!V16)</f>
        <v>9.86</v>
      </c>
      <c r="X16" s="86">
        <f>IF(MOD(X$3,12)=4,MAX(W16*(1+Assumptions!$G$41),Assumptions!$G$40)/Den,'monthly p&amp;l'!W16)</f>
        <v>9.86</v>
      </c>
      <c r="Y16" s="86">
        <f>IF(MOD(Y$3,12)=4,MAX(X16*(1+Assumptions!$G$41),Assumptions!$G$40)/Den,'monthly p&amp;l'!X16)</f>
        <v>9.86</v>
      </c>
      <c r="Z16" s="86">
        <f>IF(MOD(Z$3,12)=4,MAX(Y16*(1+Assumptions!$G$41),Assumptions!$G$40)/Den,'monthly p&amp;l'!Y16)</f>
        <v>9.86</v>
      </c>
      <c r="AA16" s="86">
        <f>IF(MOD(AA$3,12)=4,MAX(Z16*(1+Assumptions!$G$41),Assumptions!$G$40)/Den,'monthly p&amp;l'!Z16)</f>
        <v>9.86</v>
      </c>
      <c r="AB16" s="86">
        <f>IF(MOD(AB$3,12)=4,MAX(AA16*(1+Assumptions!$G$41),Assumptions!$G$40)/Den,'monthly p&amp;l'!AA16)</f>
        <v>9.86</v>
      </c>
      <c r="AC16" s="86">
        <f>IF(MOD(AC$3,12)=4,MAX(AB16*(1+Assumptions!$G$41),Assumptions!$G$40)/Den,'monthly p&amp;l'!AB16)</f>
        <v>9.86</v>
      </c>
      <c r="AD16" s="86">
        <f>IF(MOD(AD$3,12)=4,MAX(AC16*(1+Assumptions!$G$41),Assumptions!$G$40)/Den,'monthly p&amp;l'!AC16)</f>
        <v>9.86</v>
      </c>
      <c r="AE16" s="86">
        <f>IF(MOD(AE$3,12)=4,MAX(AD16*(1+Assumptions!$G$41),Assumptions!$G$40)/Den,'monthly p&amp;l'!AD16)</f>
        <v>9.86</v>
      </c>
      <c r="AF16" s="86">
        <f>IF(MOD(AF$3,12)=4,MAX(AE16*(1+Assumptions!$G$41),Assumptions!$G$40)/Den,'monthly p&amp;l'!AE16)</f>
        <v>9.86</v>
      </c>
      <c r="AG16" s="86">
        <f>IF(MOD(AG$3,12)=4,MAX(AF16*(1+Assumptions!$G$41),Assumptions!$G$40)/Den,'monthly p&amp;l'!AF16)</f>
        <v>9.86</v>
      </c>
      <c r="AH16" s="86">
        <f>IF(MOD(AH$3,12)=4,MAX(AG16*(1+Assumptions!$G$41),Assumptions!$G$40)/Den,'monthly p&amp;l'!AG16)</f>
        <v>9.86</v>
      </c>
      <c r="AI16" s="86">
        <f>IF(MOD(AI$3,12)=4,MAX(AH16*(1+Assumptions!$G$41),Assumptions!$G$40)/Den,'monthly p&amp;l'!AH16)</f>
        <v>9.86</v>
      </c>
      <c r="AJ16" s="86">
        <f>IF(MOD(AJ$3,12)=4,MAX(AI16*(1+Assumptions!$G$41),Assumptions!$G$40)/Den,'monthly p&amp;l'!AI16)</f>
        <v>9.86</v>
      </c>
      <c r="AK16" s="86">
        <f>IF(MOD(AK$3,12)=4,MAX(AJ16*(1+Assumptions!$G$41),Assumptions!$G$40)/Den,'monthly p&amp;l'!AJ16)</f>
        <v>9.86</v>
      </c>
      <c r="AL16" s="86">
        <f>IF(MOD(AL$3,12)=4,MAX(AK16*(1+Assumptions!$G$41),Assumptions!$G$40)/Den,'monthly p&amp;l'!AK16)</f>
        <v>9.86</v>
      </c>
      <c r="AM16" s="86">
        <f>IF(MOD(AM$3,12)=4,MAX(AL16*(1+Assumptions!$G$41),Assumptions!$G$40)/Den,'monthly p&amp;l'!AL16)</f>
        <v>9.86</v>
      </c>
      <c r="AN16" s="86">
        <f>IF(MOD(AN$3,12)=4,MAX(AM16*(1+Assumptions!$G$41),Assumptions!$G$40)/Den,'monthly p&amp;l'!AM16)</f>
        <v>9.86</v>
      </c>
    </row>
    <row r="17" spans="1:40" x14ac:dyDescent="0.25">
      <c r="A17" s="157" t="s">
        <v>120</v>
      </c>
      <c r="B17" s="149"/>
      <c r="C17" s="149"/>
      <c r="D17" s="149"/>
      <c r="E17" s="150">
        <f>SUM(E13:E16)</f>
        <v>0</v>
      </c>
      <c r="F17" s="150">
        <f t="shared" ref="F17:AN17" si="2">SUM(F13:F16)</f>
        <v>0</v>
      </c>
      <c r="G17" s="150">
        <f t="shared" si="2"/>
        <v>0</v>
      </c>
      <c r="H17" s="150">
        <f t="shared" si="2"/>
        <v>19.946399999999997</v>
      </c>
      <c r="I17" s="150">
        <f t="shared" si="2"/>
        <v>20.465631999999999</v>
      </c>
      <c r="J17" s="150">
        <f t="shared" si="2"/>
        <v>20.18179744</v>
      </c>
      <c r="K17" s="150">
        <f t="shared" si="2"/>
        <v>20.921613612800002</v>
      </c>
      <c r="L17" s="150">
        <f t="shared" si="2"/>
        <v>20.906086253504</v>
      </c>
      <c r="M17" s="150">
        <f t="shared" si="2"/>
        <v>21.3662926467264</v>
      </c>
      <c r="N17" s="150">
        <f t="shared" si="2"/>
        <v>22.05059434033252</v>
      </c>
      <c r="O17" s="150">
        <f t="shared" si="2"/>
        <v>20.97728698455829</v>
      </c>
      <c r="P17" s="150">
        <f t="shared" si="2"/>
        <v>22.325185409670581</v>
      </c>
      <c r="Q17" s="150">
        <f t="shared" si="2"/>
        <v>22.311205906781488</v>
      </c>
      <c r="R17" s="150">
        <f t="shared" si="2"/>
        <v>23.51009365043139</v>
      </c>
      <c r="S17" s="150">
        <f t="shared" si="2"/>
        <v>23.007020957893555</v>
      </c>
      <c r="T17" s="150">
        <f t="shared" si="2"/>
        <v>24.737584137901774</v>
      </c>
      <c r="U17" s="150">
        <f t="shared" si="2"/>
        <v>25.159487272611464</v>
      </c>
      <c r="V17" s="150">
        <f t="shared" si="2"/>
        <v>24.847588470143926</v>
      </c>
      <c r="W17" s="150">
        <f t="shared" si="2"/>
        <v>26.403369114504621</v>
      </c>
      <c r="X17" s="150">
        <f t="shared" si="2"/>
        <v>25.699368797837892</v>
      </c>
      <c r="Y17" s="150">
        <f t="shared" si="2"/>
        <v>26.580072981496102</v>
      </c>
      <c r="Z17" s="150">
        <f t="shared" si="2"/>
        <v>27.91062809522268</v>
      </c>
      <c r="AA17" s="150">
        <f t="shared" si="2"/>
        <v>26.176102253130203</v>
      </c>
      <c r="AB17" s="150">
        <f t="shared" si="2"/>
        <v>28.031505380855027</v>
      </c>
      <c r="AC17" s="150">
        <f t="shared" si="2"/>
        <v>28.588627438927325</v>
      </c>
      <c r="AD17" s="150">
        <f t="shared" si="2"/>
        <v>29.620032048375847</v>
      </c>
      <c r="AE17" s="150">
        <f t="shared" si="2"/>
        <v>29.135784620329197</v>
      </c>
      <c r="AF17" s="150">
        <f t="shared" si="2"/>
        <v>32.481572972850238</v>
      </c>
      <c r="AG17" s="150">
        <f t="shared" si="2"/>
        <v>31.819987003317756</v>
      </c>
      <c r="AH17" s="150">
        <f t="shared" si="2"/>
        <v>31.907072141025175</v>
      </c>
      <c r="AI17" s="150">
        <f t="shared" si="2"/>
        <v>34.60547100077472</v>
      </c>
      <c r="AJ17" s="150">
        <f t="shared" si="2"/>
        <v>33.211794128831642</v>
      </c>
      <c r="AK17" s="150">
        <f t="shared" si="2"/>
        <v>34.963289066911159</v>
      </c>
      <c r="AL17" s="150">
        <f t="shared" si="2"/>
        <v>35.217937310749377</v>
      </c>
      <c r="AM17" s="150">
        <f t="shared" si="2"/>
        <v>32.898881949513061</v>
      </c>
      <c r="AN17" s="150">
        <f t="shared" si="2"/>
        <v>34.982242571778819</v>
      </c>
    </row>
    <row r="19" spans="1:40" x14ac:dyDescent="0.25">
      <c r="A19" s="9" t="s">
        <v>121</v>
      </c>
    </row>
    <row r="20" spans="1:40" x14ac:dyDescent="0.25">
      <c r="A20" t="s">
        <v>122</v>
      </c>
      <c r="E20" s="86">
        <f>IF(MOD(E$3,12)=4,MAX(D20*(1+Assumptions!$G$41),Assumptions!$G$50)/Den,'monthly p&amp;l'!D20)</f>
        <v>0</v>
      </c>
      <c r="F20" s="86">
        <f>IF(MOD(F$3,12)=4,MAX(E20*(1+Assumptions!$G$41),Assumptions!$G$50)/Den,'monthly p&amp;l'!E20)</f>
        <v>0</v>
      </c>
      <c r="G20" s="86">
        <f>IF(MOD(G$3,12)=4,MAX(F20*(1+Assumptions!$G$41),Assumptions!$G$50)/Den,'monthly p&amp;l'!F20)</f>
        <v>0</v>
      </c>
      <c r="H20" s="86">
        <f>IF(MOD(H$3,12)=4,MAX(G20*(1+Assumptions!$G$41),Assumptions!$G$50)/Den,'monthly p&amp;l'!G20)</f>
        <v>3.8</v>
      </c>
      <c r="I20" s="86">
        <f>IF(MOD(I$3,12)=4,MAX(H20*(1+Assumptions!$G$41),Assumptions!$G$50)/Den,'monthly p&amp;l'!H20)</f>
        <v>3.8</v>
      </c>
      <c r="J20" s="86">
        <f>IF(MOD(J$3,12)=4,MAX(I20*(1+Assumptions!$G$41),Assumptions!$G$50)/Den,'monthly p&amp;l'!I20)</f>
        <v>3.8</v>
      </c>
      <c r="K20" s="86">
        <f>IF(MOD(K$3,12)=4,MAX(J20*(1+Assumptions!$G$41),Assumptions!$G$50)/Den,'monthly p&amp;l'!J20)</f>
        <v>3.8</v>
      </c>
      <c r="L20" s="86">
        <f>IF(MOD(L$3,12)=4,MAX(K20*(1+Assumptions!$G$41),Assumptions!$G$50)/Den,'monthly p&amp;l'!K20)</f>
        <v>3.8</v>
      </c>
      <c r="M20" s="86">
        <f>IF(MOD(M$3,12)=4,MAX(L20*(1+Assumptions!$G$41),Assumptions!$G$50)/Den,'monthly p&amp;l'!L20)</f>
        <v>3.8</v>
      </c>
      <c r="N20" s="86">
        <f>IF(MOD(N$3,12)=4,MAX(M20*(1+Assumptions!$G$41),Assumptions!$G$50)/Den,'monthly p&amp;l'!M20)</f>
        <v>3.8</v>
      </c>
      <c r="O20" s="86">
        <f>IF(MOD(O$3,12)=4,MAX(N20*(1+Assumptions!$G$41),Assumptions!$G$50)/Den,'monthly p&amp;l'!N20)</f>
        <v>3.8</v>
      </c>
      <c r="P20" s="86">
        <f>IF(MOD(P$3,12)=4,MAX(O20*(1+Assumptions!$G$41),Assumptions!$G$50)/Den,'monthly p&amp;l'!O20)</f>
        <v>3.8</v>
      </c>
      <c r="Q20" s="86">
        <f>IF(MOD(Q$3,12)=4,MAX(P20*(1+Assumptions!$G$41),Assumptions!$G$50)/Den,'monthly p&amp;l'!P20)</f>
        <v>3.8</v>
      </c>
      <c r="R20" s="86">
        <f>IF(MOD(R$3,12)=4,MAX(Q20*(1+Assumptions!$G$41),Assumptions!$G$50)/Den,'monthly p&amp;l'!Q20)</f>
        <v>3.8</v>
      </c>
      <c r="S20" s="86">
        <f>IF(MOD(S$3,12)=4,MAX(R20*(1+Assumptions!$G$41),Assumptions!$G$50)/Den,'monthly p&amp;l'!R20)</f>
        <v>3.8</v>
      </c>
      <c r="T20" s="86">
        <f>IF(MOD(T$3,12)=4,MAX(S20*(1+Assumptions!$G$41),Assumptions!$G$50)/Den,'monthly p&amp;l'!S20)</f>
        <v>3.8</v>
      </c>
      <c r="U20" s="86">
        <f>IF(MOD(U$3,12)=4,MAX(T20*(1+Assumptions!$G$41),Assumptions!$G$50)/Den,'monthly p&amp;l'!T20)</f>
        <v>3.8</v>
      </c>
      <c r="V20" s="86">
        <f>IF(MOD(V$3,12)=4,MAX(U20*(1+Assumptions!$G$41),Assumptions!$G$50)/Den,'monthly p&amp;l'!U20)</f>
        <v>3.8</v>
      </c>
      <c r="W20" s="86">
        <f>IF(MOD(W$3,12)=4,MAX(V20*(1+Assumptions!$G$41),Assumptions!$G$50)/Den,'monthly p&amp;l'!V20)</f>
        <v>3.8</v>
      </c>
      <c r="X20" s="86">
        <f>IF(MOD(X$3,12)=4,MAX(W20*(1+Assumptions!$G$41),Assumptions!$G$50)/Den,'monthly p&amp;l'!W20)</f>
        <v>3.8</v>
      </c>
      <c r="Y20" s="86">
        <f>IF(MOD(Y$3,12)=4,MAX(X20*(1+Assumptions!$G$41),Assumptions!$G$50)/Den,'monthly p&amp;l'!X20)</f>
        <v>3.8</v>
      </c>
      <c r="Z20" s="86">
        <f>IF(MOD(Z$3,12)=4,MAX(Y20*(1+Assumptions!$G$41),Assumptions!$G$50)/Den,'monthly p&amp;l'!Y20)</f>
        <v>3.8</v>
      </c>
      <c r="AA20" s="86">
        <f>IF(MOD(AA$3,12)=4,MAX(Z20*(1+Assumptions!$G$41),Assumptions!$G$50)/Den,'monthly p&amp;l'!Z20)</f>
        <v>3.8</v>
      </c>
      <c r="AB20" s="86">
        <f>IF(MOD(AB$3,12)=4,MAX(AA20*(1+Assumptions!$G$41),Assumptions!$G$50)/Den,'monthly p&amp;l'!AA20)</f>
        <v>3.8</v>
      </c>
      <c r="AC20" s="86">
        <f>IF(MOD(AC$3,12)=4,MAX(AB20*(1+Assumptions!$G$41),Assumptions!$G$50)/Den,'monthly p&amp;l'!AB20)</f>
        <v>3.8</v>
      </c>
      <c r="AD20" s="86">
        <f>IF(MOD(AD$3,12)=4,MAX(AC20*(1+Assumptions!$G$41),Assumptions!$G$50)/Den,'monthly p&amp;l'!AC20)</f>
        <v>3.8</v>
      </c>
      <c r="AE20" s="86">
        <f>IF(MOD(AE$3,12)=4,MAX(AD20*(1+Assumptions!$G$41),Assumptions!$G$50)/Den,'monthly p&amp;l'!AD20)</f>
        <v>3.8</v>
      </c>
      <c r="AF20" s="86">
        <f>IF(MOD(AF$3,12)=4,MAX(AE20*(1+Assumptions!$G$41),Assumptions!$G$50)/Den,'monthly p&amp;l'!AE20)</f>
        <v>3.8</v>
      </c>
      <c r="AG20" s="86">
        <f>IF(MOD(AG$3,12)=4,MAX(AF20*(1+Assumptions!$G$41),Assumptions!$G$50)/Den,'monthly p&amp;l'!AF20)</f>
        <v>3.8</v>
      </c>
      <c r="AH20" s="86">
        <f>IF(MOD(AH$3,12)=4,MAX(AG20*(1+Assumptions!$G$41),Assumptions!$G$50)/Den,'monthly p&amp;l'!AG20)</f>
        <v>3.8</v>
      </c>
      <c r="AI20" s="86">
        <f>IF(MOD(AI$3,12)=4,MAX(AH20*(1+Assumptions!$G$41),Assumptions!$G$50)/Den,'monthly p&amp;l'!AH20)</f>
        <v>3.8</v>
      </c>
      <c r="AJ20" s="86">
        <f>IF(MOD(AJ$3,12)=4,MAX(AI20*(1+Assumptions!$G$41),Assumptions!$G$50)/Den,'monthly p&amp;l'!AI20)</f>
        <v>3.8</v>
      </c>
      <c r="AK20" s="86">
        <f>IF(MOD(AK$3,12)=4,MAX(AJ20*(1+Assumptions!$G$41),Assumptions!$G$50)/Den,'monthly p&amp;l'!AJ20)</f>
        <v>3.8</v>
      </c>
      <c r="AL20" s="86">
        <f>IF(MOD(AL$3,12)=4,MAX(AK20*(1+Assumptions!$G$41),Assumptions!$G$50)/Den,'monthly p&amp;l'!AK20)</f>
        <v>3.8</v>
      </c>
      <c r="AM20" s="86">
        <f>IF(MOD(AM$3,12)=4,MAX(AL20*(1+Assumptions!$G$41),Assumptions!$G$50)/Den,'monthly p&amp;l'!AL20)</f>
        <v>3.8</v>
      </c>
      <c r="AN20" s="86">
        <f>IF(MOD(AN$3,12)=4,MAX(AM20*(1+Assumptions!$G$41),Assumptions!$G$50)/Den,'monthly p&amp;l'!AM20)</f>
        <v>3.8</v>
      </c>
    </row>
    <row r="21" spans="1:40" x14ac:dyDescent="0.25">
      <c r="A21" t="str">
        <f>Assumptions!A52</f>
        <v>Rotalty to brand (% Of Revenue)</v>
      </c>
      <c r="E21" s="86">
        <f>E$10*Assumptions!$G$52</f>
        <v>0</v>
      </c>
      <c r="F21" s="86">
        <f>F$10*Assumptions!$G$52</f>
        <v>0</v>
      </c>
      <c r="G21" s="86">
        <f>G$10*Assumptions!$G$52</f>
        <v>0</v>
      </c>
      <c r="H21" s="86">
        <f>H$10*Assumptions!$G$52</f>
        <v>1.5294000000000001</v>
      </c>
      <c r="I21" s="86">
        <f>I$10*Assumptions!$G$52</f>
        <v>1.6066200000000004</v>
      </c>
      <c r="J21" s="86">
        <f>J$10*Assumptions!$G$52</f>
        <v>1.5647390400000001</v>
      </c>
      <c r="K21" s="86">
        <f>K$10*Assumptions!$G$52</f>
        <v>1.6762452768000005</v>
      </c>
      <c r="L21" s="86">
        <f>L$10*Assumptions!$G$52</f>
        <v>1.6735737222720002</v>
      </c>
      <c r="M21" s="86">
        <f>M$10*Assumptions!$G$52</f>
        <v>1.7442368262585604</v>
      </c>
      <c r="N21" s="86">
        <f>N$10*Assumptions!$G$52</f>
        <v>1.8461906396350081</v>
      </c>
      <c r="O21" s="86">
        <f>O$10*Assumptions!$G$52</f>
        <v>1.6844137725385515</v>
      </c>
      <c r="P21" s="86">
        <f>P$10*Assumptions!$G$52</f>
        <v>1.8892879978577124</v>
      </c>
      <c r="Q21" s="86">
        <f>Q$10*Assumptions!$G$52</f>
        <v>1.88682700299727</v>
      </c>
      <c r="R21" s="86">
        <f>R$10*Assumptions!$G$52</f>
        <v>2.0667406949745826</v>
      </c>
      <c r="S21" s="86">
        <f>S$10*Assumptions!$G$52</f>
        <v>1.9920466507528809</v>
      </c>
      <c r="T21" s="86">
        <f>T$10*Assumptions!$G$52</f>
        <v>2.2533561714134778</v>
      </c>
      <c r="U21" s="86">
        <f>U$10*Assumptions!$G$52</f>
        <v>2.3171236713610615</v>
      </c>
      <c r="V21" s="86">
        <f>V$10*Assumptions!$G$52</f>
        <v>2.2705460516834237</v>
      </c>
      <c r="W21" s="86">
        <f>W$10*Assumptions!$G$52</f>
        <v>2.5040700994255563</v>
      </c>
      <c r="X21" s="86">
        <f>X$10*Assumptions!$G$52</f>
        <v>2.3993127647235926</v>
      </c>
      <c r="Y21" s="86">
        <f>Y$10*Assumptions!$G$52</f>
        <v>2.5329064675605446</v>
      </c>
      <c r="Z21" s="86">
        <f>Z$10*Assumptions!$G$52</f>
        <v>2.7317296759866867</v>
      </c>
      <c r="AA21" s="86">
        <f>AA$10*Assumptions!$G$52</f>
        <v>2.470394102280606</v>
      </c>
      <c r="AB21" s="86">
        <f>AB$10*Assumptions!$G$52</f>
        <v>2.7523091785909863</v>
      </c>
      <c r="AC21" s="86">
        <f>AC$10*Assumptions!$G$52</f>
        <v>2.8347432695661787</v>
      </c>
      <c r="AD21" s="86">
        <f>AD$10*Assumptions!$G$52</f>
        <v>2.9911021411983327</v>
      </c>
      <c r="AE21" s="86">
        <f>AE$10*Assumptions!$G$52</f>
        <v>2.918669917894849</v>
      </c>
      <c r="AF21" s="86">
        <f>AF$10*Assumptions!$G$52</f>
        <v>3.4222649300595536</v>
      </c>
      <c r="AG21" s="86">
        <f>AG$10*Assumptions!$G$52</f>
        <v>3.3251583969306111</v>
      </c>
      <c r="AH21" s="86">
        <f>AH$10*Assumptions!$G$52</f>
        <v>3.3377007767552715</v>
      </c>
      <c r="AI21" s="86">
        <f>AI$10*Assumptions!$G$52</f>
        <v>3.74290977427742</v>
      </c>
      <c r="AJ21" s="86">
        <f>AJ$10*Assumptions!$G$52</f>
        <v>3.5348056058402819</v>
      </c>
      <c r="AK21" s="86">
        <f>AK$10*Assumptions!$G$52</f>
        <v>3.7987588333423616</v>
      </c>
      <c r="AL21" s="86">
        <f>AL$10*Assumptions!$G$52</f>
        <v>3.8375246350092094</v>
      </c>
      <c r="AM21" s="86">
        <f>AM$10*Assumptions!$G$52</f>
        <v>3.4870200024630842</v>
      </c>
      <c r="AN21" s="86">
        <f>AN$10*Assumptions!$G$52</f>
        <v>3.8041757128891982</v>
      </c>
    </row>
    <row r="22" spans="1:40" x14ac:dyDescent="0.25">
      <c r="A22" t="str">
        <f>Assumptions!A53</f>
        <v>Rent (as per contract) (% of revenue)</v>
      </c>
      <c r="E22" s="86">
        <f>E$10*Assumptions!$G$53</f>
        <v>0</v>
      </c>
      <c r="F22" s="86">
        <f>F$10*Assumptions!$G$53</f>
        <v>0</v>
      </c>
      <c r="G22" s="86">
        <f>G$10*Assumptions!$G$53</f>
        <v>0</v>
      </c>
      <c r="H22" s="86">
        <f>H$10*Assumptions!$G$53</f>
        <v>3.0588000000000002</v>
      </c>
      <c r="I22" s="86">
        <f>I$10*Assumptions!$G$53</f>
        <v>3.2132400000000008</v>
      </c>
      <c r="J22" s="86">
        <f>J$10*Assumptions!$G$53</f>
        <v>3.1294780800000002</v>
      </c>
      <c r="K22" s="86">
        <f>K$10*Assumptions!$G$53</f>
        <v>3.3524905536000009</v>
      </c>
      <c r="L22" s="86">
        <f>L$10*Assumptions!$G$53</f>
        <v>3.3471474445440004</v>
      </c>
      <c r="M22" s="86">
        <f>M$10*Assumptions!$G$53</f>
        <v>3.4884736525171207</v>
      </c>
      <c r="N22" s="86">
        <f>N$10*Assumptions!$G$53</f>
        <v>3.6923812792700161</v>
      </c>
      <c r="O22" s="86">
        <f>O$10*Assumptions!$G$53</f>
        <v>3.368827545077103</v>
      </c>
      <c r="P22" s="86">
        <f>P$10*Assumptions!$G$53</f>
        <v>3.7785759957154248</v>
      </c>
      <c r="Q22" s="86">
        <f>Q$10*Assumptions!$G$53</f>
        <v>3.77365400599454</v>
      </c>
      <c r="R22" s="86">
        <f>R$10*Assumptions!$G$53</f>
        <v>4.1334813899491651</v>
      </c>
      <c r="S22" s="86">
        <f>S$10*Assumptions!$G$53</f>
        <v>3.9840933015057618</v>
      </c>
      <c r="T22" s="86">
        <f>T$10*Assumptions!$G$53</f>
        <v>4.5067123428269555</v>
      </c>
      <c r="U22" s="86">
        <f>U$10*Assumptions!$G$53</f>
        <v>4.6342473427221229</v>
      </c>
      <c r="V22" s="86">
        <f>V$10*Assumptions!$G$53</f>
        <v>4.5410921033668474</v>
      </c>
      <c r="W22" s="86">
        <f>W$10*Assumptions!$G$53</f>
        <v>5.0081401988511125</v>
      </c>
      <c r="X22" s="86">
        <f>X$10*Assumptions!$G$53</f>
        <v>4.7986255294471851</v>
      </c>
      <c r="Y22" s="86">
        <f>Y$10*Assumptions!$G$53</f>
        <v>5.0658129351210892</v>
      </c>
      <c r="Z22" s="86">
        <f>Z$10*Assumptions!$G$53</f>
        <v>5.4634593519733734</v>
      </c>
      <c r="AA22" s="86">
        <f>AA$10*Assumptions!$G$53</f>
        <v>4.9407882045612119</v>
      </c>
      <c r="AB22" s="86">
        <f>AB$10*Assumptions!$G$53</f>
        <v>5.5046183571819727</v>
      </c>
      <c r="AC22" s="86">
        <f>AC$10*Assumptions!$G$53</f>
        <v>5.6694865391323574</v>
      </c>
      <c r="AD22" s="86">
        <f>AD$10*Assumptions!$G$53</f>
        <v>5.9822042823966655</v>
      </c>
      <c r="AE22" s="86">
        <f>AE$10*Assumptions!$G$53</f>
        <v>5.837339835789698</v>
      </c>
      <c r="AF22" s="86">
        <f>AF$10*Assumptions!$G$53</f>
        <v>6.8445298601191071</v>
      </c>
      <c r="AG22" s="86">
        <f>AG$10*Assumptions!$G$53</f>
        <v>6.6503167938612222</v>
      </c>
      <c r="AH22" s="86">
        <f>AH$10*Assumptions!$G$53</f>
        <v>6.6754015535105431</v>
      </c>
      <c r="AI22" s="86">
        <f>AI$10*Assumptions!$G$53</f>
        <v>7.48581954855484</v>
      </c>
      <c r="AJ22" s="86">
        <f>AJ$10*Assumptions!$G$53</f>
        <v>7.0696112116805638</v>
      </c>
      <c r="AK22" s="86">
        <f>AK$10*Assumptions!$G$53</f>
        <v>7.5975176666847233</v>
      </c>
      <c r="AL22" s="86">
        <f>AL$10*Assumptions!$G$53</f>
        <v>7.6750492700184187</v>
      </c>
      <c r="AM22" s="86">
        <f>AM$10*Assumptions!$G$53</f>
        <v>6.9740400049261684</v>
      </c>
      <c r="AN22" s="86">
        <f>AN$10*Assumptions!$G$53</f>
        <v>7.6083514257783964</v>
      </c>
    </row>
    <row r="23" spans="1:40" x14ac:dyDescent="0.25">
      <c r="A23" t="str">
        <f>Assumptions!A54</f>
        <v>Water Cost (per month)</v>
      </c>
      <c r="E23" s="86">
        <f>IF(MOD(E$3,12)=4,MAX(D23*(1+Assumptions!$G$41),Assumptions!$G54)/Den,'monthly p&amp;l'!D23)</f>
        <v>0</v>
      </c>
      <c r="F23" s="86">
        <f>IF(MOD(F$3,12)=4,MAX(E23*(1+Assumptions!$G$41),Assumptions!$G54)/Den,'monthly p&amp;l'!E23)</f>
        <v>0</v>
      </c>
      <c r="G23" s="86">
        <f>IF(MOD(G$3,12)=4,MAX(F23*(1+Assumptions!$G$41),Assumptions!$G54)/Den,'monthly p&amp;l'!F23)</f>
        <v>0</v>
      </c>
      <c r="H23" s="86">
        <f>IF(MOD(H$3,12)=4,MAX(G23*(1+Assumptions!$G$41),Assumptions!$G54)/Den,'monthly p&amp;l'!G23)</f>
        <v>0.1</v>
      </c>
      <c r="I23" s="86">
        <f>IF(MOD(I$3,12)=4,MAX(H23*(1+Assumptions!$G$41),Assumptions!$G54)/Den,'monthly p&amp;l'!H23)</f>
        <v>0.1</v>
      </c>
      <c r="J23" s="86">
        <f>IF(MOD(J$3,12)=4,MAX(I23*(1+Assumptions!$G$41),Assumptions!$G54)/Den,'monthly p&amp;l'!I23)</f>
        <v>0.1</v>
      </c>
      <c r="K23" s="86">
        <f>IF(MOD(K$3,12)=4,MAX(J23*(1+Assumptions!$G$41),Assumptions!$G54)/Den,'monthly p&amp;l'!J23)</f>
        <v>0.1</v>
      </c>
      <c r="L23" s="86">
        <f>IF(MOD(L$3,12)=4,MAX(K23*(1+Assumptions!$G$41),Assumptions!$G54)/Den,'monthly p&amp;l'!K23)</f>
        <v>0.1</v>
      </c>
      <c r="M23" s="86">
        <f>IF(MOD(M$3,12)=4,MAX(L23*(1+Assumptions!$G$41),Assumptions!$G54)/Den,'monthly p&amp;l'!L23)</f>
        <v>0.1</v>
      </c>
      <c r="N23" s="86">
        <f>IF(MOD(N$3,12)=4,MAX(M23*(1+Assumptions!$G$41),Assumptions!$G54)/Den,'monthly p&amp;l'!M23)</f>
        <v>0.1</v>
      </c>
      <c r="O23" s="86">
        <f>IF(MOD(O$3,12)=4,MAX(N23*(1+Assumptions!$G$41),Assumptions!$G54)/Den,'monthly p&amp;l'!N23)</f>
        <v>0.1</v>
      </c>
      <c r="P23" s="86">
        <f>IF(MOD(P$3,12)=4,MAX(O23*(1+Assumptions!$G$41),Assumptions!$G54)/Den,'monthly p&amp;l'!O23)</f>
        <v>0.1</v>
      </c>
      <c r="Q23" s="86">
        <f>IF(MOD(Q$3,12)=4,MAX(P23*(1+Assumptions!$G$41),Assumptions!$G54)/Den,'monthly p&amp;l'!P23)</f>
        <v>0.1</v>
      </c>
      <c r="R23" s="86">
        <f>IF(MOD(R$3,12)=4,MAX(Q23*(1+Assumptions!$G$41),Assumptions!$G54)/Den,'monthly p&amp;l'!Q23)</f>
        <v>0.1</v>
      </c>
      <c r="S23" s="86">
        <f>IF(MOD(S$3,12)=4,MAX(R23*(1+Assumptions!$G$41),Assumptions!$G54)/Den,'monthly p&amp;l'!R23)</f>
        <v>0.1</v>
      </c>
      <c r="T23" s="86">
        <f>IF(MOD(T$3,12)=4,MAX(S23*(1+Assumptions!$G$41),Assumptions!$G54)/Den,'monthly p&amp;l'!S23)</f>
        <v>0.1</v>
      </c>
      <c r="U23" s="86">
        <f>IF(MOD(U$3,12)=4,MAX(T23*(1+Assumptions!$G$41),Assumptions!$G54)/Den,'monthly p&amp;l'!T23)</f>
        <v>0.1</v>
      </c>
      <c r="V23" s="86">
        <f>IF(MOD(V$3,12)=4,MAX(U23*(1+Assumptions!$G$41),Assumptions!$G54)/Den,'monthly p&amp;l'!U23)</f>
        <v>0.1</v>
      </c>
      <c r="W23" s="86">
        <f>IF(MOD(W$3,12)=4,MAX(V23*(1+Assumptions!$G$41),Assumptions!$G54)/Den,'monthly p&amp;l'!V23)</f>
        <v>0.1</v>
      </c>
      <c r="X23" s="86">
        <f>IF(MOD(X$3,12)=4,MAX(W23*(1+Assumptions!$G$41),Assumptions!$G54)/Den,'monthly p&amp;l'!W23)</f>
        <v>0.1</v>
      </c>
      <c r="Y23" s="86">
        <f>IF(MOD(Y$3,12)=4,MAX(X23*(1+Assumptions!$G$41),Assumptions!$G54)/Den,'monthly p&amp;l'!X23)</f>
        <v>0.1</v>
      </c>
      <c r="Z23" s="86">
        <f>IF(MOD(Z$3,12)=4,MAX(Y23*(1+Assumptions!$G$41),Assumptions!$G54)/Den,'monthly p&amp;l'!Y23)</f>
        <v>0.1</v>
      </c>
      <c r="AA23" s="86">
        <f>IF(MOD(AA$3,12)=4,MAX(Z23*(1+Assumptions!$G$41),Assumptions!$G54)/Den,'monthly p&amp;l'!Z23)</f>
        <v>0.1</v>
      </c>
      <c r="AB23" s="86">
        <f>IF(MOD(AB$3,12)=4,MAX(AA23*(1+Assumptions!$G$41),Assumptions!$G54)/Den,'monthly p&amp;l'!AA23)</f>
        <v>0.1</v>
      </c>
      <c r="AC23" s="86">
        <f>IF(MOD(AC$3,12)=4,MAX(AB23*(1+Assumptions!$G$41),Assumptions!$G54)/Den,'monthly p&amp;l'!AB23)</f>
        <v>0.1</v>
      </c>
      <c r="AD23" s="86">
        <f>IF(MOD(AD$3,12)=4,MAX(AC23*(1+Assumptions!$G$41),Assumptions!$G54)/Den,'monthly p&amp;l'!AC23)</f>
        <v>0.1</v>
      </c>
      <c r="AE23" s="86">
        <f>IF(MOD(AE$3,12)=4,MAX(AD23*(1+Assumptions!$G$41),Assumptions!$G54)/Den,'monthly p&amp;l'!AD23)</f>
        <v>0.1</v>
      </c>
      <c r="AF23" s="86">
        <f>IF(MOD(AF$3,12)=4,MAX(AE23*(1+Assumptions!$G$41),Assumptions!$G54)/Den,'monthly p&amp;l'!AE23)</f>
        <v>0.1</v>
      </c>
      <c r="AG23" s="86">
        <f>IF(MOD(AG$3,12)=4,MAX(AF23*(1+Assumptions!$G$41),Assumptions!$G54)/Den,'monthly p&amp;l'!AF23)</f>
        <v>0.1</v>
      </c>
      <c r="AH23" s="86">
        <f>IF(MOD(AH$3,12)=4,MAX(AG23*(1+Assumptions!$G$41),Assumptions!$G54)/Den,'monthly p&amp;l'!AG23)</f>
        <v>0.1</v>
      </c>
      <c r="AI23" s="86">
        <f>IF(MOD(AI$3,12)=4,MAX(AH23*(1+Assumptions!$G$41),Assumptions!$G54)/Den,'monthly p&amp;l'!AH23)</f>
        <v>0.1</v>
      </c>
      <c r="AJ23" s="86">
        <f>IF(MOD(AJ$3,12)=4,MAX(AI23*(1+Assumptions!$G$41),Assumptions!$G54)/Den,'monthly p&amp;l'!AI23)</f>
        <v>0.1</v>
      </c>
      <c r="AK23" s="86">
        <f>IF(MOD(AK$3,12)=4,MAX(AJ23*(1+Assumptions!$G$41),Assumptions!$G54)/Den,'monthly p&amp;l'!AJ23)</f>
        <v>0.1</v>
      </c>
      <c r="AL23" s="86">
        <f>IF(MOD(AL$3,12)=4,MAX(AK23*(1+Assumptions!$G$41),Assumptions!$G54)/Den,'monthly p&amp;l'!AK23)</f>
        <v>0.1</v>
      </c>
      <c r="AM23" s="86">
        <f>IF(MOD(AM$3,12)=4,MAX(AL23*(1+Assumptions!$G$41),Assumptions!$G54)/Den,'monthly p&amp;l'!AL23)</f>
        <v>0.1</v>
      </c>
      <c r="AN23" s="86">
        <f>IF(MOD(AN$3,12)=4,MAX(AM23*(1+Assumptions!$G$41),Assumptions!$G54)/Den,'monthly p&amp;l'!AM23)</f>
        <v>0.1</v>
      </c>
    </row>
    <row r="24" spans="1:40" x14ac:dyDescent="0.25">
      <c r="A24" t="str">
        <f>Assumptions!A55</f>
        <v>Maintenance (per month)</v>
      </c>
      <c r="E24" s="86">
        <f>IF(MOD(E$3,12)=4,MAX(D24*(1+Assumptions!$G$41),Assumptions!$G55)/Den,'monthly p&amp;l'!D24)</f>
        <v>0</v>
      </c>
      <c r="F24" s="86">
        <f>IF(MOD(F$3,12)=4,MAX(E24*(1+Assumptions!$G$41),Assumptions!$G55)/Den,'monthly p&amp;l'!E24)</f>
        <v>0</v>
      </c>
      <c r="G24" s="86">
        <f>IF(MOD(G$3,12)=4,MAX(F24*(1+Assumptions!$G$41),Assumptions!$G55)/Den,'monthly p&amp;l'!F24)</f>
        <v>0</v>
      </c>
      <c r="H24" s="86">
        <f>IF(MOD(H$3,12)=4,MAX(G24*(1+Assumptions!$G$41),Assumptions!$G55)/Den,'monthly p&amp;l'!G24)</f>
        <v>0.5</v>
      </c>
      <c r="I24" s="86">
        <f>IF(MOD(I$3,12)=4,MAX(H24*(1+Assumptions!$G$41),Assumptions!$G55)/Den,'monthly p&amp;l'!H24)</f>
        <v>0.5</v>
      </c>
      <c r="J24" s="86">
        <f>IF(MOD(J$3,12)=4,MAX(I24*(1+Assumptions!$G$41),Assumptions!$G55)/Den,'monthly p&amp;l'!I24)</f>
        <v>0.5</v>
      </c>
      <c r="K24" s="86">
        <f>IF(MOD(K$3,12)=4,MAX(J24*(1+Assumptions!$G$41),Assumptions!$G55)/Den,'monthly p&amp;l'!J24)</f>
        <v>0.5</v>
      </c>
      <c r="L24" s="86">
        <f>IF(MOD(L$3,12)=4,MAX(K24*(1+Assumptions!$G$41),Assumptions!$G55)/Den,'monthly p&amp;l'!K24)</f>
        <v>0.5</v>
      </c>
      <c r="M24" s="86">
        <f>IF(MOD(M$3,12)=4,MAX(L24*(1+Assumptions!$G$41),Assumptions!$G55)/Den,'monthly p&amp;l'!L24)</f>
        <v>0.5</v>
      </c>
      <c r="N24" s="86">
        <f>IF(MOD(N$3,12)=4,MAX(M24*(1+Assumptions!$G$41),Assumptions!$G55)/Den,'monthly p&amp;l'!M24)</f>
        <v>0.5</v>
      </c>
      <c r="O24" s="86">
        <f>IF(MOD(O$3,12)=4,MAX(N24*(1+Assumptions!$G$41),Assumptions!$G55)/Den,'monthly p&amp;l'!N24)</f>
        <v>0.5</v>
      </c>
      <c r="P24" s="86">
        <f>IF(MOD(P$3,12)=4,MAX(O24*(1+Assumptions!$G$41),Assumptions!$G55)/Den,'monthly p&amp;l'!O24)</f>
        <v>0.5</v>
      </c>
      <c r="Q24" s="86">
        <f>IF(MOD(Q$3,12)=4,MAX(P24*(1+Assumptions!$G$41),Assumptions!$G55)/Den,'monthly p&amp;l'!P24)</f>
        <v>0.5</v>
      </c>
      <c r="R24" s="86">
        <f>IF(MOD(R$3,12)=4,MAX(Q24*(1+Assumptions!$G$41),Assumptions!$G55)/Den,'monthly p&amp;l'!Q24)</f>
        <v>0.5</v>
      </c>
      <c r="S24" s="86">
        <f>IF(MOD(S$3,12)=4,MAX(R24*(1+Assumptions!$G$41),Assumptions!$G55)/Den,'monthly p&amp;l'!R24)</f>
        <v>0.5</v>
      </c>
      <c r="T24" s="86">
        <f>IF(MOD(T$3,12)=4,MAX(S24*(1+Assumptions!$G$41),Assumptions!$G55)/Den,'monthly p&amp;l'!S24)</f>
        <v>0.5</v>
      </c>
      <c r="U24" s="86">
        <f>IF(MOD(U$3,12)=4,MAX(T24*(1+Assumptions!$G$41),Assumptions!$G55)/Den,'monthly p&amp;l'!T24)</f>
        <v>0.5</v>
      </c>
      <c r="V24" s="86">
        <f>IF(MOD(V$3,12)=4,MAX(U24*(1+Assumptions!$G$41),Assumptions!$G55)/Den,'monthly p&amp;l'!U24)</f>
        <v>0.5</v>
      </c>
      <c r="W24" s="86">
        <f>IF(MOD(W$3,12)=4,MAX(V24*(1+Assumptions!$G$41),Assumptions!$G55)/Den,'monthly p&amp;l'!V24)</f>
        <v>0.5</v>
      </c>
      <c r="X24" s="86">
        <f>IF(MOD(X$3,12)=4,MAX(W24*(1+Assumptions!$G$41),Assumptions!$G55)/Den,'monthly p&amp;l'!W24)</f>
        <v>0.5</v>
      </c>
      <c r="Y24" s="86">
        <f>IF(MOD(Y$3,12)=4,MAX(X24*(1+Assumptions!$G$41),Assumptions!$G55)/Den,'monthly p&amp;l'!X24)</f>
        <v>0.5</v>
      </c>
      <c r="Z24" s="86">
        <f>IF(MOD(Z$3,12)=4,MAX(Y24*(1+Assumptions!$G$41),Assumptions!$G55)/Den,'monthly p&amp;l'!Y24)</f>
        <v>0.5</v>
      </c>
      <c r="AA24" s="86">
        <f>IF(MOD(AA$3,12)=4,MAX(Z24*(1+Assumptions!$G$41),Assumptions!$G55)/Den,'monthly p&amp;l'!Z24)</f>
        <v>0.5</v>
      </c>
      <c r="AB24" s="86">
        <f>IF(MOD(AB$3,12)=4,MAX(AA24*(1+Assumptions!$G$41),Assumptions!$G55)/Den,'monthly p&amp;l'!AA24)</f>
        <v>0.5</v>
      </c>
      <c r="AC24" s="86">
        <f>IF(MOD(AC$3,12)=4,MAX(AB24*(1+Assumptions!$G$41),Assumptions!$G55)/Den,'monthly p&amp;l'!AB24)</f>
        <v>0.5</v>
      </c>
      <c r="AD24" s="86">
        <f>IF(MOD(AD$3,12)=4,MAX(AC24*(1+Assumptions!$G$41),Assumptions!$G55)/Den,'monthly p&amp;l'!AC24)</f>
        <v>0.5</v>
      </c>
      <c r="AE24" s="86">
        <f>IF(MOD(AE$3,12)=4,MAX(AD24*(1+Assumptions!$G$41),Assumptions!$G55)/Den,'monthly p&amp;l'!AD24)</f>
        <v>0.5</v>
      </c>
      <c r="AF24" s="86">
        <f>IF(MOD(AF$3,12)=4,MAX(AE24*(1+Assumptions!$G$41),Assumptions!$G55)/Den,'monthly p&amp;l'!AE24)</f>
        <v>0.5</v>
      </c>
      <c r="AG24" s="86">
        <f>IF(MOD(AG$3,12)=4,MAX(AF24*(1+Assumptions!$G$41),Assumptions!$G55)/Den,'monthly p&amp;l'!AF24)</f>
        <v>0.5</v>
      </c>
      <c r="AH24" s="86">
        <f>IF(MOD(AH$3,12)=4,MAX(AG24*(1+Assumptions!$G$41),Assumptions!$G55)/Den,'monthly p&amp;l'!AG24)</f>
        <v>0.5</v>
      </c>
      <c r="AI24" s="86">
        <f>IF(MOD(AI$3,12)=4,MAX(AH24*(1+Assumptions!$G$41),Assumptions!$G55)/Den,'monthly p&amp;l'!AH24)</f>
        <v>0.5</v>
      </c>
      <c r="AJ24" s="86">
        <f>IF(MOD(AJ$3,12)=4,MAX(AI24*(1+Assumptions!$G$41),Assumptions!$G55)/Den,'monthly p&amp;l'!AI24)</f>
        <v>0.5</v>
      </c>
      <c r="AK24" s="86">
        <f>IF(MOD(AK$3,12)=4,MAX(AJ24*(1+Assumptions!$G$41),Assumptions!$G55)/Den,'monthly p&amp;l'!AJ24)</f>
        <v>0.5</v>
      </c>
      <c r="AL24" s="86">
        <f>IF(MOD(AL$3,12)=4,MAX(AK24*(1+Assumptions!$G$41),Assumptions!$G55)/Den,'monthly p&amp;l'!AK24)</f>
        <v>0.5</v>
      </c>
      <c r="AM24" s="86">
        <f>IF(MOD(AM$3,12)=4,MAX(AL24*(1+Assumptions!$G$41),Assumptions!$G55)/Den,'monthly p&amp;l'!AL24)</f>
        <v>0.5</v>
      </c>
      <c r="AN24" s="86">
        <f>IF(MOD(AN$3,12)=4,MAX(AM24*(1+Assumptions!$G$41),Assumptions!$G55)/Den,'monthly p&amp;l'!AM24)</f>
        <v>0.5</v>
      </c>
    </row>
    <row r="25" spans="1:40" x14ac:dyDescent="0.25">
      <c r="A25" t="str">
        <f>Assumptions!A56</f>
        <v>Marketing cost (per month)</v>
      </c>
      <c r="E25" s="86">
        <f>IF(MOD(E$3,12)=4,MAX(D25*(1+Assumptions!$G$41),Assumptions!$G56)/Den,'monthly p&amp;l'!D25)</f>
        <v>0</v>
      </c>
      <c r="F25" s="86">
        <f>IF(MOD(F$3,12)=4,MAX(E25*(1+Assumptions!$G$41),Assumptions!$G56)/Den,'monthly p&amp;l'!E25)</f>
        <v>0</v>
      </c>
      <c r="G25" s="86">
        <f>IF(MOD(G$3,12)=4,MAX(F25*(1+Assumptions!$G$41),Assumptions!$G56)/Den,'monthly p&amp;l'!F25)</f>
        <v>0</v>
      </c>
      <c r="H25" s="86">
        <f>IF(MOD(H$3,12)=4,MAX(G25*(1+Assumptions!$G$41),Assumptions!$G56)/Den,'monthly p&amp;l'!G25)</f>
        <v>0.25</v>
      </c>
      <c r="I25" s="86">
        <f>IF(MOD(I$3,12)=4,MAX(H25*(1+Assumptions!$G$41),Assumptions!$G56)/Den,'monthly p&amp;l'!H25)</f>
        <v>0.25</v>
      </c>
      <c r="J25" s="86">
        <f>IF(MOD(J$3,12)=4,MAX(I25*(1+Assumptions!$G$41),Assumptions!$G56)/Den,'monthly p&amp;l'!I25)</f>
        <v>0.25</v>
      </c>
      <c r="K25" s="86">
        <f>IF(MOD(K$3,12)=4,MAX(J25*(1+Assumptions!$G$41),Assumptions!$G56)/Den,'monthly p&amp;l'!J25)</f>
        <v>0.25</v>
      </c>
      <c r="L25" s="86">
        <f>IF(MOD(L$3,12)=4,MAX(K25*(1+Assumptions!$G$41),Assumptions!$G56)/Den,'monthly p&amp;l'!K25)</f>
        <v>0.25</v>
      </c>
      <c r="M25" s="86">
        <f>IF(MOD(M$3,12)=4,MAX(L25*(1+Assumptions!$G$41),Assumptions!$G56)/Den,'monthly p&amp;l'!L25)</f>
        <v>0.25</v>
      </c>
      <c r="N25" s="86">
        <f>IF(MOD(N$3,12)=4,MAX(M25*(1+Assumptions!$G$41),Assumptions!$G56)/Den,'monthly p&amp;l'!M25)</f>
        <v>0.25</v>
      </c>
      <c r="O25" s="86">
        <f>IF(MOD(O$3,12)=4,MAX(N25*(1+Assumptions!$G$41),Assumptions!$G56)/Den,'monthly p&amp;l'!N25)</f>
        <v>0.25</v>
      </c>
      <c r="P25" s="86">
        <f>IF(MOD(P$3,12)=4,MAX(O25*(1+Assumptions!$G$41),Assumptions!$G56)/Den,'monthly p&amp;l'!O25)</f>
        <v>0.25</v>
      </c>
      <c r="Q25" s="86">
        <f>IF(MOD(Q$3,12)=4,MAX(P25*(1+Assumptions!$G$41),Assumptions!$G56)/Den,'monthly p&amp;l'!P25)</f>
        <v>0.25</v>
      </c>
      <c r="R25" s="86">
        <f>IF(MOD(R$3,12)=4,MAX(Q25*(1+Assumptions!$G$41),Assumptions!$G56)/Den,'monthly p&amp;l'!Q25)</f>
        <v>0.25</v>
      </c>
      <c r="S25" s="86">
        <f>IF(MOD(S$3,12)=4,MAX(R25*(1+Assumptions!$G$41),Assumptions!$G56)/Den,'monthly p&amp;l'!R25)</f>
        <v>0.25</v>
      </c>
      <c r="T25" s="86">
        <f>IF(MOD(T$3,12)=4,MAX(S25*(1+Assumptions!$G$41),Assumptions!$G56)/Den,'monthly p&amp;l'!S25)</f>
        <v>0.25</v>
      </c>
      <c r="U25" s="86">
        <f>IF(MOD(U$3,12)=4,MAX(T25*(1+Assumptions!$G$41),Assumptions!$G56)/Den,'monthly p&amp;l'!T25)</f>
        <v>0.25</v>
      </c>
      <c r="V25" s="86">
        <f>IF(MOD(V$3,12)=4,MAX(U25*(1+Assumptions!$G$41),Assumptions!$G56)/Den,'monthly p&amp;l'!U25)</f>
        <v>0.25</v>
      </c>
      <c r="W25" s="86">
        <f>IF(MOD(W$3,12)=4,MAX(V25*(1+Assumptions!$G$41),Assumptions!$G56)/Den,'monthly p&amp;l'!V25)</f>
        <v>0.25</v>
      </c>
      <c r="X25" s="86">
        <f>IF(MOD(X$3,12)=4,MAX(W25*(1+Assumptions!$G$41),Assumptions!$G56)/Den,'monthly p&amp;l'!W25)</f>
        <v>0.25</v>
      </c>
      <c r="Y25" s="86">
        <f>IF(MOD(Y$3,12)=4,MAX(X25*(1+Assumptions!$G$41),Assumptions!$G56)/Den,'monthly p&amp;l'!X25)</f>
        <v>0.25</v>
      </c>
      <c r="Z25" s="86">
        <f>IF(MOD(Z$3,12)=4,MAX(Y25*(1+Assumptions!$G$41),Assumptions!$G56)/Den,'monthly p&amp;l'!Y25)</f>
        <v>0.25</v>
      </c>
      <c r="AA25" s="86">
        <f>IF(MOD(AA$3,12)=4,MAX(Z25*(1+Assumptions!$G$41),Assumptions!$G56)/Den,'monthly p&amp;l'!Z25)</f>
        <v>0.25</v>
      </c>
      <c r="AB25" s="86">
        <f>IF(MOD(AB$3,12)=4,MAX(AA25*(1+Assumptions!$G$41),Assumptions!$G56)/Den,'monthly p&amp;l'!AA25)</f>
        <v>0.25</v>
      </c>
      <c r="AC25" s="86">
        <f>IF(MOD(AC$3,12)=4,MAX(AB25*(1+Assumptions!$G$41),Assumptions!$G56)/Den,'monthly p&amp;l'!AB25)</f>
        <v>0.25</v>
      </c>
      <c r="AD25" s="86">
        <f>IF(MOD(AD$3,12)=4,MAX(AC25*(1+Assumptions!$G$41),Assumptions!$G56)/Den,'monthly p&amp;l'!AC25)</f>
        <v>0.25</v>
      </c>
      <c r="AE25" s="86">
        <f>IF(MOD(AE$3,12)=4,MAX(AD25*(1+Assumptions!$G$41),Assumptions!$G56)/Den,'monthly p&amp;l'!AD25)</f>
        <v>0.25</v>
      </c>
      <c r="AF25" s="86">
        <f>IF(MOD(AF$3,12)=4,MAX(AE25*(1+Assumptions!$G$41),Assumptions!$G56)/Den,'monthly p&amp;l'!AE25)</f>
        <v>0.25</v>
      </c>
      <c r="AG25" s="86">
        <f>IF(MOD(AG$3,12)=4,MAX(AF25*(1+Assumptions!$G$41),Assumptions!$G56)/Den,'monthly p&amp;l'!AF25)</f>
        <v>0.25</v>
      </c>
      <c r="AH25" s="86">
        <f>IF(MOD(AH$3,12)=4,MAX(AG25*(1+Assumptions!$G$41),Assumptions!$G56)/Den,'monthly p&amp;l'!AG25)</f>
        <v>0.25</v>
      </c>
      <c r="AI25" s="86">
        <f>IF(MOD(AI$3,12)=4,MAX(AH25*(1+Assumptions!$G$41),Assumptions!$G56)/Den,'monthly p&amp;l'!AH25)</f>
        <v>0.25</v>
      </c>
      <c r="AJ25" s="86">
        <f>IF(MOD(AJ$3,12)=4,MAX(AI25*(1+Assumptions!$G$41),Assumptions!$G56)/Den,'monthly p&amp;l'!AI25)</f>
        <v>0.25</v>
      </c>
      <c r="AK25" s="86">
        <f>IF(MOD(AK$3,12)=4,MAX(AJ25*(1+Assumptions!$G$41),Assumptions!$G56)/Den,'monthly p&amp;l'!AJ25)</f>
        <v>0.25</v>
      </c>
      <c r="AL25" s="86">
        <f>IF(MOD(AL$3,12)=4,MAX(AK25*(1+Assumptions!$G$41),Assumptions!$G56)/Den,'monthly p&amp;l'!AK25)</f>
        <v>0.25</v>
      </c>
      <c r="AM25" s="86">
        <f>IF(MOD(AM$3,12)=4,MAX(AL25*(1+Assumptions!$G$41),Assumptions!$G56)/Den,'monthly p&amp;l'!AL25)</f>
        <v>0.25</v>
      </c>
      <c r="AN25" s="86">
        <f>IF(MOD(AN$3,12)=4,MAX(AM25*(1+Assumptions!$G$41),Assumptions!$G56)/Den,'monthly p&amp;l'!AM25)</f>
        <v>0.25</v>
      </c>
    </row>
    <row r="26" spans="1:40" x14ac:dyDescent="0.25">
      <c r="A26" t="str">
        <f>Assumptions!A57</f>
        <v>Electricity (Based on area Rs./sq. Ft.)</v>
      </c>
      <c r="E26" s="86">
        <f>IF(MOD(E$3,12)=4,MAX(D26*(1+Assumptions!$G$41),Assumptions!$G$57*Assumptions!$G$67)/Den,'monthly p&amp;l'!D26)</f>
        <v>0</v>
      </c>
      <c r="F26" s="86">
        <f>IF(MOD(F$3,12)=4,MAX(E26*(1+Assumptions!$G$41),Assumptions!$G$57*Assumptions!$G$67)/Den,'monthly p&amp;l'!E26)</f>
        <v>0</v>
      </c>
      <c r="G26" s="86">
        <f>IF(MOD(G$3,12)=4,MAX(F26*(1+Assumptions!$G$41),Assumptions!$G$57*Assumptions!$G$67)/Den,'monthly p&amp;l'!F26)</f>
        <v>0</v>
      </c>
      <c r="H26" s="86">
        <f>IF(MOD(H$3,12)=4,MAX(G26*(1+Assumptions!$G$41),Assumptions!$G$57*Assumptions!$G$67)/Den,'monthly p&amp;l'!G26)</f>
        <v>0.26600000000000001</v>
      </c>
      <c r="I26" s="86">
        <f>IF(MOD(I$3,12)=4,MAX(H26*(1+Assumptions!$G$41),Assumptions!$G$57*Assumptions!$G$67)/Den,'monthly p&amp;l'!H26)</f>
        <v>0.26600000000000001</v>
      </c>
      <c r="J26" s="86">
        <f>IF(MOD(J$3,12)=4,MAX(I26*(1+Assumptions!$G$41),Assumptions!$G$57*Assumptions!$G$67)/Den,'monthly p&amp;l'!I26)</f>
        <v>0.26600000000000001</v>
      </c>
      <c r="K26" s="86">
        <f>IF(MOD(K$3,12)=4,MAX(J26*(1+Assumptions!$G$41),Assumptions!$G$57*Assumptions!$G$67)/Den,'monthly p&amp;l'!J26)</f>
        <v>0.26600000000000001</v>
      </c>
      <c r="L26" s="86">
        <f>IF(MOD(L$3,12)=4,MAX(K26*(1+Assumptions!$G$41),Assumptions!$G$57*Assumptions!$G$67)/Den,'monthly p&amp;l'!K26)</f>
        <v>0.26600000000000001</v>
      </c>
      <c r="M26" s="86">
        <f>IF(MOD(M$3,12)=4,MAX(L26*(1+Assumptions!$G$41),Assumptions!$G$57*Assumptions!$G$67)/Den,'monthly p&amp;l'!L26)</f>
        <v>0.26600000000000001</v>
      </c>
      <c r="N26" s="86">
        <f>IF(MOD(N$3,12)=4,MAX(M26*(1+Assumptions!$G$41),Assumptions!$G$57*Assumptions!$G$67)/Den,'monthly p&amp;l'!M26)</f>
        <v>0.26600000000000001</v>
      </c>
      <c r="O26" s="86">
        <f>IF(MOD(O$3,12)=4,MAX(N26*(1+Assumptions!$G$41),Assumptions!$G$57*Assumptions!$G$67)/Den,'monthly p&amp;l'!N26)</f>
        <v>0.26600000000000001</v>
      </c>
      <c r="P26" s="86">
        <f>IF(MOD(P$3,12)=4,MAX(O26*(1+Assumptions!$G$41),Assumptions!$G$57*Assumptions!$G$67)/Den,'monthly p&amp;l'!O26)</f>
        <v>0.26600000000000001</v>
      </c>
      <c r="Q26" s="86">
        <f>IF(MOD(Q$3,12)=4,MAX(P26*(1+Assumptions!$G$41),Assumptions!$G$57*Assumptions!$G$67)/Den,'monthly p&amp;l'!P26)</f>
        <v>0.26600000000000001</v>
      </c>
      <c r="R26" s="86">
        <f>IF(MOD(R$3,12)=4,MAX(Q26*(1+Assumptions!$G$41),Assumptions!$G$57*Assumptions!$G$67)/Den,'monthly p&amp;l'!Q26)</f>
        <v>0.26600000000000001</v>
      </c>
      <c r="S26" s="86">
        <f>IF(MOD(S$3,12)=4,MAX(R26*(1+Assumptions!$G$41),Assumptions!$G$57*Assumptions!$G$67)/Den,'monthly p&amp;l'!R26)</f>
        <v>0.26600000000000001</v>
      </c>
      <c r="T26" s="86">
        <f>IF(MOD(T$3,12)=4,MAX(S26*(1+Assumptions!$G$41),Assumptions!$G$57*Assumptions!$G$67)/Den,'monthly p&amp;l'!S26)</f>
        <v>0.26600000000000001</v>
      </c>
      <c r="U26" s="86">
        <f>IF(MOD(U$3,12)=4,MAX(T26*(1+Assumptions!$G$41),Assumptions!$G$57*Assumptions!$G$67)/Den,'monthly p&amp;l'!T26)</f>
        <v>0.26600000000000001</v>
      </c>
      <c r="V26" s="86">
        <f>IF(MOD(V$3,12)=4,MAX(U26*(1+Assumptions!$G$41),Assumptions!$G$57*Assumptions!$G$67)/Den,'monthly p&amp;l'!U26)</f>
        <v>0.26600000000000001</v>
      </c>
      <c r="W26" s="86">
        <f>IF(MOD(W$3,12)=4,MAX(V26*(1+Assumptions!$G$41),Assumptions!$G$57*Assumptions!$G$67)/Den,'monthly p&amp;l'!V26)</f>
        <v>0.26600000000000001</v>
      </c>
      <c r="X26" s="86">
        <f>IF(MOD(X$3,12)=4,MAX(W26*(1+Assumptions!$G$41),Assumptions!$G$57*Assumptions!$G$67)/Den,'monthly p&amp;l'!W26)</f>
        <v>0.26600000000000001</v>
      </c>
      <c r="Y26" s="86">
        <f>IF(MOD(Y$3,12)=4,MAX(X26*(1+Assumptions!$G$41),Assumptions!$G$57*Assumptions!$G$67)/Den,'monthly p&amp;l'!X26)</f>
        <v>0.26600000000000001</v>
      </c>
      <c r="Z26" s="86">
        <f>IF(MOD(Z$3,12)=4,MAX(Y26*(1+Assumptions!$G$41),Assumptions!$G$57*Assumptions!$G$67)/Den,'monthly p&amp;l'!Y26)</f>
        <v>0.26600000000000001</v>
      </c>
      <c r="AA26" s="86">
        <f>IF(MOD(AA$3,12)=4,MAX(Z26*(1+Assumptions!$G$41),Assumptions!$G$57*Assumptions!$G$67)/Den,'monthly p&amp;l'!Z26)</f>
        <v>0.26600000000000001</v>
      </c>
      <c r="AB26" s="86">
        <f>IF(MOD(AB$3,12)=4,MAX(AA26*(1+Assumptions!$G$41),Assumptions!$G$57*Assumptions!$G$67)/Den,'monthly p&amp;l'!AA26)</f>
        <v>0.26600000000000001</v>
      </c>
      <c r="AC26" s="86">
        <f>IF(MOD(AC$3,12)=4,MAX(AB26*(1+Assumptions!$G$41),Assumptions!$G$57*Assumptions!$G$67)/Den,'monthly p&amp;l'!AB26)</f>
        <v>0.26600000000000001</v>
      </c>
      <c r="AD26" s="86">
        <f>IF(MOD(AD$3,12)=4,MAX(AC26*(1+Assumptions!$G$41),Assumptions!$G$57*Assumptions!$G$67)/Den,'monthly p&amp;l'!AC26)</f>
        <v>0.26600000000000001</v>
      </c>
      <c r="AE26" s="86">
        <f>IF(MOD(AE$3,12)=4,MAX(AD26*(1+Assumptions!$G$41),Assumptions!$G$57*Assumptions!$G$67)/Den,'monthly p&amp;l'!AD26)</f>
        <v>0.26600000000000001</v>
      </c>
      <c r="AF26" s="86">
        <f>IF(MOD(AF$3,12)=4,MAX(AE26*(1+Assumptions!$G$41),Assumptions!$G$57*Assumptions!$G$67)/Den,'monthly p&amp;l'!AE26)</f>
        <v>0.26600000000000001</v>
      </c>
      <c r="AG26" s="86">
        <f>IF(MOD(AG$3,12)=4,MAX(AF26*(1+Assumptions!$G$41),Assumptions!$G$57*Assumptions!$G$67)/Den,'monthly p&amp;l'!AF26)</f>
        <v>0.26600000000000001</v>
      </c>
      <c r="AH26" s="86">
        <f>IF(MOD(AH$3,12)=4,MAX(AG26*(1+Assumptions!$G$41),Assumptions!$G$57*Assumptions!$G$67)/Den,'monthly p&amp;l'!AG26)</f>
        <v>0.26600000000000001</v>
      </c>
      <c r="AI26" s="86">
        <f>IF(MOD(AI$3,12)=4,MAX(AH26*(1+Assumptions!$G$41),Assumptions!$G$57*Assumptions!$G$67)/Den,'monthly p&amp;l'!AH26)</f>
        <v>0.26600000000000001</v>
      </c>
      <c r="AJ26" s="86">
        <f>IF(MOD(AJ$3,12)=4,MAX(AI26*(1+Assumptions!$G$41),Assumptions!$G$57*Assumptions!$G$67)/Den,'monthly p&amp;l'!AI26)</f>
        <v>0.26600000000000001</v>
      </c>
      <c r="AK26" s="86">
        <f>IF(MOD(AK$3,12)=4,MAX(AJ26*(1+Assumptions!$G$41),Assumptions!$G$57*Assumptions!$G$67)/Den,'monthly p&amp;l'!AJ26)</f>
        <v>0.26600000000000001</v>
      </c>
      <c r="AL26" s="86">
        <f>IF(MOD(AL$3,12)=4,MAX(AK26*(1+Assumptions!$G$41),Assumptions!$G$57*Assumptions!$G$67)/Den,'monthly p&amp;l'!AK26)</f>
        <v>0.26600000000000001</v>
      </c>
      <c r="AM26" s="86">
        <f>IF(MOD(AM$3,12)=4,MAX(AL26*(1+Assumptions!$G$41),Assumptions!$G$57*Assumptions!$G$67)/Den,'monthly p&amp;l'!AL26)</f>
        <v>0.26600000000000001</v>
      </c>
      <c r="AN26" s="86">
        <f>IF(MOD(AN$3,12)=4,MAX(AM26*(1+Assumptions!$G$41),Assumptions!$G$57*Assumptions!$G$67)/Den,'monthly p&amp;l'!AM26)</f>
        <v>0.26600000000000001</v>
      </c>
    </row>
    <row r="27" spans="1:40" x14ac:dyDescent="0.25">
      <c r="A27" t="str">
        <f>Assumptions!A58</f>
        <v>Phone and internet (per month)</v>
      </c>
      <c r="E27" s="86">
        <f>IF(MOD(E$3,12)=4,MAX(D27*(1+Assumptions!$G$41),Assumptions!$G58)/Den,'monthly p&amp;l'!D27)</f>
        <v>0</v>
      </c>
      <c r="F27" s="86">
        <f>IF(MOD(F$3,12)=4,MAX(E27*(1+Assumptions!$G$41),Assumptions!$G58)/Den,'monthly p&amp;l'!E27)</f>
        <v>0</v>
      </c>
      <c r="G27" s="86">
        <f>IF(MOD(G$3,12)=4,MAX(F27*(1+Assumptions!$G$41),Assumptions!$G58)/Den,'monthly p&amp;l'!F27)</f>
        <v>0</v>
      </c>
      <c r="H27" s="86">
        <f>IF(MOD(H$3,12)=4,MAX(G27*(1+Assumptions!$G$41),Assumptions!$G58)/Den,'monthly p&amp;l'!G27)</f>
        <v>0.15</v>
      </c>
      <c r="I27" s="86">
        <f>IF(MOD(I$3,12)=4,MAX(H27*(1+Assumptions!$G$41),Assumptions!$G58)/Den,'monthly p&amp;l'!H27)</f>
        <v>0.15</v>
      </c>
      <c r="J27" s="86">
        <f>IF(MOD(J$3,12)=4,MAX(I27*(1+Assumptions!$G$41),Assumptions!$G58)/Den,'monthly p&amp;l'!I27)</f>
        <v>0.15</v>
      </c>
      <c r="K27" s="86">
        <f>IF(MOD(K$3,12)=4,MAX(J27*(1+Assumptions!$G$41),Assumptions!$G58)/Den,'monthly p&amp;l'!J27)</f>
        <v>0.15</v>
      </c>
      <c r="L27" s="86">
        <f>IF(MOD(L$3,12)=4,MAX(K27*(1+Assumptions!$G$41),Assumptions!$G58)/Den,'monthly p&amp;l'!K27)</f>
        <v>0.15</v>
      </c>
      <c r="M27" s="86">
        <f>IF(MOD(M$3,12)=4,MAX(L27*(1+Assumptions!$G$41),Assumptions!$G58)/Den,'monthly p&amp;l'!L27)</f>
        <v>0.15</v>
      </c>
      <c r="N27" s="86">
        <f>IF(MOD(N$3,12)=4,MAX(M27*(1+Assumptions!$G$41),Assumptions!$G58)/Den,'monthly p&amp;l'!M27)</f>
        <v>0.15</v>
      </c>
      <c r="O27" s="86">
        <f>IF(MOD(O$3,12)=4,MAX(N27*(1+Assumptions!$G$41),Assumptions!$G58)/Den,'monthly p&amp;l'!N27)</f>
        <v>0.15</v>
      </c>
      <c r="P27" s="86">
        <f>IF(MOD(P$3,12)=4,MAX(O27*(1+Assumptions!$G$41),Assumptions!$G58)/Den,'monthly p&amp;l'!O27)</f>
        <v>0.15</v>
      </c>
      <c r="Q27" s="86">
        <f>IF(MOD(Q$3,12)=4,MAX(P27*(1+Assumptions!$G$41),Assumptions!$G58)/Den,'monthly p&amp;l'!P27)</f>
        <v>0.15</v>
      </c>
      <c r="R27" s="86">
        <f>IF(MOD(R$3,12)=4,MAX(Q27*(1+Assumptions!$G$41),Assumptions!$G58)/Den,'monthly p&amp;l'!Q27)</f>
        <v>0.15</v>
      </c>
      <c r="S27" s="86">
        <f>IF(MOD(S$3,12)=4,MAX(R27*(1+Assumptions!$G$41),Assumptions!$G58)/Den,'monthly p&amp;l'!R27)</f>
        <v>0.15</v>
      </c>
      <c r="T27" s="86">
        <f>IF(MOD(T$3,12)=4,MAX(S27*(1+Assumptions!$G$41),Assumptions!$G58)/Den,'monthly p&amp;l'!S27)</f>
        <v>0.15</v>
      </c>
      <c r="U27" s="86">
        <f>IF(MOD(U$3,12)=4,MAX(T27*(1+Assumptions!$G$41),Assumptions!$G58)/Den,'monthly p&amp;l'!T27)</f>
        <v>0.15</v>
      </c>
      <c r="V27" s="86">
        <f>IF(MOD(V$3,12)=4,MAX(U27*(1+Assumptions!$G$41),Assumptions!$G58)/Den,'monthly p&amp;l'!U27)</f>
        <v>0.15</v>
      </c>
      <c r="W27" s="86">
        <f>IF(MOD(W$3,12)=4,MAX(V27*(1+Assumptions!$G$41),Assumptions!$G58)/Den,'monthly p&amp;l'!V27)</f>
        <v>0.15</v>
      </c>
      <c r="X27" s="86">
        <f>IF(MOD(X$3,12)=4,MAX(W27*(1+Assumptions!$G$41),Assumptions!$G58)/Den,'monthly p&amp;l'!W27)</f>
        <v>0.15</v>
      </c>
      <c r="Y27" s="86">
        <f>IF(MOD(Y$3,12)=4,MAX(X27*(1+Assumptions!$G$41),Assumptions!$G58)/Den,'monthly p&amp;l'!X27)</f>
        <v>0.15</v>
      </c>
      <c r="Z27" s="86">
        <f>IF(MOD(Z$3,12)=4,MAX(Y27*(1+Assumptions!$G$41),Assumptions!$G58)/Den,'monthly p&amp;l'!Y27)</f>
        <v>0.15</v>
      </c>
      <c r="AA27" s="86">
        <f>IF(MOD(AA$3,12)=4,MAX(Z27*(1+Assumptions!$G$41),Assumptions!$G58)/Den,'monthly p&amp;l'!Z27)</f>
        <v>0.15</v>
      </c>
      <c r="AB27" s="86">
        <f>IF(MOD(AB$3,12)=4,MAX(AA27*(1+Assumptions!$G$41),Assumptions!$G58)/Den,'monthly p&amp;l'!AA27)</f>
        <v>0.15</v>
      </c>
      <c r="AC27" s="86">
        <f>IF(MOD(AC$3,12)=4,MAX(AB27*(1+Assumptions!$G$41),Assumptions!$G58)/Den,'monthly p&amp;l'!AB27)</f>
        <v>0.15</v>
      </c>
      <c r="AD27" s="86">
        <f>IF(MOD(AD$3,12)=4,MAX(AC27*(1+Assumptions!$G$41),Assumptions!$G58)/Den,'monthly p&amp;l'!AC27)</f>
        <v>0.15</v>
      </c>
      <c r="AE27" s="86">
        <f>IF(MOD(AE$3,12)=4,MAX(AD27*(1+Assumptions!$G$41),Assumptions!$G58)/Den,'monthly p&amp;l'!AD27)</f>
        <v>0.15</v>
      </c>
      <c r="AF27" s="86">
        <f>IF(MOD(AF$3,12)=4,MAX(AE27*(1+Assumptions!$G$41),Assumptions!$G58)/Den,'monthly p&amp;l'!AE27)</f>
        <v>0.15</v>
      </c>
      <c r="AG27" s="86">
        <f>IF(MOD(AG$3,12)=4,MAX(AF27*(1+Assumptions!$G$41),Assumptions!$G58)/Den,'monthly p&amp;l'!AF27)</f>
        <v>0.15</v>
      </c>
      <c r="AH27" s="86">
        <f>IF(MOD(AH$3,12)=4,MAX(AG27*(1+Assumptions!$G$41),Assumptions!$G58)/Den,'monthly p&amp;l'!AG27)</f>
        <v>0.15</v>
      </c>
      <c r="AI27" s="86">
        <f>IF(MOD(AI$3,12)=4,MAX(AH27*(1+Assumptions!$G$41),Assumptions!$G58)/Den,'monthly p&amp;l'!AH27)</f>
        <v>0.15</v>
      </c>
      <c r="AJ27" s="86">
        <f>IF(MOD(AJ$3,12)=4,MAX(AI27*(1+Assumptions!$G$41),Assumptions!$G58)/Den,'monthly p&amp;l'!AI27)</f>
        <v>0.15</v>
      </c>
      <c r="AK27" s="86">
        <f>IF(MOD(AK$3,12)=4,MAX(AJ27*(1+Assumptions!$G$41),Assumptions!$G58)/Den,'monthly p&amp;l'!AJ27)</f>
        <v>0.15</v>
      </c>
      <c r="AL27" s="86">
        <f>IF(MOD(AL$3,12)=4,MAX(AK27*(1+Assumptions!$G$41),Assumptions!$G58)/Den,'monthly p&amp;l'!AK27)</f>
        <v>0.15</v>
      </c>
      <c r="AM27" s="86">
        <f>IF(MOD(AM$3,12)=4,MAX(AL27*(1+Assumptions!$G$41),Assumptions!$G58)/Den,'monthly p&amp;l'!AL27)</f>
        <v>0.15</v>
      </c>
      <c r="AN27" s="86">
        <f>IF(MOD(AN$3,12)=4,MAX(AM27*(1+Assumptions!$G$41),Assumptions!$G58)/Den,'monthly p&amp;l'!AM27)</f>
        <v>0.15</v>
      </c>
    </row>
    <row r="28" spans="1:40" x14ac:dyDescent="0.25">
      <c r="A28" t="str">
        <f>Assumptions!A59</f>
        <v>Housekeeping  &amp; Consumables (% of revenue)</v>
      </c>
      <c r="E28" s="86">
        <f>E$10*Assumptions!$G$59</f>
        <v>0</v>
      </c>
      <c r="F28" s="86">
        <f>F$10*Assumptions!$G$59</f>
        <v>0</v>
      </c>
      <c r="G28" s="86">
        <f>G$10*Assumptions!$G$59</f>
        <v>0</v>
      </c>
      <c r="H28" s="86">
        <f>H$10*Assumptions!$G$59</f>
        <v>0.61176000000000008</v>
      </c>
      <c r="I28" s="86">
        <f>I$10*Assumptions!$G$59</f>
        <v>0.64264800000000011</v>
      </c>
      <c r="J28" s="86">
        <f>J$10*Assumptions!$G$59</f>
        <v>0.62589561599999999</v>
      </c>
      <c r="K28" s="86">
        <f>K$10*Assumptions!$G$59</f>
        <v>0.6704981107200001</v>
      </c>
      <c r="L28" s="86">
        <f>L$10*Assumptions!$G$59</f>
        <v>0.66942948890880005</v>
      </c>
      <c r="M28" s="86">
        <f>M$10*Assumptions!$G$59</f>
        <v>0.69769473050342412</v>
      </c>
      <c r="N28" s="86">
        <f>N$10*Assumptions!$G$59</f>
        <v>0.73847625585400323</v>
      </c>
      <c r="O28" s="86">
        <f>O$10*Assumptions!$G$59</f>
        <v>0.67376550901542065</v>
      </c>
      <c r="P28" s="86">
        <f>P$10*Assumptions!$G$59</f>
        <v>0.75571519914308494</v>
      </c>
      <c r="Q28" s="86">
        <f>Q$10*Assumptions!$G$59</f>
        <v>0.75473080119890801</v>
      </c>
      <c r="R28" s="86">
        <f>R$10*Assumptions!$G$59</f>
        <v>0.82669627798983303</v>
      </c>
      <c r="S28" s="86">
        <f>S$10*Assumptions!$G$59</f>
        <v>0.79681866030115234</v>
      </c>
      <c r="T28" s="86">
        <f>T$10*Assumptions!$G$59</f>
        <v>0.90134246856539113</v>
      </c>
      <c r="U28" s="86">
        <f>U$10*Assumptions!$G$59</f>
        <v>0.92684946854442463</v>
      </c>
      <c r="V28" s="86">
        <f>V$10*Assumptions!$G$59</f>
        <v>0.90821842067336944</v>
      </c>
      <c r="W28" s="86">
        <f>W$10*Assumptions!$G$59</f>
        <v>1.0016280397702224</v>
      </c>
      <c r="X28" s="86">
        <f>X$10*Assumptions!$G$59</f>
        <v>0.95972510588943694</v>
      </c>
      <c r="Y28" s="86">
        <f>Y$10*Assumptions!$G$59</f>
        <v>1.0131625870242178</v>
      </c>
      <c r="Z28" s="86">
        <f>Z$10*Assumptions!$G$59</f>
        <v>1.0926918703946746</v>
      </c>
      <c r="AA28" s="86">
        <f>AA$10*Assumptions!$G$59</f>
        <v>0.98815764091224223</v>
      </c>
      <c r="AB28" s="86">
        <f>AB$10*Assumptions!$G$59</f>
        <v>1.1009236714363946</v>
      </c>
      <c r="AC28" s="86">
        <f>AC$10*Assumptions!$G$59</f>
        <v>1.1338973078264716</v>
      </c>
      <c r="AD28" s="86">
        <f>AD$10*Assumptions!$G$59</f>
        <v>1.196440856479333</v>
      </c>
      <c r="AE28" s="86">
        <f>AE$10*Assumptions!$G$59</f>
        <v>1.1674679671579395</v>
      </c>
      <c r="AF28" s="86">
        <f>AF$10*Assumptions!$G$59</f>
        <v>1.3689059720238215</v>
      </c>
      <c r="AG28" s="86">
        <f>AG$10*Assumptions!$G$59</f>
        <v>1.3300633587722446</v>
      </c>
      <c r="AH28" s="86">
        <f>AH$10*Assumptions!$G$59</f>
        <v>1.3350803107021085</v>
      </c>
      <c r="AI28" s="86">
        <f>AI$10*Assumptions!$G$59</f>
        <v>1.4971639097109679</v>
      </c>
      <c r="AJ28" s="86">
        <f>AJ$10*Assumptions!$G$59</f>
        <v>1.4139222423361129</v>
      </c>
      <c r="AK28" s="86">
        <f>AK$10*Assumptions!$G$59</f>
        <v>1.5195035333369447</v>
      </c>
      <c r="AL28" s="86">
        <f>AL$10*Assumptions!$G$59</f>
        <v>1.5350098540036836</v>
      </c>
      <c r="AM28" s="86">
        <f>AM$10*Assumptions!$G$59</f>
        <v>1.3948080009852337</v>
      </c>
      <c r="AN28" s="86">
        <f>AN$10*Assumptions!$G$59</f>
        <v>1.5216702851556791</v>
      </c>
    </row>
    <row r="29" spans="1:40" x14ac:dyDescent="0.25">
      <c r="A29" t="str">
        <f>Assumptions!A60</f>
        <v>Payment Settlement Charges (% or revenue)</v>
      </c>
      <c r="E29" s="86">
        <f>E$10*Assumptions!$G$61*Assumptions!$G$60</f>
        <v>0</v>
      </c>
      <c r="F29" s="86">
        <f>F$10*Assumptions!$G$61*Assumptions!$G$60</f>
        <v>0</v>
      </c>
      <c r="G29" s="86">
        <f>G$10*Assumptions!$G$61*Assumptions!$G$60</f>
        <v>0</v>
      </c>
      <c r="H29" s="86">
        <f>H$10*Assumptions!$G$61*Assumptions!$G$60</f>
        <v>0.22941</v>
      </c>
      <c r="I29" s="86">
        <f>I$10*Assumptions!$G$61*Assumptions!$G$60</f>
        <v>0.24099300000000001</v>
      </c>
      <c r="J29" s="86">
        <f>J$10*Assumptions!$G$61*Assumptions!$G$60</f>
        <v>0.23471085599999997</v>
      </c>
      <c r="K29" s="86">
        <f>K$10*Assumptions!$G$61*Assumptions!$G$60</f>
        <v>0.25143679152000004</v>
      </c>
      <c r="L29" s="86">
        <f>L$10*Assumptions!$G$61*Assumptions!$G$60</f>
        <v>0.25103605834080001</v>
      </c>
      <c r="M29" s="86">
        <f>M$10*Assumptions!$G$61*Assumptions!$G$60</f>
        <v>0.26163552393878403</v>
      </c>
      <c r="N29" s="86">
        <f>N$10*Assumptions!$G$61*Assumptions!$G$60</f>
        <v>0.27692859594525121</v>
      </c>
      <c r="O29" s="86">
        <f>O$10*Assumptions!$G$61*Assumptions!$G$60</f>
        <v>0.25266206588078272</v>
      </c>
      <c r="P29" s="86">
        <f>P$10*Assumptions!$G$61*Assumptions!$G$60</f>
        <v>0.28339319967865684</v>
      </c>
      <c r="Q29" s="86">
        <f>Q$10*Assumptions!$G$61*Assumptions!$G$60</f>
        <v>0.28302405044959045</v>
      </c>
      <c r="R29" s="86">
        <f>R$10*Assumptions!$G$61*Assumptions!$G$60</f>
        <v>0.31001110424618739</v>
      </c>
      <c r="S29" s="86">
        <f>S$10*Assumptions!$G$61*Assumptions!$G$60</f>
        <v>0.29880699761293211</v>
      </c>
      <c r="T29" s="86">
        <f>T$10*Assumptions!$G$61*Assumptions!$G$60</f>
        <v>0.33800342571202163</v>
      </c>
      <c r="U29" s="86">
        <f>U$10*Assumptions!$G$61*Assumptions!$G$60</f>
        <v>0.34756855070415921</v>
      </c>
      <c r="V29" s="86">
        <f>V$10*Assumptions!$G$61*Assumptions!$G$60</f>
        <v>0.34058190775251351</v>
      </c>
      <c r="W29" s="86">
        <f>W$10*Assumptions!$G$61*Assumptions!$G$60</f>
        <v>0.3756105149138334</v>
      </c>
      <c r="X29" s="86">
        <f>X$10*Assumptions!$G$61*Assumptions!$G$60</f>
        <v>0.35989691470853885</v>
      </c>
      <c r="Y29" s="86">
        <f>Y$10*Assumptions!$G$61*Assumptions!$G$60</f>
        <v>0.37993597013408165</v>
      </c>
      <c r="Z29" s="86">
        <f>Z$10*Assumptions!$G$61*Assumptions!$G$60</f>
        <v>0.40975945139800302</v>
      </c>
      <c r="AA29" s="86">
        <f>AA$10*Assumptions!$G$61*Assumptions!$G$60</f>
        <v>0.37055911534209085</v>
      </c>
      <c r="AB29" s="86">
        <f>AB$10*Assumptions!$G$61*Assumptions!$G$60</f>
        <v>0.41284637678864794</v>
      </c>
      <c r="AC29" s="86">
        <f>AC$10*Assumptions!$G$61*Assumptions!$G$60</f>
        <v>0.42521149043492679</v>
      </c>
      <c r="AD29" s="86">
        <f>AD$10*Assumptions!$G$61*Assumptions!$G$60</f>
        <v>0.44866532117974983</v>
      </c>
      <c r="AE29" s="86">
        <f>AE$10*Assumptions!$G$61*Assumptions!$G$60</f>
        <v>0.4378004876842273</v>
      </c>
      <c r="AF29" s="86">
        <f>AF$10*Assumptions!$G$61*Assumptions!$G$60</f>
        <v>0.51333973950893297</v>
      </c>
      <c r="AG29" s="86">
        <f>AG$10*Assumptions!$G$61*Assumptions!$G$60</f>
        <v>0.49877375953959163</v>
      </c>
      <c r="AH29" s="86">
        <f>AH$10*Assumptions!$G$61*Assumptions!$G$60</f>
        <v>0.50065511651329064</v>
      </c>
      <c r="AI29" s="86">
        <f>AI$10*Assumptions!$G$61*Assumptions!$G$60</f>
        <v>0.56143646614161291</v>
      </c>
      <c r="AJ29" s="86">
        <f>AJ$10*Assumptions!$G$61*Assumptions!$G$60</f>
        <v>0.53022084087604227</v>
      </c>
      <c r="AK29" s="86">
        <f>AK$10*Assumptions!$G$61*Assumptions!$G$60</f>
        <v>0.56981382500135425</v>
      </c>
      <c r="AL29" s="86">
        <f>AL$10*Assumptions!$G$61*Assumptions!$G$60</f>
        <v>0.57562869525138138</v>
      </c>
      <c r="AM29" s="86">
        <f>AM$10*Assumptions!$G$61*Assumptions!$G$60</f>
        <v>0.52305300036946256</v>
      </c>
      <c r="AN29" s="86">
        <f>AN$10*Assumptions!$G$61*Assumptions!$G$60</f>
        <v>0.57062635693337971</v>
      </c>
    </row>
    <row r="30" spans="1:40" x14ac:dyDescent="0.25">
      <c r="A30" s="157" t="s">
        <v>123</v>
      </c>
      <c r="B30" s="149"/>
      <c r="C30" s="149"/>
      <c r="D30" s="149"/>
      <c r="E30" s="150">
        <f>SUM(E20:E29)</f>
        <v>0</v>
      </c>
      <c r="F30" s="150">
        <f t="shared" ref="F30:AN30" si="3">SUM(F20:F29)</f>
        <v>0</v>
      </c>
      <c r="G30" s="150">
        <f t="shared" si="3"/>
        <v>0</v>
      </c>
      <c r="H30" s="150">
        <f t="shared" si="3"/>
        <v>10.495369999999999</v>
      </c>
      <c r="I30" s="150">
        <f t="shared" si="3"/>
        <v>10.769501</v>
      </c>
      <c r="J30" s="150">
        <f t="shared" si="3"/>
        <v>10.620823591999999</v>
      </c>
      <c r="K30" s="150">
        <f t="shared" si="3"/>
        <v>11.016670732640002</v>
      </c>
      <c r="L30" s="150">
        <f t="shared" si="3"/>
        <v>11.0071867140656</v>
      </c>
      <c r="M30" s="150">
        <f t="shared" si="3"/>
        <v>11.258040733217888</v>
      </c>
      <c r="N30" s="150">
        <f t="shared" si="3"/>
        <v>11.61997677070428</v>
      </c>
      <c r="O30" s="150">
        <f t="shared" si="3"/>
        <v>11.045668892511859</v>
      </c>
      <c r="P30" s="150">
        <f t="shared" si="3"/>
        <v>11.772972392394877</v>
      </c>
      <c r="Q30" s="150">
        <f t="shared" si="3"/>
        <v>11.764235860640309</v>
      </c>
      <c r="R30" s="150">
        <f t="shared" si="3"/>
        <v>12.402929467159771</v>
      </c>
      <c r="S30" s="150">
        <f t="shared" si="3"/>
        <v>12.137765610172726</v>
      </c>
      <c r="T30" s="150">
        <f t="shared" si="3"/>
        <v>13.065414408517846</v>
      </c>
      <c r="U30" s="150">
        <f t="shared" si="3"/>
        <v>13.291789033331767</v>
      </c>
      <c r="V30" s="150">
        <f t="shared" si="3"/>
        <v>13.126438483476155</v>
      </c>
      <c r="W30" s="150">
        <f t="shared" si="3"/>
        <v>13.955448852960725</v>
      </c>
      <c r="X30" s="150">
        <f t="shared" si="3"/>
        <v>13.583560314768752</v>
      </c>
      <c r="Y30" s="150">
        <f t="shared" si="3"/>
        <v>14.057817959839932</v>
      </c>
      <c r="Z30" s="150">
        <f t="shared" si="3"/>
        <v>14.763640349752736</v>
      </c>
      <c r="AA30" s="150">
        <f t="shared" si="3"/>
        <v>13.83589906309615</v>
      </c>
      <c r="AB30" s="150">
        <f t="shared" si="3"/>
        <v>14.836697583998003</v>
      </c>
      <c r="AC30" s="150">
        <f t="shared" si="3"/>
        <v>15.129338606959935</v>
      </c>
      <c r="AD30" s="150">
        <f t="shared" si="3"/>
        <v>15.684412601254081</v>
      </c>
      <c r="AE30" s="150">
        <f t="shared" si="3"/>
        <v>15.427278208526712</v>
      </c>
      <c r="AF30" s="150">
        <f t="shared" si="3"/>
        <v>17.215040501711417</v>
      </c>
      <c r="AG30" s="150">
        <f t="shared" si="3"/>
        <v>16.870312309103671</v>
      </c>
      <c r="AH30" s="150">
        <f t="shared" si="3"/>
        <v>16.914837757481212</v>
      </c>
      <c r="AI30" s="150">
        <f t="shared" si="3"/>
        <v>18.353329698684838</v>
      </c>
      <c r="AJ30" s="150">
        <f t="shared" si="3"/>
        <v>17.614559900732999</v>
      </c>
      <c r="AK30" s="150">
        <f t="shared" si="3"/>
        <v>18.551593858365379</v>
      </c>
      <c r="AL30" s="150">
        <f t="shared" si="3"/>
        <v>18.689212454282689</v>
      </c>
      <c r="AM30" s="150">
        <f t="shared" si="3"/>
        <v>17.444921008743947</v>
      </c>
      <c r="AN30" s="150">
        <f t="shared" si="3"/>
        <v>18.570823780756655</v>
      </c>
    </row>
    <row r="32" spans="1:40" ht="15.75" thickBot="1" x14ac:dyDescent="0.3">
      <c r="A32" s="160" t="s">
        <v>124</v>
      </c>
      <c r="B32" s="160"/>
      <c r="C32" s="160"/>
      <c r="D32" s="160"/>
      <c r="E32" s="161">
        <f>E10-E17-E30</f>
        <v>0</v>
      </c>
      <c r="F32" s="161">
        <f t="shared" ref="F32:AN32" si="4">F10-F17-F30</f>
        <v>0</v>
      </c>
      <c r="G32" s="161">
        <f t="shared" si="4"/>
        <v>0</v>
      </c>
      <c r="H32" s="161">
        <f t="shared" si="4"/>
        <v>0.14623000000000452</v>
      </c>
      <c r="I32" s="161">
        <f t="shared" si="4"/>
        <v>0.8972670000000047</v>
      </c>
      <c r="J32" s="161">
        <f t="shared" si="4"/>
        <v>0.49215976799999872</v>
      </c>
      <c r="K32" s="161">
        <f t="shared" si="4"/>
        <v>1.5866211905600025</v>
      </c>
      <c r="L32" s="161">
        <f t="shared" si="4"/>
        <v>1.5582014778704014</v>
      </c>
      <c r="M32" s="161">
        <f t="shared" si="4"/>
        <v>2.2604031452269187</v>
      </c>
      <c r="N32" s="161">
        <f t="shared" si="4"/>
        <v>3.2532416816633614</v>
      </c>
      <c r="O32" s="161">
        <f t="shared" si="4"/>
        <v>1.6653195737008808</v>
      </c>
      <c r="P32" s="161">
        <f t="shared" si="4"/>
        <v>3.6876021550887899</v>
      </c>
      <c r="Q32" s="161">
        <f t="shared" si="4"/>
        <v>3.6610982925236009</v>
      </c>
      <c r="R32" s="161">
        <f t="shared" si="4"/>
        <v>5.4217907819004889</v>
      </c>
      <c r="S32" s="161">
        <f t="shared" si="4"/>
        <v>4.6961464469913334</v>
      </c>
      <c r="T32" s="161">
        <f t="shared" si="4"/>
        <v>7.2641248818499342</v>
      </c>
      <c r="U32" s="161">
        <f t="shared" si="4"/>
        <v>7.8911971212779974</v>
      </c>
      <c r="V32" s="161">
        <f t="shared" si="4"/>
        <v>7.4368940800483916</v>
      </c>
      <c r="W32" s="161">
        <f t="shared" si="4"/>
        <v>9.7225840210457797</v>
      </c>
      <c r="X32" s="161">
        <f t="shared" si="4"/>
        <v>8.7033261818652026</v>
      </c>
      <c r="Y32" s="161">
        <f t="shared" si="4"/>
        <v>10.020238409874855</v>
      </c>
      <c r="Z32" s="161">
        <f t="shared" si="4"/>
        <v>11.960325074758318</v>
      </c>
      <c r="AA32" s="161">
        <f t="shared" si="4"/>
        <v>9.3958807293857589</v>
      </c>
      <c r="AB32" s="161">
        <f t="shared" si="4"/>
        <v>12.177980606966695</v>
      </c>
      <c r="AC32" s="161">
        <f t="shared" si="4"/>
        <v>12.976899345436314</v>
      </c>
      <c r="AD32" s="161">
        <f t="shared" si="4"/>
        <v>14.517598174336719</v>
      </c>
      <c r="AE32" s="161">
        <f t="shared" si="4"/>
        <v>13.810335529041065</v>
      </c>
      <c r="AF32" s="161">
        <f t="shared" si="4"/>
        <v>18.748685126629415</v>
      </c>
      <c r="AG32" s="161">
        <f t="shared" si="4"/>
        <v>17.812868626190795</v>
      </c>
      <c r="AH32" s="161">
        <f t="shared" si="4"/>
        <v>17.932105636599037</v>
      </c>
      <c r="AI32" s="161">
        <f t="shared" si="4"/>
        <v>21.899394786088834</v>
      </c>
      <c r="AJ32" s="161">
        <f t="shared" si="4"/>
        <v>19.869758087240996</v>
      </c>
      <c r="AK32" s="161">
        <f t="shared" si="4"/>
        <v>22.460293741570695</v>
      </c>
      <c r="AL32" s="161">
        <f t="shared" si="4"/>
        <v>22.843342935152116</v>
      </c>
      <c r="AM32" s="161">
        <f t="shared" si="4"/>
        <v>19.396597091004672</v>
      </c>
      <c r="AN32" s="161">
        <f t="shared" si="4"/>
        <v>22.530447905248487</v>
      </c>
    </row>
    <row r="33" spans="1:40" ht="15.75" thickTop="1" x14ac:dyDescent="0.25"/>
    <row r="34" spans="1:40" x14ac:dyDescent="0.25">
      <c r="A34" t="s">
        <v>125</v>
      </c>
      <c r="E34" s="166" t="e">
        <f>E32/E10</f>
        <v>#DIV/0!</v>
      </c>
      <c r="F34" s="166" t="e">
        <f t="shared" ref="F34:AN34" si="5">F32/F10</f>
        <v>#DIV/0!</v>
      </c>
      <c r="G34" s="166" t="e">
        <f t="shared" si="5"/>
        <v>#DIV/0!</v>
      </c>
      <c r="H34" s="166">
        <f t="shared" si="5"/>
        <v>4.7806329279457471E-3</v>
      </c>
      <c r="I34" s="166">
        <f t="shared" si="5"/>
        <v>2.7924057960189857E-2</v>
      </c>
      <c r="J34" s="166">
        <f t="shared" si="5"/>
        <v>1.5726576618168828E-2</v>
      </c>
      <c r="K34" s="166">
        <f t="shared" si="5"/>
        <v>4.7326641647244705E-2</v>
      </c>
      <c r="L34" s="166">
        <f t="shared" si="5"/>
        <v>4.6553117354012574E-2</v>
      </c>
      <c r="M34" s="166">
        <f t="shared" si="5"/>
        <v>6.4796337033989543E-2</v>
      </c>
      <c r="N34" s="166">
        <f t="shared" si="5"/>
        <v>8.8106872925824364E-2</v>
      </c>
      <c r="O34" s="166">
        <f t="shared" si="5"/>
        <v>4.9433209370851494E-2</v>
      </c>
      <c r="P34" s="166">
        <f t="shared" si="5"/>
        <v>9.7592377638301003E-2</v>
      </c>
      <c r="Q34" s="166">
        <f t="shared" si="5"/>
        <v>9.7017328210478718E-2</v>
      </c>
      <c r="R34" s="166">
        <f t="shared" si="5"/>
        <v>0.13116765918152998</v>
      </c>
      <c r="S34" s="166">
        <f t="shared" si="5"/>
        <v>0.11787240136209802</v>
      </c>
      <c r="T34" s="166">
        <f t="shared" si="5"/>
        <v>0.16118456935490402</v>
      </c>
      <c r="U34" s="166">
        <f t="shared" si="5"/>
        <v>0.1702800160995025</v>
      </c>
      <c r="V34" s="166">
        <f t="shared" si="5"/>
        <v>0.16376884482335305</v>
      </c>
      <c r="W34" s="166">
        <f t="shared" si="5"/>
        <v>0.19413561991088388</v>
      </c>
      <c r="X34" s="166">
        <f t="shared" si="5"/>
        <v>0.18137123075048223</v>
      </c>
      <c r="Y34" s="166">
        <f t="shared" si="5"/>
        <v>0.19780119278398384</v>
      </c>
      <c r="Z34" s="166">
        <f t="shared" si="5"/>
        <v>0.21891487250542663</v>
      </c>
      <c r="AA34" s="166">
        <f t="shared" si="5"/>
        <v>0.19016967213271191</v>
      </c>
      <c r="AB34" s="166">
        <f t="shared" si="5"/>
        <v>0.22123206036759788</v>
      </c>
      <c r="AC34" s="166">
        <f t="shared" si="5"/>
        <v>0.22889020471018284</v>
      </c>
      <c r="AD34" s="166">
        <f t="shared" si="5"/>
        <v>0.24267974627774661</v>
      </c>
      <c r="AE34" s="166">
        <f t="shared" si="5"/>
        <v>0.23658611486635764</v>
      </c>
      <c r="AF34" s="166">
        <f t="shared" si="5"/>
        <v>0.27392217595356</v>
      </c>
      <c r="AG34" s="166">
        <f t="shared" si="5"/>
        <v>0.26784992622657477</v>
      </c>
      <c r="AH34" s="166">
        <f t="shared" si="5"/>
        <v>0.26862961715267419</v>
      </c>
      <c r="AI34" s="166">
        <f t="shared" si="5"/>
        <v>0.29254505327097524</v>
      </c>
      <c r="AJ34" s="166">
        <f t="shared" si="5"/>
        <v>0.28105871019345102</v>
      </c>
      <c r="AK34" s="166">
        <f t="shared" si="5"/>
        <v>0.29562673924483995</v>
      </c>
      <c r="AL34" s="166">
        <f t="shared" si="5"/>
        <v>0.2976312220481328</v>
      </c>
      <c r="AM34" s="166">
        <f t="shared" si="5"/>
        <v>0.27812569295994477</v>
      </c>
      <c r="AN34" s="166">
        <f t="shared" si="5"/>
        <v>0.29612785535788311</v>
      </c>
    </row>
    <row r="36" spans="1:40" s="163" customFormat="1" x14ac:dyDescent="0.25">
      <c r="A36" s="151" t="s">
        <v>139</v>
      </c>
      <c r="B36" s="162"/>
      <c r="C36" s="162"/>
      <c r="D36" s="16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8" sqref="E8"/>
    </sheetView>
  </sheetViews>
  <sheetFormatPr defaultRowHeight="15" x14ac:dyDescent="0.25"/>
  <cols>
    <col min="1" max="1" width="29.7109375" bestFit="1" customWidth="1"/>
    <col min="3" max="3" width="14.28515625" bestFit="1" customWidth="1"/>
  </cols>
  <sheetData>
    <row r="1" spans="1:3" x14ac:dyDescent="0.25">
      <c r="A1" s="89" t="s">
        <v>105</v>
      </c>
      <c r="B1" s="88" t="str">
        <f>convertor!C1</f>
        <v xml:space="preserve">lakhs </v>
      </c>
    </row>
    <row r="3" spans="1:3" x14ac:dyDescent="0.25">
      <c r="C3" s="91">
        <v>0</v>
      </c>
    </row>
    <row r="4" spans="1:3" x14ac:dyDescent="0.25">
      <c r="C4" s="90">
        <f>Assumptions!G3</f>
        <v>43922</v>
      </c>
    </row>
    <row r="5" spans="1:3" x14ac:dyDescent="0.25">
      <c r="A5" s="97" t="s">
        <v>126</v>
      </c>
    </row>
    <row r="6" spans="1:3" x14ac:dyDescent="0.25">
      <c r="A6" t="str">
        <f>Assumptions!A79</f>
        <v>Kitchen Equipments and cutlery</v>
      </c>
      <c r="C6" s="86">
        <f>Assumptions!$G$79*Assumptions!$G$70/Den</f>
        <v>28</v>
      </c>
    </row>
    <row r="7" spans="1:3" x14ac:dyDescent="0.25">
      <c r="A7" t="str">
        <f>Assumptions!A80</f>
        <v>Refrigeration Equipments</v>
      </c>
      <c r="C7" s="86">
        <f>Assumptions!$G$80*Assumptions!$G$70/Den</f>
        <v>40</v>
      </c>
    </row>
    <row r="8" spans="1:3" x14ac:dyDescent="0.25">
      <c r="A8" t="str">
        <f>Assumptions!A81</f>
        <v>Furniture &amp; Fixtures</v>
      </c>
      <c r="C8" s="86">
        <f>Assumptions!$G$81*Assumptions!$G$69/Den</f>
        <v>45</v>
      </c>
    </row>
    <row r="9" spans="1:3" x14ac:dyDescent="0.25">
      <c r="A9" t="str">
        <f>Assumptions!A82</f>
        <v>Restaurants Décor</v>
      </c>
      <c r="C9" s="86">
        <f>Assumptions!$G$82*Assumptions!$G$69/Den</f>
        <v>60</v>
      </c>
    </row>
    <row r="10" spans="1:3" ht="15.75" thickBot="1" x14ac:dyDescent="0.3">
      <c r="A10" s="160" t="s">
        <v>54</v>
      </c>
      <c r="B10" s="164"/>
      <c r="C10" s="161">
        <f>SUM(C6:C9)</f>
        <v>173</v>
      </c>
    </row>
    <row r="11" spans="1:3" ht="15.75" thickTop="1" x14ac:dyDescent="0.25">
      <c r="A11" t="s">
        <v>127</v>
      </c>
      <c r="C11" s="86">
        <f>Assumptions!$G$83/Den</f>
        <v>10</v>
      </c>
    </row>
    <row r="12" spans="1:3" x14ac:dyDescent="0.25">
      <c r="A12" t="s">
        <v>128</v>
      </c>
      <c r="C12" s="86">
        <f>Assumptions!$G$87/Den</f>
        <v>24</v>
      </c>
    </row>
    <row r="13" spans="1:3" x14ac:dyDescent="0.25">
      <c r="C13" s="86"/>
    </row>
    <row r="14" spans="1:3" x14ac:dyDescent="0.25">
      <c r="A14" s="9" t="s">
        <v>129</v>
      </c>
      <c r="C14" s="148">
        <f>C10+C11+C12</f>
        <v>207</v>
      </c>
    </row>
    <row r="15" spans="1:3" x14ac:dyDescent="0.25">
      <c r="C15" s="86"/>
    </row>
    <row r="16" spans="1:3" x14ac:dyDescent="0.25">
      <c r="A16" s="9" t="s">
        <v>130</v>
      </c>
      <c r="C16" s="86"/>
    </row>
    <row r="17" spans="1:3" x14ac:dyDescent="0.25">
      <c r="A17" t="s">
        <v>131</v>
      </c>
      <c r="B17" s="168">
        <v>1</v>
      </c>
      <c r="C17" s="86">
        <f>B17*C14</f>
        <v>207</v>
      </c>
    </row>
    <row r="18" spans="1:3" x14ac:dyDescent="0.25">
      <c r="A18" s="10" t="s">
        <v>132</v>
      </c>
      <c r="B18" s="168">
        <v>0</v>
      </c>
      <c r="C18" s="86">
        <f>B18*C14</f>
        <v>0</v>
      </c>
    </row>
    <row r="19" spans="1:3" x14ac:dyDescent="0.25">
      <c r="C19" s="86"/>
    </row>
    <row r="20" spans="1:3" x14ac:dyDescent="0.25">
      <c r="A20" s="9" t="s">
        <v>133</v>
      </c>
      <c r="C20" s="148">
        <f>C17+C18</f>
        <v>207</v>
      </c>
    </row>
    <row r="22" spans="1:3" s="162" customFormat="1" x14ac:dyDescent="0.25">
      <c r="A22" s="151" t="s">
        <v>140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J8" sqref="J8"/>
    </sheetView>
  </sheetViews>
  <sheetFormatPr defaultRowHeight="15" x14ac:dyDescent="0.25"/>
  <cols>
    <col min="1" max="1" width="29.7109375" bestFit="1" customWidth="1"/>
    <col min="5" max="5" width="17" style="93" bestFit="1" customWidth="1"/>
    <col min="6" max="6" width="19.7109375" style="93" bestFit="1" customWidth="1"/>
    <col min="7" max="7" width="22.42578125" style="93" bestFit="1" customWidth="1"/>
    <col min="8" max="16384" width="9.140625" style="93"/>
  </cols>
  <sheetData>
    <row r="1" spans="1:7" customFormat="1" x14ac:dyDescent="0.25">
      <c r="A1" s="89" t="s">
        <v>105</v>
      </c>
      <c r="B1" s="88" t="str">
        <f>convertor!C1</f>
        <v xml:space="preserve">lakhs </v>
      </c>
    </row>
    <row r="2" spans="1:7" customFormat="1" x14ac:dyDescent="0.25">
      <c r="A2" s="89"/>
      <c r="B2" s="94"/>
      <c r="E2" s="92">
        <v>1</v>
      </c>
      <c r="F2" s="92">
        <v>2</v>
      </c>
      <c r="G2" s="92">
        <v>3</v>
      </c>
    </row>
    <row r="3" spans="1:7" customFormat="1" x14ac:dyDescent="0.25">
      <c r="E3" s="90">
        <f>EOMONTH(Assumptions!G3,11)</f>
        <v>44286</v>
      </c>
      <c r="F3" s="90">
        <f>EOMONTH(E3,12)</f>
        <v>44651</v>
      </c>
      <c r="G3" s="90">
        <f>EOMONTH(F3,12)</f>
        <v>45016</v>
      </c>
    </row>
    <row r="4" spans="1:7" x14ac:dyDescent="0.25">
      <c r="A4" s="97" t="str">
        <f>'capital structure'!A6</f>
        <v>Kitchen Equipments and cutlery</v>
      </c>
      <c r="E4" s="86"/>
      <c r="F4" s="86"/>
      <c r="G4" s="86"/>
    </row>
    <row r="5" spans="1:7" x14ac:dyDescent="0.25">
      <c r="A5" t="s">
        <v>134</v>
      </c>
      <c r="E5" s="86">
        <v>0</v>
      </c>
      <c r="F5" s="86">
        <f>E9</f>
        <v>-1118.6000000000001</v>
      </c>
      <c r="G5" s="86">
        <f>F9</f>
        <v>60124.750000000007</v>
      </c>
    </row>
    <row r="6" spans="1:7" x14ac:dyDescent="0.25">
      <c r="A6" t="s">
        <v>135</v>
      </c>
      <c r="E6" s="86">
        <f>'capital structure'!C6</f>
        <v>28</v>
      </c>
      <c r="F6" s="86">
        <v>0</v>
      </c>
      <c r="G6" s="86">
        <v>0</v>
      </c>
    </row>
    <row r="7" spans="1:7" x14ac:dyDescent="0.25">
      <c r="A7" t="s">
        <v>136</v>
      </c>
      <c r="E7" s="86">
        <v>0</v>
      </c>
      <c r="F7" s="86">
        <v>0</v>
      </c>
      <c r="G7" s="86">
        <v>0</v>
      </c>
    </row>
    <row r="8" spans="1:7" x14ac:dyDescent="0.25">
      <c r="A8" t="s">
        <v>137</v>
      </c>
      <c r="E8" s="86">
        <f>(E5+E6-E7)*Assumptions!$G$96*MIN(365,'fixed assest schedule'!E$3-Assumptions!$G$5)</f>
        <v>1146.6000000000001</v>
      </c>
      <c r="F8" s="86">
        <f>(F5+F6-F7)*Assumptions!$G$96*MIN(365,'fixed assest schedule'!F$3-Assumptions!$G$5)</f>
        <v>-61243.350000000006</v>
      </c>
      <c r="G8" s="86">
        <f>(G5+G6-G7)*Assumptions!$G$96*MIN(365,'fixed assest schedule'!G$3-Assumptions!$G$5)</f>
        <v>3291830.0625000005</v>
      </c>
    </row>
    <row r="9" spans="1:7" ht="15.75" thickBot="1" x14ac:dyDescent="0.3">
      <c r="A9" s="160" t="s">
        <v>138</v>
      </c>
      <c r="B9" s="160"/>
      <c r="C9" s="160"/>
      <c r="D9" s="160"/>
      <c r="E9" s="161">
        <f>E5+E6-E7-E8</f>
        <v>-1118.6000000000001</v>
      </c>
      <c r="F9" s="161">
        <f t="shared" ref="F9:G9" si="0">F5+F6-F7-F8</f>
        <v>60124.750000000007</v>
      </c>
      <c r="G9" s="161">
        <f t="shared" si="0"/>
        <v>-3231705.3125000005</v>
      </c>
    </row>
    <row r="10" spans="1:7" ht="15.75" thickTop="1" x14ac:dyDescent="0.25">
      <c r="E10" s="86"/>
      <c r="F10" s="86"/>
      <c r="G10" s="86"/>
    </row>
    <row r="11" spans="1:7" x14ac:dyDescent="0.25">
      <c r="A11" s="97" t="str">
        <f>'capital structure'!A7</f>
        <v>Refrigeration Equipments</v>
      </c>
      <c r="E11" s="86"/>
      <c r="F11" s="86"/>
      <c r="G11" s="86"/>
    </row>
    <row r="12" spans="1:7" x14ac:dyDescent="0.25">
      <c r="A12" t="s">
        <v>134</v>
      </c>
      <c r="E12" s="86">
        <v>0</v>
      </c>
      <c r="F12" s="86">
        <f>E16</f>
        <v>-1598</v>
      </c>
      <c r="G12" s="86">
        <f>F16</f>
        <v>85892.5</v>
      </c>
    </row>
    <row r="13" spans="1:7" x14ac:dyDescent="0.25">
      <c r="A13" t="s">
        <v>135</v>
      </c>
      <c r="E13" s="86">
        <f>'capital structure'!C7</f>
        <v>40</v>
      </c>
      <c r="F13" s="86">
        <v>0</v>
      </c>
      <c r="G13" s="86">
        <v>0</v>
      </c>
    </row>
    <row r="14" spans="1:7" x14ac:dyDescent="0.25">
      <c r="A14" t="s">
        <v>136</v>
      </c>
      <c r="E14" s="86">
        <v>0</v>
      </c>
      <c r="F14" s="86">
        <v>0</v>
      </c>
      <c r="G14" s="86">
        <v>0</v>
      </c>
    </row>
    <row r="15" spans="1:7" x14ac:dyDescent="0.25">
      <c r="A15" t="s">
        <v>137</v>
      </c>
      <c r="E15" s="86">
        <f>(E12+E13-E14)*Assumptions!$G$96*MIN(365,'fixed assest schedule'!E$3-Assumptions!$G$5)</f>
        <v>1638</v>
      </c>
      <c r="F15" s="86">
        <f>(F12+F13-F14)*Assumptions!$G$96*MIN(365,'fixed assest schedule'!F$3-Assumptions!$G$5)</f>
        <v>-87490.5</v>
      </c>
      <c r="G15" s="86">
        <f>(G12+G13-G14)*Assumptions!$G$96*MIN(365,'fixed assest schedule'!G$3-Assumptions!$G$5)</f>
        <v>4702614.375</v>
      </c>
    </row>
    <row r="16" spans="1:7" ht="15.75" thickBot="1" x14ac:dyDescent="0.3">
      <c r="A16" s="160" t="s">
        <v>138</v>
      </c>
      <c r="B16" s="160"/>
      <c r="C16" s="160"/>
      <c r="D16" s="160"/>
      <c r="E16" s="161">
        <f>E12+E13-E14-E15</f>
        <v>-1598</v>
      </c>
      <c r="F16" s="161">
        <f t="shared" ref="F16" si="1">F12+F13-F14-F15</f>
        <v>85892.5</v>
      </c>
      <c r="G16" s="161">
        <f t="shared" ref="G16" si="2">G12+G13-G14-G15</f>
        <v>-4616721.875</v>
      </c>
    </row>
    <row r="17" spans="1:7" ht="15.75" thickTop="1" x14ac:dyDescent="0.25">
      <c r="E17" s="86"/>
      <c r="F17" s="86"/>
      <c r="G17" s="86"/>
    </row>
    <row r="18" spans="1:7" x14ac:dyDescent="0.25">
      <c r="A18" s="97" t="str">
        <f>'capital structure'!A8</f>
        <v>Furniture &amp; Fixtures</v>
      </c>
      <c r="E18" s="86"/>
      <c r="F18" s="86"/>
      <c r="G18" s="86"/>
    </row>
    <row r="19" spans="1:7" x14ac:dyDescent="0.25">
      <c r="A19" t="s">
        <v>134</v>
      </c>
      <c r="E19" s="86">
        <v>0</v>
      </c>
      <c r="F19" s="86">
        <f>E23</f>
        <v>-1183.5</v>
      </c>
      <c r="G19" s="86">
        <f>F23</f>
        <v>42014.25</v>
      </c>
    </row>
    <row r="20" spans="1:7" x14ac:dyDescent="0.25">
      <c r="A20" t="s">
        <v>135</v>
      </c>
      <c r="E20" s="86">
        <f>'capital structure'!C8</f>
        <v>45</v>
      </c>
      <c r="F20" s="86">
        <v>0</v>
      </c>
      <c r="G20" s="86">
        <v>0</v>
      </c>
    </row>
    <row r="21" spans="1:7" x14ac:dyDescent="0.25">
      <c r="A21" t="s">
        <v>136</v>
      </c>
      <c r="E21" s="86">
        <v>0</v>
      </c>
      <c r="F21" s="86">
        <v>0</v>
      </c>
      <c r="G21" s="86">
        <v>0</v>
      </c>
    </row>
    <row r="22" spans="1:7" x14ac:dyDescent="0.25">
      <c r="A22" t="s">
        <v>137</v>
      </c>
      <c r="E22" s="86">
        <f>(E19+E20-E21)*Assumptions!$G$97*MIN(365,'fixed assest schedule'!E$3-Assumptions!$G$5)</f>
        <v>1228.5</v>
      </c>
      <c r="F22" s="86">
        <f>(F19+F20-F21)*Assumptions!$G$97*MIN(365,'fixed assest schedule'!F$3-Assumptions!$G$5)</f>
        <v>-43197.75</v>
      </c>
      <c r="G22" s="86">
        <f>(G19+G20-G21)*Assumptions!$G$97*MIN(365,'fixed assest schedule'!G$3-Assumptions!$G$5)</f>
        <v>1533520.125</v>
      </c>
    </row>
    <row r="23" spans="1:7" ht="15.75" thickBot="1" x14ac:dyDescent="0.3">
      <c r="A23" s="160" t="s">
        <v>138</v>
      </c>
      <c r="B23" s="160"/>
      <c r="C23" s="160"/>
      <c r="D23" s="160"/>
      <c r="E23" s="161">
        <f>E19+E20-E21-E22</f>
        <v>-1183.5</v>
      </c>
      <c r="F23" s="161">
        <f t="shared" ref="F23" si="3">F19+F20-F21-F22</f>
        <v>42014.25</v>
      </c>
      <c r="G23" s="161">
        <f t="shared" ref="G23" si="4">G19+G20-G21-G22</f>
        <v>-1491505.875</v>
      </c>
    </row>
    <row r="24" spans="1:7" ht="15.75" thickTop="1" x14ac:dyDescent="0.25">
      <c r="E24" s="86"/>
      <c r="F24" s="86"/>
      <c r="G24" s="86"/>
    </row>
    <row r="25" spans="1:7" x14ac:dyDescent="0.25">
      <c r="A25" s="97" t="str">
        <f>'capital structure'!A9</f>
        <v>Restaurants Décor</v>
      </c>
      <c r="E25" s="86"/>
      <c r="F25" s="86"/>
      <c r="G25" s="86"/>
    </row>
    <row r="26" spans="1:7" x14ac:dyDescent="0.25">
      <c r="A26" t="s">
        <v>134</v>
      </c>
      <c r="E26" s="86">
        <v>0</v>
      </c>
      <c r="F26" s="86">
        <f>E30</f>
        <v>-1578</v>
      </c>
      <c r="G26" s="86">
        <f>F30</f>
        <v>56019.000000000007</v>
      </c>
    </row>
    <row r="27" spans="1:7" x14ac:dyDescent="0.25">
      <c r="A27" t="s">
        <v>135</v>
      </c>
      <c r="E27" s="86">
        <f>'capital structure'!C9</f>
        <v>60</v>
      </c>
      <c r="F27" s="86">
        <v>0</v>
      </c>
      <c r="G27" s="86">
        <v>0</v>
      </c>
    </row>
    <row r="28" spans="1:7" x14ac:dyDescent="0.25">
      <c r="A28" t="s">
        <v>136</v>
      </c>
      <c r="E28" s="86">
        <v>0</v>
      </c>
      <c r="F28" s="86">
        <v>0</v>
      </c>
      <c r="G28" s="86">
        <v>0</v>
      </c>
    </row>
    <row r="29" spans="1:7" x14ac:dyDescent="0.25">
      <c r="A29" t="s">
        <v>137</v>
      </c>
      <c r="E29" s="86">
        <f>(E26+E27-E28)*Assumptions!$G$97*MIN(365,'fixed assest schedule'!E$3-Assumptions!$G$5)</f>
        <v>1638</v>
      </c>
      <c r="F29" s="86">
        <f>(F26+F27-F28)*Assumptions!$G$97*MIN(365,'fixed assest schedule'!F$3-Assumptions!$G$5)</f>
        <v>-57597.000000000007</v>
      </c>
      <c r="G29" s="86">
        <f>(G26+G27-G28)*Assumptions!$G$97*MIN(365,'fixed assest schedule'!G$3-Assumptions!$G$5)</f>
        <v>2044693.5000000005</v>
      </c>
    </row>
    <row r="30" spans="1:7" ht="15.75" thickBot="1" x14ac:dyDescent="0.3">
      <c r="A30" s="160" t="s">
        <v>138</v>
      </c>
      <c r="B30" s="160"/>
      <c r="C30" s="160"/>
      <c r="D30" s="160"/>
      <c r="E30" s="161">
        <f>E26+E27-E28-E29</f>
        <v>-1578</v>
      </c>
      <c r="F30" s="161">
        <f t="shared" ref="F30" si="5">F26+F27-F28-F29</f>
        <v>56019.000000000007</v>
      </c>
      <c r="G30" s="161">
        <f t="shared" ref="G30" si="6">G26+G27-G28-G29</f>
        <v>-1988674.5000000005</v>
      </c>
    </row>
    <row r="31" spans="1:7" ht="15.75" thickTop="1" x14ac:dyDescent="0.25"/>
    <row r="32" spans="1:7" s="169" customFormat="1" x14ac:dyDescent="0.25">
      <c r="A32" s="151" t="s">
        <v>140</v>
      </c>
      <c r="B32" s="162"/>
      <c r="C32" s="162"/>
      <c r="D32" s="1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3" zoomScaleNormal="100" workbookViewId="0">
      <selection activeCell="I15" sqref="I15"/>
    </sheetView>
  </sheetViews>
  <sheetFormatPr defaultRowHeight="15" x14ac:dyDescent="0.25"/>
  <cols>
    <col min="1" max="1" width="25" bestFit="1" customWidth="1"/>
    <col min="5" max="7" width="21.7109375" style="93" bestFit="1" customWidth="1"/>
    <col min="8" max="16384" width="9.140625" style="93"/>
  </cols>
  <sheetData>
    <row r="1" spans="1:7" customFormat="1" x14ac:dyDescent="0.25">
      <c r="A1" s="89" t="s">
        <v>105</v>
      </c>
      <c r="B1" s="88" t="str">
        <f>convertor!C1</f>
        <v xml:space="preserve">lakhs </v>
      </c>
    </row>
    <row r="2" spans="1:7" customFormat="1" x14ac:dyDescent="0.25">
      <c r="A2" s="89"/>
      <c r="B2" s="87"/>
      <c r="E2" s="92">
        <v>1</v>
      </c>
      <c r="F2" s="92">
        <v>2</v>
      </c>
      <c r="G2" s="92">
        <v>3</v>
      </c>
    </row>
    <row r="3" spans="1:7" customFormat="1" x14ac:dyDescent="0.25">
      <c r="E3" s="90">
        <f>EOMONTH(Assumptions!G3,11)</f>
        <v>44286</v>
      </c>
      <c r="F3" s="90">
        <f>EOMONTH(E3,12)</f>
        <v>44651</v>
      </c>
      <c r="G3" s="90">
        <f>EOMONTH(F3,12)</f>
        <v>45016</v>
      </c>
    </row>
    <row r="4" spans="1:7" x14ac:dyDescent="0.25">
      <c r="E4" s="86"/>
      <c r="F4" s="86"/>
      <c r="G4" s="86"/>
    </row>
    <row r="5" spans="1:7" x14ac:dyDescent="0.25">
      <c r="A5" s="97" t="s">
        <v>141</v>
      </c>
      <c r="E5" s="86"/>
      <c r="F5" s="86"/>
      <c r="G5" s="86"/>
    </row>
    <row r="6" spans="1:7" x14ac:dyDescent="0.25">
      <c r="A6" t="s">
        <v>64</v>
      </c>
      <c r="E6" s="86"/>
      <c r="F6" s="86"/>
      <c r="G6" s="86"/>
    </row>
    <row r="7" spans="1:7" x14ac:dyDescent="0.25">
      <c r="A7" s="170" t="s">
        <v>142</v>
      </c>
      <c r="E7" s="86">
        <f>SUMIF('monthly p&amp;l'!$E$4:$AN$4,'working capital'!E$3,'monthly p&amp;l'!$E13:$AN13)*Assumptions!$G89/30</f>
        <v>2.9808597110093547</v>
      </c>
      <c r="F7" s="86">
        <f>SUMIF('monthly p&amp;l'!$E$4:$AN$4,'working capital'!F$3,'monthly p&amp;l'!$E13:$AN13)*Assumptions!$G89/30</f>
        <v>4.4046527102377295</v>
      </c>
      <c r="G7" s="86">
        <f>SUMIF('monthly p&amp;l'!$E$4:$AN$4,'working capital'!G$3,'monthly p&amp;l'!$E13:$AN13)*Assumptions!$G89/30</f>
        <v>6.1181931313347633</v>
      </c>
    </row>
    <row r="8" spans="1:7" x14ac:dyDescent="0.25">
      <c r="A8" s="170" t="s">
        <v>143</v>
      </c>
      <c r="E8" s="86">
        <f>SUMIF('monthly p&amp;l'!$E$4:$AN$4,'working capital'!E$3,'monthly p&amp;l'!$E14:$AN14)*Assumptions!$G90/30</f>
        <v>1.4072406419030861</v>
      </c>
      <c r="F8" s="86">
        <f>SUMIF('monthly p&amp;l'!$E$4:$AN$4,'working capital'!F$3,'monthly p&amp;l'!$E14:$AN14)*Assumptions!$G90/30</f>
        <v>2.0568284156931536</v>
      </c>
      <c r="G8" s="86">
        <f>SUMIF('monthly p&amp;l'!$E$4:$AN$4,'working capital'!G$3,'monthly p&amp;l'!$E14:$AN14)*Assumptions!$G90/30</f>
        <v>2.8463214085059048</v>
      </c>
    </row>
    <row r="9" spans="1:7" x14ac:dyDescent="0.25">
      <c r="A9" s="170" t="s">
        <v>144</v>
      </c>
      <c r="E9" s="86">
        <f>SUMIF('monthly p&amp;l'!$E$4:$AN$4,'working capital'!E$3,'monthly p&amp;l'!$E15:$AN15)*Assumptions!$G91/30</f>
        <v>1.1116407358091758</v>
      </c>
      <c r="F9" s="86">
        <f>SUMIF('monthly p&amp;l'!$E$4:$AN$4,'working capital'!F$3,'monthly p&amp;l'!$E15:$AN15)*Assumptions!$G91/30</f>
        <v>1.6088659732051651</v>
      </c>
      <c r="G9" s="86">
        <f>SUMIF('monthly p&amp;l'!$E$4:$AN$4,'working capital'!G$3,'monthly p&amp;l'!$E15:$AN15)*Assumptions!$G91/30</f>
        <v>2.2185677705720419</v>
      </c>
    </row>
    <row r="10" spans="1:7" ht="15.75" thickBot="1" x14ac:dyDescent="0.3">
      <c r="A10" s="171" t="s">
        <v>145</v>
      </c>
      <c r="B10" s="160"/>
      <c r="C10" s="160"/>
      <c r="D10" s="160"/>
      <c r="E10" s="161">
        <f>SUM(E7:E9)</f>
        <v>5.499741088721616</v>
      </c>
      <c r="F10" s="161">
        <f t="shared" ref="F10:G10" si="0">SUM(F7:F9)</f>
        <v>8.0703470991360469</v>
      </c>
      <c r="G10" s="161">
        <f t="shared" si="0"/>
        <v>11.18308231041271</v>
      </c>
    </row>
    <row r="11" spans="1:7" ht="15.75" thickTop="1" x14ac:dyDescent="0.25">
      <c r="E11" s="86"/>
      <c r="F11" s="86"/>
      <c r="G11" s="86"/>
    </row>
    <row r="12" spans="1:7" x14ac:dyDescent="0.25">
      <c r="A12" s="172" t="s">
        <v>146</v>
      </c>
      <c r="E12" s="86"/>
      <c r="F12" s="86"/>
      <c r="G12" s="86"/>
    </row>
    <row r="13" spans="1:7" x14ac:dyDescent="0.25">
      <c r="A13" t="s">
        <v>148</v>
      </c>
      <c r="E13" s="86">
        <f>SUMIF('monthly p&amp;l'!$E$4:$AN$4,'working capital'!E$3,'monthly p&amp;l'!$E30:$AN30)*Assumptions!$G$92/30</f>
        <v>11.772972392394877</v>
      </c>
      <c r="F13" s="86">
        <f>SUMIF('monthly p&amp;l'!$E$4:$AN$4,'working capital'!F$3,'monthly p&amp;l'!$E30:$AN30)*Assumptions!$G$92/30</f>
        <v>14.836697583998005</v>
      </c>
      <c r="G13" s="86">
        <f>SUMIF('monthly p&amp;l'!$E$4:$AN$4,'working capital'!G$3,'monthly p&amp;l'!$E30:$AN30)*Assumptions!$G$92/30</f>
        <v>18.570823780756655</v>
      </c>
    </row>
    <row r="14" spans="1:7" x14ac:dyDescent="0.25">
      <c r="A14" t="s">
        <v>147</v>
      </c>
      <c r="E14" s="86"/>
      <c r="F14" s="86"/>
      <c r="G14" s="86"/>
    </row>
    <row r="15" spans="1:7" x14ac:dyDescent="0.25">
      <c r="A15" s="170" t="s">
        <v>142</v>
      </c>
      <c r="E15" s="86">
        <f>SUMIF('monthly p&amp;l'!$E$4:$AN$4,'working capital'!E$3,'monthly p&amp;l'!$E13:$AN13)*Assumptions!$G$92/30</f>
        <v>2.9808597110093547</v>
      </c>
      <c r="F15" s="86">
        <f>SUMIF('monthly p&amp;l'!$E$4:$AN$4,'working capital'!F$3,'monthly p&amp;l'!$E13:$AN13)*Assumptions!$G$92/30</f>
        <v>4.4046527102377295</v>
      </c>
      <c r="G15" s="86">
        <f>SUMIF('monthly p&amp;l'!$E$4:$AN$4,'working capital'!G$3,'monthly p&amp;l'!$E13:$AN13)*Assumptions!$G$92/30</f>
        <v>6.1181931313347633</v>
      </c>
    </row>
    <row r="16" spans="1:7" x14ac:dyDescent="0.25">
      <c r="A16" s="170" t="s">
        <v>143</v>
      </c>
      <c r="E16" s="86">
        <f>SUMIF('monthly p&amp;l'!$E$4:$AN$4,'working capital'!E$3,'monthly p&amp;l'!$E14:$AN14)*Assumptions!$G$92/30</f>
        <v>2.8144812838061721</v>
      </c>
      <c r="F16" s="86">
        <f>SUMIF('monthly p&amp;l'!$E$4:$AN$4,'working capital'!F$3,'monthly p&amp;l'!$E14:$AN14)*Assumptions!$G$92/30</f>
        <v>4.1136568313863071</v>
      </c>
      <c r="G16" s="86">
        <f>SUMIF('monthly p&amp;l'!$E$4:$AN$4,'working capital'!G$3,'monthly p&amp;l'!$E14:$AN14)*Assumptions!$G$92/30</f>
        <v>5.6926428170118095</v>
      </c>
    </row>
    <row r="17" spans="1:7" x14ac:dyDescent="0.25">
      <c r="A17" s="170" t="s">
        <v>144</v>
      </c>
      <c r="E17" s="86">
        <f>SUMIF('monthly p&amp;l'!$E$4:$AN$4,'working capital'!E$3,'monthly p&amp;l'!$E15:$AN15)*Assumptions!$G$92/30</f>
        <v>6.6698444148550546</v>
      </c>
      <c r="F17" s="86">
        <f>SUMIF('monthly p&amp;l'!$E$4:$AN$4,'working capital'!F$3,'monthly p&amp;l'!$E15:$AN15)*Assumptions!$G$92/30</f>
        <v>9.6531958392309907</v>
      </c>
      <c r="G17" s="86">
        <f>SUMIF('monthly p&amp;l'!$E$4:$AN$4,'working capital'!G$3,'monthly p&amp;l'!$E15:$AN15)*Assumptions!$G$92/30</f>
        <v>13.31140662343225</v>
      </c>
    </row>
    <row r="18" spans="1:7" ht="15.75" thickBot="1" x14ac:dyDescent="0.3">
      <c r="A18" s="171" t="s">
        <v>145</v>
      </c>
      <c r="B18" s="160"/>
      <c r="C18" s="160"/>
      <c r="D18" s="160"/>
      <c r="E18" s="161">
        <f>SUM(E13:E17)</f>
        <v>24.238157802065459</v>
      </c>
      <c r="F18" s="161">
        <f t="shared" ref="F18:G18" si="1">SUM(F13:F17)</f>
        <v>33.008202964853034</v>
      </c>
      <c r="G18" s="161">
        <f t="shared" si="1"/>
        <v>43.693066352535475</v>
      </c>
    </row>
    <row r="19" spans="1:7" ht="15.75" thickTop="1" x14ac:dyDescent="0.25">
      <c r="E19" s="86"/>
      <c r="F19" s="86"/>
      <c r="G19" s="86"/>
    </row>
    <row r="20" spans="1:7" ht="15.75" thickBot="1" x14ac:dyDescent="0.3">
      <c r="A20" s="173" t="s">
        <v>149</v>
      </c>
      <c r="B20" s="160"/>
      <c r="C20" s="160"/>
      <c r="D20" s="160"/>
      <c r="E20" s="161">
        <f>E10-E18</f>
        <v>-18.738416713343842</v>
      </c>
      <c r="F20" s="161">
        <f t="shared" ref="F20:G20" si="2">F10-F18</f>
        <v>-24.937855865716987</v>
      </c>
      <c r="G20" s="161">
        <f t="shared" si="2"/>
        <v>-32.509984042122767</v>
      </c>
    </row>
    <row r="21" spans="1:7" ht="15.75" thickTop="1" x14ac:dyDescent="0.25">
      <c r="A21" t="s">
        <v>150</v>
      </c>
      <c r="E21" s="86">
        <f>E20-D20</f>
        <v>-18.738416713343842</v>
      </c>
      <c r="F21" s="86">
        <f t="shared" ref="F21:G21" si="3">F20-E20</f>
        <v>-6.1994391523731451</v>
      </c>
      <c r="G21" s="86">
        <f t="shared" si="3"/>
        <v>-7.57212817640578</v>
      </c>
    </row>
    <row r="23" spans="1:7" s="174" customFormat="1" x14ac:dyDescent="0.25">
      <c r="A23" s="151" t="s">
        <v>139</v>
      </c>
      <c r="B23" s="151"/>
      <c r="C23" s="151"/>
      <c r="D23" s="1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35" workbookViewId="0">
      <selection activeCell="I44" sqref="I44"/>
    </sheetView>
  </sheetViews>
  <sheetFormatPr defaultRowHeight="15" x14ac:dyDescent="0.25"/>
  <cols>
    <col min="1" max="1" width="43" bestFit="1" customWidth="1"/>
    <col min="4" max="4" width="9.5703125" bestFit="1" customWidth="1"/>
    <col min="5" max="5" width="17" style="93" bestFit="1" customWidth="1"/>
    <col min="6" max="6" width="19.7109375" style="93" bestFit="1" customWidth="1"/>
    <col min="7" max="7" width="21.7109375" style="93" bestFit="1" customWidth="1"/>
    <col min="8" max="16384" width="9.140625" style="93"/>
  </cols>
  <sheetData>
    <row r="1" spans="1:7" customFormat="1" x14ac:dyDescent="0.25">
      <c r="A1" s="89" t="s">
        <v>105</v>
      </c>
      <c r="B1" s="88" t="str">
        <f>convertor!C1</f>
        <v xml:space="preserve">lakhs </v>
      </c>
    </row>
    <row r="2" spans="1:7" customFormat="1" x14ac:dyDescent="0.25">
      <c r="A2" s="89"/>
      <c r="B2" s="87"/>
      <c r="E2" s="92">
        <v>1</v>
      </c>
      <c r="F2" s="92">
        <v>2</v>
      </c>
      <c r="G2" s="92">
        <v>3</v>
      </c>
    </row>
    <row r="3" spans="1:7" customFormat="1" x14ac:dyDescent="0.25">
      <c r="D3" s="175">
        <f>Assumptions!G3</f>
        <v>43922</v>
      </c>
      <c r="E3" s="90">
        <f>EOMONTH(Assumptions!G3,11)</f>
        <v>44286</v>
      </c>
      <c r="F3" s="90">
        <f>EOMONTH(E3,12)</f>
        <v>44651</v>
      </c>
      <c r="G3" s="90">
        <f>EOMONTH(F3,12)</f>
        <v>45016</v>
      </c>
    </row>
    <row r="4" spans="1:7" x14ac:dyDescent="0.25">
      <c r="E4" s="86"/>
      <c r="F4" s="86"/>
      <c r="G4" s="86"/>
    </row>
    <row r="5" spans="1:7" x14ac:dyDescent="0.25">
      <c r="E5" s="86"/>
      <c r="F5" s="86"/>
      <c r="G5" s="86"/>
    </row>
    <row r="6" spans="1:7" x14ac:dyDescent="0.25">
      <c r="A6" s="9" t="s">
        <v>117</v>
      </c>
      <c r="E6" s="86"/>
      <c r="F6" s="86"/>
      <c r="G6" s="86"/>
    </row>
    <row r="7" spans="1:7" x14ac:dyDescent="0.25">
      <c r="A7" t="str">
        <f>'monthly revenue '!A76</f>
        <v>Alcoholic Beverages</v>
      </c>
      <c r="E7" s="86">
        <f>SUMIFS('monthly p&amp;l'!$E7:$AN7,'monthly p&amp;l'!$E$4:$AN$4,"&gt;"&amp;'annual p&amp;l'!D$3,'monthly p&amp;l'!$E$4:$AN$4,"&lt;="&amp;'annual p&amp;l'!E$3)</f>
        <v>68.832204356188328</v>
      </c>
      <c r="F7" s="86">
        <f>SUMIFS('monthly p&amp;l'!$E7:$AN7,'monthly p&amp;l'!$E$4:$AN$4,"&gt;"&amp;'annual p&amp;l'!E$3,'monthly p&amp;l'!$E$4:$AN$4,"&lt;="&amp;'annual p&amp;l'!F$3)</f>
        <v>129.11829373898667</v>
      </c>
      <c r="G7" s="86">
        <f>SUMIFS('monthly p&amp;l'!$E7:$AN7,'monthly p&amp;l'!$E$4:$AN$4,"&gt;"&amp;'annual p&amp;l'!F$3,'monthly p&amp;l'!$E$4:$AN$4,"&lt;="&amp;'annual p&amp;l'!G$3)</f>
        <v>190.36719220391092</v>
      </c>
    </row>
    <row r="8" spans="1:7" x14ac:dyDescent="0.25">
      <c r="A8" t="str">
        <f>'monthly revenue '!A77</f>
        <v>Non Alcoholic Beverages</v>
      </c>
      <c r="E8" s="86">
        <f>SUMIFS('monthly p&amp;l'!$E8:$AN8,'monthly p&amp;l'!$E$4:$AN$4,"&gt;"&amp;'annual p&amp;l'!D$3,'monthly p&amp;l'!$E$4:$AN$4,"&lt;="&amp;'annual p&amp;l'!E$3)</f>
        <v>56.710348176113861</v>
      </c>
      <c r="F8" s="86">
        <f>SUMIFS('monthly p&amp;l'!$E8:$AN8,'monthly p&amp;l'!$E$4:$AN$4,"&gt;"&amp;'annual p&amp;l'!E$3,'monthly p&amp;l'!$E$4:$AN$4,"&lt;="&amp;'annual p&amp;l'!F$3)</f>
        <v>105.33937141356789</v>
      </c>
      <c r="G8" s="86">
        <f>SUMIFS('monthly p&amp;l'!$E8:$AN8,'monthly p&amp;l'!$E$4:$AN$4,"&gt;"&amp;'annual p&amp;l'!F$3,'monthly p&amp;l'!$E$4:$AN$4,"&lt;="&amp;'annual p&amp;l'!G$3)</f>
        <v>153.85328665830676</v>
      </c>
    </row>
    <row r="9" spans="1:7" x14ac:dyDescent="0.25">
      <c r="A9" t="str">
        <f>'monthly revenue '!A78</f>
        <v>Food</v>
      </c>
      <c r="E9" s="86">
        <f>SUMIFS('monthly p&amp;l'!$E9:$AN9,'monthly p&amp;l'!$E$4:$AN$4,"&gt;"&amp;'annual p&amp;l'!D$3,'monthly p&amp;l'!$E$4:$AN$4,"&lt;="&amp;'annual p&amp;l'!E$3)</f>
        <v>178.75159297493445</v>
      </c>
      <c r="F9" s="86">
        <f>SUMIFS('monthly p&amp;l'!$E9:$AN9,'monthly p&amp;l'!$E$4:$AN$4,"&gt;"&amp;'annual p&amp;l'!E$3,'monthly p&amp;l'!$E$4:$AN$4,"&lt;="&amp;'annual p&amp;l'!F$3)</f>
        <v>329.0895854824588</v>
      </c>
      <c r="G9" s="86">
        <f>SUMIFS('monthly p&amp;l'!$E9:$AN9,'monthly p&amp;l'!$E$4:$AN$4,"&gt;"&amp;'annual p&amp;l'!F$3,'monthly p&amp;l'!$E$4:$AN$4,"&lt;="&amp;'annual p&amp;l'!G$3)</f>
        <v>476.47620106230943</v>
      </c>
    </row>
    <row r="10" spans="1:7" ht="15.75" thickBot="1" x14ac:dyDescent="0.3">
      <c r="A10" s="160" t="str">
        <f>'monthly revenue '!A79</f>
        <v>Total</v>
      </c>
      <c r="B10" s="160"/>
      <c r="C10" s="160"/>
      <c r="D10" s="160"/>
      <c r="E10" s="161">
        <f>SUMIFS('monthly p&amp;l'!$E10:$AN10,'monthly p&amp;l'!$E$4:$AN$4,"&gt;"&amp;'annual p&amp;l'!D$3,'monthly p&amp;l'!$E$4:$AN$4,"&lt;="&amp;'annual p&amp;l'!E$3)</f>
        <v>304.29414550723664</v>
      </c>
      <c r="F10" s="161">
        <f>SUMIFS('monthly p&amp;l'!$E10:$AN10,'monthly p&amp;l'!$E$4:$AN$4,"&gt;"&amp;'annual p&amp;l'!E$3,'monthly p&amp;l'!$E$4:$AN$4,"&lt;="&amp;'annual p&amp;l'!F$3)</f>
        <v>563.54725063501337</v>
      </c>
      <c r="G10" s="161">
        <f>SUMIFS('monthly p&amp;l'!$E10:$AN10,'monthly p&amp;l'!$E$4:$AN$4,"&gt;"&amp;'annual p&amp;l'!F$3,'monthly p&amp;l'!$E$4:$AN$4,"&lt;="&amp;'annual p&amp;l'!G$3)</f>
        <v>820.69667992452685</v>
      </c>
    </row>
    <row r="11" spans="1:7" ht="15.75" thickTop="1" x14ac:dyDescent="0.25">
      <c r="E11" s="86">
        <f>SUMIFS('monthly p&amp;l'!$E11:$AN11,'monthly p&amp;l'!$E$4:$AN$4,"&gt;"&amp;'annual p&amp;l'!D$3,'monthly p&amp;l'!$E$4:$AN$4,"&lt;="&amp;'annual p&amp;l'!E$3)</f>
        <v>0</v>
      </c>
      <c r="F11" s="86">
        <f>SUMIFS('monthly p&amp;l'!$E11:$AN11,'monthly p&amp;l'!$E$4:$AN$4,"&gt;"&amp;'annual p&amp;l'!E$3,'monthly p&amp;l'!$E$4:$AN$4,"&lt;="&amp;'annual p&amp;l'!F$3)</f>
        <v>0</v>
      </c>
      <c r="G11" s="86">
        <f>SUMIFS('monthly p&amp;l'!$E11:$AN11,'monthly p&amp;l'!$E$4:$AN$4,"&gt;"&amp;'annual p&amp;l'!F$3,'monthly p&amp;l'!$E$4:$AN$4,"&lt;="&amp;'annual p&amp;l'!G$3)</f>
        <v>0</v>
      </c>
    </row>
    <row r="12" spans="1:7" x14ac:dyDescent="0.25">
      <c r="A12" s="9" t="s">
        <v>118</v>
      </c>
      <c r="E12" s="86">
        <f>SUMIFS('monthly p&amp;l'!$E12:$AN12,'monthly p&amp;l'!$E$4:$AN$4,"&gt;"&amp;'annual p&amp;l'!D$3,'monthly p&amp;l'!$E$4:$AN$4,"&lt;="&amp;'annual p&amp;l'!E$3)</f>
        <v>0</v>
      </c>
      <c r="F12" s="86">
        <f>SUMIFS('monthly p&amp;l'!$E12:$AN12,'monthly p&amp;l'!$E$4:$AN$4,"&gt;"&amp;'annual p&amp;l'!E$3,'monthly p&amp;l'!$E$4:$AN$4,"&lt;="&amp;'annual p&amp;l'!F$3)</f>
        <v>0</v>
      </c>
      <c r="G12" s="86">
        <f>SUMIFS('monthly p&amp;l'!$E12:$AN12,'monthly p&amp;l'!$E$4:$AN$4,"&gt;"&amp;'annual p&amp;l'!F$3,'monthly p&amp;l'!$E$4:$AN$4,"&lt;="&amp;'annual p&amp;l'!G$3)</f>
        <v>0</v>
      </c>
    </row>
    <row r="13" spans="1:7" x14ac:dyDescent="0.25">
      <c r="A13" t="str">
        <f>Assumptions!A25</f>
        <v>Alcoholic Beverage cost (% of revenue)</v>
      </c>
      <c r="E13" s="86">
        <f>SUMIFS('monthly p&amp;l'!$E13:$AN13,'monthly p&amp;l'!$E$4:$AN$4,"&gt;"&amp;'annual p&amp;l'!D$3,'monthly p&amp;l'!$E$4:$AN$4,"&lt;="&amp;'annual p&amp;l'!E$3)</f>
        <v>24.091271524665917</v>
      </c>
      <c r="F13" s="86">
        <f>SUMIFS('monthly p&amp;l'!$E13:$AN13,'monthly p&amp;l'!$E$4:$AN$4,"&gt;"&amp;'annual p&amp;l'!E$3,'monthly p&amp;l'!$E$4:$AN$4,"&lt;="&amp;'annual p&amp;l'!F$3)</f>
        <v>45.191402808645321</v>
      </c>
      <c r="G13" s="86">
        <f>SUMIFS('monthly p&amp;l'!$E13:$AN13,'monthly p&amp;l'!$E$4:$AN$4,"&gt;"&amp;'annual p&amp;l'!F$3,'monthly p&amp;l'!$E$4:$AN$4,"&lt;="&amp;'annual p&amp;l'!G$3)</f>
        <v>66.628517271368821</v>
      </c>
    </row>
    <row r="14" spans="1:7" x14ac:dyDescent="0.25">
      <c r="A14" t="str">
        <f>Assumptions!A26</f>
        <v>Non Alcoholic Beverages (% of revenue)</v>
      </c>
      <c r="E14" s="86">
        <f>SUMIFS('monthly p&amp;l'!$E14:$AN14,'monthly p&amp;l'!$E$4:$AN$4,"&gt;"&amp;'annual p&amp;l'!D$3,'monthly p&amp;l'!$E$4:$AN$4,"&lt;="&amp;'annual p&amp;l'!E$3)</f>
        <v>22.684139270445542</v>
      </c>
      <c r="F14" s="86">
        <f>SUMIFS('monthly p&amp;l'!$E14:$AN14,'monthly p&amp;l'!$E$4:$AN$4,"&gt;"&amp;'annual p&amp;l'!E$3,'monthly p&amp;l'!$E$4:$AN$4,"&lt;="&amp;'annual p&amp;l'!F$3)</f>
        <v>42.13574856542715</v>
      </c>
      <c r="G14" s="86">
        <f>SUMIFS('monthly p&amp;l'!$E14:$AN14,'monthly p&amp;l'!$E$4:$AN$4,"&gt;"&amp;'annual p&amp;l'!F$3,'monthly p&amp;l'!$E$4:$AN$4,"&lt;="&amp;'annual p&amp;l'!G$3)</f>
        <v>61.541314663322702</v>
      </c>
    </row>
    <row r="15" spans="1:7" x14ac:dyDescent="0.25">
      <c r="A15" t="str">
        <f>Assumptions!A27</f>
        <v>Food (% of revenue)</v>
      </c>
      <c r="E15" s="86">
        <f>SUMIFS('monthly p&amp;l'!$E15:$AN15,'monthly p&amp;l'!$E$4:$AN$4,"&gt;"&amp;'annual p&amp;l'!D$3,'monthly p&amp;l'!$E$4:$AN$4,"&lt;="&amp;'annual p&amp;l'!E$3)</f>
        <v>53.62547789248034</v>
      </c>
      <c r="F15" s="86">
        <f>SUMIFS('monthly p&amp;l'!$E15:$AN15,'monthly p&amp;l'!$E$4:$AN$4,"&gt;"&amp;'annual p&amp;l'!E$3,'monthly p&amp;l'!$E$4:$AN$4,"&lt;="&amp;'annual p&amp;l'!F$3)</f>
        <v>98.726875644737646</v>
      </c>
      <c r="G15" s="86">
        <f>SUMIFS('monthly p&amp;l'!$E15:$AN15,'monthly p&amp;l'!$E$4:$AN$4,"&gt;"&amp;'annual p&amp;l'!F$3,'monthly p&amp;l'!$E$4:$AN$4,"&lt;="&amp;'annual p&amp;l'!G$3)</f>
        <v>142.94286031869279</v>
      </c>
    </row>
    <row r="16" spans="1:7" x14ac:dyDescent="0.25">
      <c r="A16" t="s">
        <v>119</v>
      </c>
      <c r="E16" s="86">
        <f>SUMIFS('monthly p&amp;l'!$E16:$AN16,'monthly p&amp;l'!$E$4:$AN$4,"&gt;"&amp;'annual p&amp;l'!D$3,'monthly p&amp;l'!$E$4:$AN$4,"&lt;="&amp;'annual p&amp;l'!E$3)</f>
        <v>88.74</v>
      </c>
      <c r="F16" s="86">
        <f>SUMIFS('monthly p&amp;l'!$E16:$AN16,'monthly p&amp;l'!$E$4:$AN$4,"&gt;"&amp;'annual p&amp;l'!E$3,'monthly p&amp;l'!$E$4:$AN$4,"&lt;="&amp;'annual p&amp;l'!F$3)</f>
        <v>118.32</v>
      </c>
      <c r="G16" s="86">
        <f>SUMIFS('monthly p&amp;l'!$E16:$AN16,'monthly p&amp;l'!$E$4:$AN$4,"&gt;"&amp;'annual p&amp;l'!F$3,'monthly p&amp;l'!$E$4:$AN$4,"&lt;="&amp;'annual p&amp;l'!G$3)</f>
        <v>118.32</v>
      </c>
    </row>
    <row r="17" spans="1:7" x14ac:dyDescent="0.25">
      <c r="A17" s="157" t="s">
        <v>120</v>
      </c>
      <c r="B17" s="157"/>
      <c r="C17" s="157"/>
      <c r="D17" s="157"/>
      <c r="E17" s="150">
        <f>SUMIFS('monthly p&amp;l'!$E17:$AN17,'monthly p&amp;l'!$E$4:$AN$4,"&gt;"&amp;'annual p&amp;l'!D$3,'monthly p&amp;l'!$E$4:$AN$4,"&lt;="&amp;'annual p&amp;l'!E$3)</f>
        <v>189.1408886875918</v>
      </c>
      <c r="F17" s="150">
        <f>SUMIFS('monthly p&amp;l'!$E17:$AN17,'monthly p&amp;l'!$E$4:$AN$4,"&gt;"&amp;'annual p&amp;l'!E$3,'monthly p&amp;l'!$E$4:$AN$4,"&lt;="&amp;'annual p&amp;l'!F$3)</f>
        <v>304.37402701881012</v>
      </c>
      <c r="G17" s="150">
        <f>SUMIFS('monthly p&amp;l'!$E17:$AN17,'monthly p&amp;l'!$E$4:$AN$4,"&gt;"&amp;'annual p&amp;l'!F$3,'monthly p&amp;l'!$E$4:$AN$4,"&lt;="&amp;'annual p&amp;l'!G$3)</f>
        <v>389.43269225338435</v>
      </c>
    </row>
    <row r="18" spans="1:7" x14ac:dyDescent="0.25">
      <c r="E18" s="86">
        <f>SUMIFS('monthly p&amp;l'!$E18:$AN18,'monthly p&amp;l'!$E$4:$AN$4,"&gt;"&amp;'annual p&amp;l'!D$3,'monthly p&amp;l'!$E$4:$AN$4,"&lt;="&amp;'annual p&amp;l'!E$3)</f>
        <v>0</v>
      </c>
      <c r="F18" s="86">
        <f>SUMIFS('monthly p&amp;l'!$E18:$AN18,'monthly p&amp;l'!$E$4:$AN$4,"&gt;"&amp;'annual p&amp;l'!E$3,'monthly p&amp;l'!$E$4:$AN$4,"&lt;="&amp;'annual p&amp;l'!F$3)</f>
        <v>0</v>
      </c>
      <c r="G18" s="86">
        <f>SUMIFS('monthly p&amp;l'!$E18:$AN18,'monthly p&amp;l'!$E$4:$AN$4,"&gt;"&amp;'annual p&amp;l'!F$3,'monthly p&amp;l'!$E$4:$AN$4,"&lt;="&amp;'annual p&amp;l'!G$3)</f>
        <v>0</v>
      </c>
    </row>
    <row r="19" spans="1:7" x14ac:dyDescent="0.25">
      <c r="A19" s="9" t="s">
        <v>121</v>
      </c>
      <c r="E19" s="86">
        <f>SUMIFS('monthly p&amp;l'!$E19:$AN19,'monthly p&amp;l'!$E$4:$AN$4,"&gt;"&amp;'annual p&amp;l'!D$3,'monthly p&amp;l'!$E$4:$AN$4,"&lt;="&amp;'annual p&amp;l'!E$3)</f>
        <v>0</v>
      </c>
      <c r="F19" s="86">
        <f>SUMIFS('monthly p&amp;l'!$E19:$AN19,'monthly p&amp;l'!$E$4:$AN$4,"&gt;"&amp;'annual p&amp;l'!E$3,'monthly p&amp;l'!$E$4:$AN$4,"&lt;="&amp;'annual p&amp;l'!F$3)</f>
        <v>0</v>
      </c>
      <c r="G19" s="86">
        <f>SUMIFS('monthly p&amp;l'!$E19:$AN19,'monthly p&amp;l'!$E$4:$AN$4,"&gt;"&amp;'annual p&amp;l'!F$3,'monthly p&amp;l'!$E$4:$AN$4,"&lt;="&amp;'annual p&amp;l'!G$3)</f>
        <v>0</v>
      </c>
    </row>
    <row r="20" spans="1:7" x14ac:dyDescent="0.25">
      <c r="A20" t="s">
        <v>122</v>
      </c>
      <c r="E20" s="86">
        <f>SUMIFS('monthly p&amp;l'!$E20:$AN20,'monthly p&amp;l'!$E$4:$AN$4,"&gt;"&amp;'annual p&amp;l'!D$3,'monthly p&amp;l'!$E$4:$AN$4,"&lt;="&amp;'annual p&amp;l'!E$3)</f>
        <v>34.200000000000003</v>
      </c>
      <c r="F20" s="86">
        <f>SUMIFS('monthly p&amp;l'!$E20:$AN20,'monthly p&amp;l'!$E$4:$AN$4,"&gt;"&amp;'annual p&amp;l'!E$3,'monthly p&amp;l'!$E$4:$AN$4,"&lt;="&amp;'annual p&amp;l'!F$3)</f>
        <v>45.599999999999994</v>
      </c>
      <c r="G20" s="86">
        <f>SUMIFS('monthly p&amp;l'!$E20:$AN20,'monthly p&amp;l'!$E$4:$AN$4,"&gt;"&amp;'annual p&amp;l'!F$3,'monthly p&amp;l'!$E$4:$AN$4,"&lt;="&amp;'annual p&amp;l'!G$3)</f>
        <v>45.599999999999994</v>
      </c>
    </row>
    <row r="21" spans="1:7" x14ac:dyDescent="0.25">
      <c r="A21" t="str">
        <f>Assumptions!A52</f>
        <v>Rotalty to brand (% Of Revenue)</v>
      </c>
      <c r="E21" s="86">
        <f>SUMIFS('monthly p&amp;l'!$E21:$AN21,'monthly p&amp;l'!$E$4:$AN$4,"&gt;"&amp;'annual p&amp;l'!D$3,'monthly p&amp;l'!$E$4:$AN$4,"&lt;="&amp;'annual p&amp;l'!E$3)</f>
        <v>15.214707275361834</v>
      </c>
      <c r="F21" s="86">
        <f>SUMIFS('monthly p&amp;l'!$E21:$AN21,'monthly p&amp;l'!$E$4:$AN$4,"&gt;"&amp;'annual p&amp;l'!E$3,'monthly p&amp;l'!$E$4:$AN$4,"&lt;="&amp;'annual p&amp;l'!F$3)</f>
        <v>28.177362531750671</v>
      </c>
      <c r="G21" s="86">
        <f>SUMIFS('monthly p&amp;l'!$E21:$AN21,'monthly p&amp;l'!$E$4:$AN$4,"&gt;"&amp;'annual p&amp;l'!F$3,'monthly p&amp;l'!$E$4:$AN$4,"&lt;="&amp;'annual p&amp;l'!G$3)</f>
        <v>41.034833996226354</v>
      </c>
    </row>
    <row r="22" spans="1:7" x14ac:dyDescent="0.25">
      <c r="A22" t="str">
        <f>Assumptions!A53</f>
        <v>Rent (as per contract) (% of revenue)</v>
      </c>
      <c r="E22" s="86">
        <f>SUMIFS('monthly p&amp;l'!$E22:$AN22,'monthly p&amp;l'!$E$4:$AN$4,"&gt;"&amp;'annual p&amp;l'!D$3,'monthly p&amp;l'!$E$4:$AN$4,"&lt;="&amp;'annual p&amp;l'!E$3)</f>
        <v>30.429414550723667</v>
      </c>
      <c r="F22" s="86">
        <f>SUMIFS('monthly p&amp;l'!$E22:$AN22,'monthly p&amp;l'!$E$4:$AN$4,"&gt;"&amp;'annual p&amp;l'!E$3,'monthly p&amp;l'!$E$4:$AN$4,"&lt;="&amp;'annual p&amp;l'!F$3)</f>
        <v>56.354725063501341</v>
      </c>
      <c r="G22" s="86">
        <f>SUMIFS('monthly p&amp;l'!$E22:$AN22,'monthly p&amp;l'!$E$4:$AN$4,"&gt;"&amp;'annual p&amp;l'!F$3,'monthly p&amp;l'!$E$4:$AN$4,"&lt;="&amp;'annual p&amp;l'!G$3)</f>
        <v>82.069667992452707</v>
      </c>
    </row>
    <row r="23" spans="1:7" x14ac:dyDescent="0.25">
      <c r="A23" t="str">
        <f>Assumptions!A54</f>
        <v>Water Cost (per month)</v>
      </c>
      <c r="E23" s="86">
        <f>SUMIFS('monthly p&amp;l'!$E23:$AN23,'monthly p&amp;l'!$E$4:$AN$4,"&gt;"&amp;'annual p&amp;l'!D$3,'monthly p&amp;l'!$E$4:$AN$4,"&lt;="&amp;'annual p&amp;l'!E$3)</f>
        <v>0.89999999999999991</v>
      </c>
      <c r="F23" s="86">
        <f>SUMIFS('monthly p&amp;l'!$E23:$AN23,'monthly p&amp;l'!$E$4:$AN$4,"&gt;"&amp;'annual p&amp;l'!E$3,'monthly p&amp;l'!$E$4:$AN$4,"&lt;="&amp;'annual p&amp;l'!F$3)</f>
        <v>1.2</v>
      </c>
      <c r="G23" s="86">
        <f>SUMIFS('monthly p&amp;l'!$E23:$AN23,'monthly p&amp;l'!$E$4:$AN$4,"&gt;"&amp;'annual p&amp;l'!F$3,'monthly p&amp;l'!$E$4:$AN$4,"&lt;="&amp;'annual p&amp;l'!G$3)</f>
        <v>1.2</v>
      </c>
    </row>
    <row r="24" spans="1:7" x14ac:dyDescent="0.25">
      <c r="A24" t="str">
        <f>Assumptions!A55</f>
        <v>Maintenance (per month)</v>
      </c>
      <c r="E24" s="86">
        <f>SUMIFS('monthly p&amp;l'!$E24:$AN24,'monthly p&amp;l'!$E$4:$AN$4,"&gt;"&amp;'annual p&amp;l'!D$3,'monthly p&amp;l'!$E$4:$AN$4,"&lt;="&amp;'annual p&amp;l'!E$3)</f>
        <v>4.5</v>
      </c>
      <c r="F24" s="86">
        <f>SUMIFS('monthly p&amp;l'!$E24:$AN24,'monthly p&amp;l'!$E$4:$AN$4,"&gt;"&amp;'annual p&amp;l'!E$3,'monthly p&amp;l'!$E$4:$AN$4,"&lt;="&amp;'annual p&amp;l'!F$3)</f>
        <v>6</v>
      </c>
      <c r="G24" s="86">
        <f>SUMIFS('monthly p&amp;l'!$E24:$AN24,'monthly p&amp;l'!$E$4:$AN$4,"&gt;"&amp;'annual p&amp;l'!F$3,'monthly p&amp;l'!$E$4:$AN$4,"&lt;="&amp;'annual p&amp;l'!G$3)</f>
        <v>6</v>
      </c>
    </row>
    <row r="25" spans="1:7" x14ac:dyDescent="0.25">
      <c r="A25" t="str">
        <f>Assumptions!A56</f>
        <v>Marketing cost (per month)</v>
      </c>
      <c r="E25" s="86">
        <f>SUMIFS('monthly p&amp;l'!$E25:$AN25,'monthly p&amp;l'!$E$4:$AN$4,"&gt;"&amp;'annual p&amp;l'!D$3,'monthly p&amp;l'!$E$4:$AN$4,"&lt;="&amp;'annual p&amp;l'!E$3)</f>
        <v>2.25</v>
      </c>
      <c r="F25" s="86">
        <f>SUMIFS('monthly p&amp;l'!$E25:$AN25,'monthly p&amp;l'!$E$4:$AN$4,"&gt;"&amp;'annual p&amp;l'!E$3,'monthly p&amp;l'!$E$4:$AN$4,"&lt;="&amp;'annual p&amp;l'!F$3)</f>
        <v>3</v>
      </c>
      <c r="G25" s="86">
        <f>SUMIFS('monthly p&amp;l'!$E25:$AN25,'monthly p&amp;l'!$E$4:$AN$4,"&gt;"&amp;'annual p&amp;l'!F$3,'monthly p&amp;l'!$E$4:$AN$4,"&lt;="&amp;'annual p&amp;l'!G$3)</f>
        <v>3</v>
      </c>
    </row>
    <row r="26" spans="1:7" x14ac:dyDescent="0.25">
      <c r="A26" t="str">
        <f>Assumptions!A57</f>
        <v>Electricity (Based on area Rs./sq. Ft.)</v>
      </c>
      <c r="E26" s="86">
        <f>SUMIFS('monthly p&amp;l'!$E26:$AN26,'monthly p&amp;l'!$E$4:$AN$4,"&gt;"&amp;'annual p&amp;l'!D$3,'monthly p&amp;l'!$E$4:$AN$4,"&lt;="&amp;'annual p&amp;l'!E$3)</f>
        <v>2.3940000000000001</v>
      </c>
      <c r="F26" s="86">
        <f>SUMIFS('monthly p&amp;l'!$E26:$AN26,'monthly p&amp;l'!$E$4:$AN$4,"&gt;"&amp;'annual p&amp;l'!E$3,'monthly p&amp;l'!$E$4:$AN$4,"&lt;="&amp;'annual p&amp;l'!F$3)</f>
        <v>3.1920000000000002</v>
      </c>
      <c r="G26" s="86">
        <f>SUMIFS('monthly p&amp;l'!$E26:$AN26,'monthly p&amp;l'!$E$4:$AN$4,"&gt;"&amp;'annual p&amp;l'!F$3,'monthly p&amp;l'!$E$4:$AN$4,"&lt;="&amp;'annual p&amp;l'!G$3)</f>
        <v>3.1920000000000002</v>
      </c>
    </row>
    <row r="27" spans="1:7" x14ac:dyDescent="0.25">
      <c r="A27" t="str">
        <f>Assumptions!A58</f>
        <v>Phone and internet (per month)</v>
      </c>
      <c r="E27" s="86">
        <f>SUMIFS('monthly p&amp;l'!$E27:$AN27,'monthly p&amp;l'!$E$4:$AN$4,"&gt;"&amp;'annual p&amp;l'!D$3,'monthly p&amp;l'!$E$4:$AN$4,"&lt;="&amp;'annual p&amp;l'!E$3)</f>
        <v>1.3499999999999999</v>
      </c>
      <c r="F27" s="86">
        <f>SUMIFS('monthly p&amp;l'!$E27:$AN27,'monthly p&amp;l'!$E$4:$AN$4,"&gt;"&amp;'annual p&amp;l'!E$3,'monthly p&amp;l'!$E$4:$AN$4,"&lt;="&amp;'annual p&amp;l'!F$3)</f>
        <v>1.7999999999999996</v>
      </c>
      <c r="G27" s="86">
        <f>SUMIFS('monthly p&amp;l'!$E27:$AN27,'monthly p&amp;l'!$E$4:$AN$4,"&gt;"&amp;'annual p&amp;l'!F$3,'monthly p&amp;l'!$E$4:$AN$4,"&lt;="&amp;'annual p&amp;l'!G$3)</f>
        <v>1.7999999999999996</v>
      </c>
    </row>
    <row r="28" spans="1:7" x14ac:dyDescent="0.25">
      <c r="A28" t="str">
        <f>Assumptions!A59</f>
        <v>Housekeeping  &amp; Consumables (% of revenue)</v>
      </c>
      <c r="E28" s="86">
        <f>SUMIFS('monthly p&amp;l'!$E28:$AN28,'monthly p&amp;l'!$E$4:$AN$4,"&gt;"&amp;'annual p&amp;l'!D$3,'monthly p&amp;l'!$E$4:$AN$4,"&lt;="&amp;'annual p&amp;l'!E$3)</f>
        <v>6.0858829101447336</v>
      </c>
      <c r="F28" s="86">
        <f>SUMIFS('monthly p&amp;l'!$E28:$AN28,'monthly p&amp;l'!$E$4:$AN$4,"&gt;"&amp;'annual p&amp;l'!E$3,'monthly p&amp;l'!$E$4:$AN$4,"&lt;="&amp;'annual p&amp;l'!F$3)</f>
        <v>11.270945012700265</v>
      </c>
      <c r="G28" s="86">
        <f>SUMIFS('monthly p&amp;l'!$E28:$AN28,'monthly p&amp;l'!$E$4:$AN$4,"&gt;"&amp;'annual p&amp;l'!F$3,'monthly p&amp;l'!$E$4:$AN$4,"&lt;="&amp;'annual p&amp;l'!G$3)</f>
        <v>16.413933598490544</v>
      </c>
    </row>
    <row r="29" spans="1:7" x14ac:dyDescent="0.25">
      <c r="A29" t="str">
        <f>Assumptions!A60</f>
        <v>Payment Settlement Charges (% or revenue)</v>
      </c>
      <c r="E29" s="86">
        <f>SUMIFS('monthly p&amp;l'!$E29:$AN29,'monthly p&amp;l'!$E$4:$AN$4,"&gt;"&amp;'annual p&amp;l'!D$3,'monthly p&amp;l'!$E$4:$AN$4,"&lt;="&amp;'annual p&amp;l'!E$3)</f>
        <v>2.2822060913042748</v>
      </c>
      <c r="F29" s="86">
        <f>SUMIFS('monthly p&amp;l'!$E29:$AN29,'monthly p&amp;l'!$E$4:$AN$4,"&gt;"&amp;'annual p&amp;l'!E$3,'monthly p&amp;l'!$E$4:$AN$4,"&lt;="&amp;'annual p&amp;l'!F$3)</f>
        <v>4.2266043797626001</v>
      </c>
      <c r="G29" s="86">
        <f>SUMIFS('monthly p&amp;l'!$E29:$AN29,'monthly p&amp;l'!$E$4:$AN$4,"&gt;"&amp;'annual p&amp;l'!F$3,'monthly p&amp;l'!$E$4:$AN$4,"&lt;="&amp;'annual p&amp;l'!G$3)</f>
        <v>6.1552250994339515</v>
      </c>
    </row>
    <row r="30" spans="1:7" x14ac:dyDescent="0.25">
      <c r="A30" s="157" t="s">
        <v>123</v>
      </c>
      <c r="B30" s="157"/>
      <c r="C30" s="157"/>
      <c r="D30" s="157"/>
      <c r="E30" s="150">
        <f>SUMIFS('monthly p&amp;l'!$E30:$AN30,'monthly p&amp;l'!$E$4:$AN$4,"&gt;"&amp;'annual p&amp;l'!D$3,'monthly p&amp;l'!$E$4:$AN$4,"&lt;="&amp;'annual p&amp;l'!E$3)</f>
        <v>99.606210827534497</v>
      </c>
      <c r="F30" s="150">
        <f>SUMIFS('monthly p&amp;l'!$E30:$AN30,'monthly p&amp;l'!$E$4:$AN$4,"&gt;"&amp;'annual p&amp;l'!E$3,'monthly p&amp;l'!$E$4:$AN$4,"&lt;="&amp;'annual p&amp;l'!F$3)</f>
        <v>160.8216369877149</v>
      </c>
      <c r="G30" s="150">
        <f>SUMIFS('monthly p&amp;l'!$E30:$AN30,'monthly p&amp;l'!$E$4:$AN$4,"&gt;"&amp;'annual p&amp;l'!F$3,'monthly p&amp;l'!$E$4:$AN$4,"&lt;="&amp;'annual p&amp;l'!G$3)</f>
        <v>206.46566068660348</v>
      </c>
    </row>
    <row r="31" spans="1:7" ht="15.75" thickBot="1" x14ac:dyDescent="0.3">
      <c r="A31" s="178"/>
      <c r="B31" s="178"/>
      <c r="C31" s="178"/>
      <c r="D31" s="178"/>
      <c r="E31" s="184">
        <f>SUMIFS('monthly p&amp;l'!$E31:$AN31,'monthly p&amp;l'!$E$4:$AN$4,"&gt;"&amp;'annual p&amp;l'!D$3,'monthly p&amp;l'!$E$4:$AN$4,"&lt;="&amp;'annual p&amp;l'!E$3)</f>
        <v>0</v>
      </c>
      <c r="F31" s="184">
        <f>SUMIFS('monthly p&amp;l'!$E31:$AN31,'monthly p&amp;l'!$E$4:$AN$4,"&gt;"&amp;'annual p&amp;l'!E$3,'monthly p&amp;l'!$E$4:$AN$4,"&lt;="&amp;'annual p&amp;l'!F$3)</f>
        <v>0</v>
      </c>
      <c r="G31" s="184">
        <f>SUMIFS('monthly p&amp;l'!$E31:$AN31,'monthly p&amp;l'!$E$4:$AN$4,"&gt;"&amp;'annual p&amp;l'!F$3,'monthly p&amp;l'!$E$4:$AN$4,"&lt;="&amp;'annual p&amp;l'!G$3)</f>
        <v>0</v>
      </c>
    </row>
    <row r="32" spans="1:7" s="177" customFormat="1" ht="15.75" thickTop="1" x14ac:dyDescent="0.25">
      <c r="A32" s="176" t="s">
        <v>124</v>
      </c>
      <c r="B32" s="176"/>
      <c r="C32" s="176"/>
      <c r="D32" s="176"/>
      <c r="E32" s="185">
        <f>SUMIFS('monthly p&amp;l'!$E32:$AN32,'monthly p&amp;l'!$E$4:$AN$4,"&gt;"&amp;'annual p&amp;l'!D$3,'monthly p&amp;l'!$E$4:$AN$4,"&lt;="&amp;'annual p&amp;l'!E$3)</f>
        <v>15.547045992110363</v>
      </c>
      <c r="F32" s="185">
        <f>SUMIFS('monthly p&amp;l'!$E32:$AN32,'monthly p&amp;l'!$E$4:$AN$4,"&gt;"&amp;'annual p&amp;l'!E$3,'monthly p&amp;l'!$E$4:$AN$4,"&lt;="&amp;'annual p&amp;l'!F$3)</f>
        <v>98.351586628488363</v>
      </c>
      <c r="G32" s="185">
        <f>SUMIFS('monthly p&amp;l'!$E32:$AN32,'monthly p&amp;l'!$E$4:$AN$4,"&gt;"&amp;'annual p&amp;l'!F$3,'monthly p&amp;l'!$E$4:$AN$4,"&lt;="&amp;'annual p&amp;l'!G$3)</f>
        <v>224.79832698453916</v>
      </c>
    </row>
    <row r="33" spans="1:7" x14ac:dyDescent="0.25">
      <c r="A33" t="s">
        <v>151</v>
      </c>
      <c r="E33" s="86">
        <f>'fixed assest schedule'!E8+'fixed assest schedule'!E15+'fixed assest schedule'!E22+'fixed assest schedule'!E29</f>
        <v>5651.1</v>
      </c>
      <c r="F33" s="86">
        <f>'fixed assest schedule'!F8+'fixed assest schedule'!F15+'fixed assest schedule'!F22+'fixed assest schedule'!F29</f>
        <v>-249528.6</v>
      </c>
      <c r="G33" s="86">
        <f>'fixed assest schedule'!G8+'fixed assest schedule'!G15+'fixed assest schedule'!G22+'fixed assest schedule'!G29</f>
        <v>11572658.0625</v>
      </c>
    </row>
    <row r="34" spans="1:7" x14ac:dyDescent="0.25">
      <c r="E34" s="86"/>
      <c r="F34" s="86"/>
      <c r="G34" s="86"/>
    </row>
    <row r="35" spans="1:7" x14ac:dyDescent="0.25">
      <c r="A35" s="180" t="s">
        <v>152</v>
      </c>
      <c r="B35" s="157"/>
      <c r="C35" s="157"/>
      <c r="D35" s="157"/>
      <c r="E35" s="150">
        <f>E32-E33</f>
        <v>-5635.5529540078896</v>
      </c>
      <c r="F35" s="150">
        <f t="shared" ref="F35:G35" si="0">F32-F33</f>
        <v>249626.95158662851</v>
      </c>
      <c r="G35" s="150">
        <f t="shared" si="0"/>
        <v>-11572433.264173016</v>
      </c>
    </row>
    <row r="36" spans="1:7" x14ac:dyDescent="0.25">
      <c r="A36" t="s">
        <v>153</v>
      </c>
      <c r="E36" s="86">
        <v>0</v>
      </c>
      <c r="F36" s="86">
        <v>0</v>
      </c>
      <c r="G36" s="86">
        <v>0</v>
      </c>
    </row>
    <row r="37" spans="1:7" x14ac:dyDescent="0.25">
      <c r="E37" s="86"/>
      <c r="F37" s="86"/>
      <c r="G37" s="86"/>
    </row>
    <row r="38" spans="1:7" x14ac:dyDescent="0.25">
      <c r="A38" s="157" t="s">
        <v>154</v>
      </c>
      <c r="B38" s="157"/>
      <c r="C38" s="157"/>
      <c r="D38" s="157"/>
      <c r="E38" s="150">
        <f>E35-E36</f>
        <v>-5635.5529540078896</v>
      </c>
      <c r="F38" s="150">
        <f t="shared" ref="F38:G38" si="1">F35-F36</f>
        <v>249626.95158662851</v>
      </c>
      <c r="G38" s="150">
        <f t="shared" si="1"/>
        <v>-11572433.264173016</v>
      </c>
    </row>
    <row r="39" spans="1:7" x14ac:dyDescent="0.25">
      <c r="A39" t="s">
        <v>155</v>
      </c>
      <c r="E39" s="86">
        <f>E38*Assumptions!$G$105</f>
        <v>-1418.4686785237857</v>
      </c>
      <c r="F39" s="86">
        <f>F38*Assumptions!$G$105</f>
        <v>62831.103714354387</v>
      </c>
      <c r="G39" s="86">
        <f>G38*Assumptions!$G$105</f>
        <v>-2912781.4525923477</v>
      </c>
    </row>
    <row r="40" spans="1:7" ht="15.75" thickBot="1" x14ac:dyDescent="0.3">
      <c r="A40" s="160" t="s">
        <v>156</v>
      </c>
      <c r="B40" s="160"/>
      <c r="C40" s="160"/>
      <c r="D40" s="160"/>
      <c r="E40" s="161">
        <f>E38-E39</f>
        <v>-4217.0842754841042</v>
      </c>
      <c r="F40" s="161">
        <f t="shared" ref="F40:G40" si="2">F38-F39</f>
        <v>186795.84787227411</v>
      </c>
      <c r="G40" s="161">
        <f t="shared" si="2"/>
        <v>-8659651.8115806691</v>
      </c>
    </row>
    <row r="41" spans="1:7" ht="15.75" thickTop="1" x14ac:dyDescent="0.25">
      <c r="A41" t="s">
        <v>157</v>
      </c>
      <c r="E41" s="86"/>
      <c r="F41" s="86"/>
      <c r="G41" s="86"/>
    </row>
    <row r="42" spans="1:7" x14ac:dyDescent="0.25">
      <c r="A42" s="179" t="s">
        <v>158</v>
      </c>
      <c r="E42" s="166">
        <f>E40/E7</f>
        <v>-61.266151722554405</v>
      </c>
      <c r="F42" s="166">
        <f t="shared" ref="F42:G42" si="3">F40/F7</f>
        <v>1446.7031933513847</v>
      </c>
      <c r="G42" s="166">
        <f t="shared" si="3"/>
        <v>-45489.202794486373</v>
      </c>
    </row>
    <row r="44" spans="1:7" s="169" customFormat="1" x14ac:dyDescent="0.25">
      <c r="A44" s="151" t="s">
        <v>140</v>
      </c>
      <c r="B44" s="162"/>
      <c r="C44" s="162"/>
      <c r="D44" s="16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4" workbookViewId="0">
      <selection activeCell="E36" sqref="E36"/>
    </sheetView>
  </sheetViews>
  <sheetFormatPr defaultRowHeight="15" x14ac:dyDescent="0.25"/>
  <cols>
    <col min="1" max="1" width="25" bestFit="1" customWidth="1"/>
    <col min="5" max="5" width="17" style="93" bestFit="1" customWidth="1"/>
    <col min="6" max="6" width="19" style="93" bestFit="1" customWidth="1"/>
    <col min="7" max="7" width="22.42578125" style="93" bestFit="1" customWidth="1"/>
    <col min="8" max="16384" width="9.140625" style="93"/>
  </cols>
  <sheetData>
    <row r="1" spans="1:7" customFormat="1" x14ac:dyDescent="0.25">
      <c r="A1" s="89" t="s">
        <v>105</v>
      </c>
      <c r="B1" s="88" t="str">
        <f>convertor!C1</f>
        <v xml:space="preserve">lakhs </v>
      </c>
    </row>
    <row r="2" spans="1:7" customFormat="1" x14ac:dyDescent="0.25">
      <c r="A2" s="89"/>
      <c r="B2" s="87"/>
      <c r="E2" s="92">
        <v>1</v>
      </c>
      <c r="F2" s="92">
        <v>2</v>
      </c>
      <c r="G2" s="92">
        <v>3</v>
      </c>
    </row>
    <row r="3" spans="1:7" customFormat="1" x14ac:dyDescent="0.25">
      <c r="E3" s="90">
        <f>EOMONTH(Assumptions!G3,11)</f>
        <v>44286</v>
      </c>
      <c r="F3" s="90">
        <f>EOMONTH(E3,12)</f>
        <v>44651</v>
      </c>
      <c r="G3" s="90">
        <f>EOMONTH(F3,12)</f>
        <v>45016</v>
      </c>
    </row>
    <row r="4" spans="1:7" x14ac:dyDescent="0.25">
      <c r="A4" s="97" t="s">
        <v>173</v>
      </c>
      <c r="E4" s="86"/>
      <c r="F4" s="86"/>
      <c r="G4" s="86"/>
    </row>
    <row r="5" spans="1:7" x14ac:dyDescent="0.25">
      <c r="A5" s="170" t="s">
        <v>174</v>
      </c>
      <c r="E5" s="86">
        <f>'capital structure'!C17</f>
        <v>207</v>
      </c>
      <c r="F5" s="86">
        <f>E5</f>
        <v>207</v>
      </c>
      <c r="G5" s="86">
        <f>F5</f>
        <v>207</v>
      </c>
    </row>
    <row r="6" spans="1:7" x14ac:dyDescent="0.25">
      <c r="A6" s="170" t="s">
        <v>175</v>
      </c>
      <c r="E6" s="86">
        <f>D6+'annual p&amp;l'!E40</f>
        <v>-4217.0842754841042</v>
      </c>
      <c r="F6" s="86">
        <f>E6+'annual p&amp;l'!F40</f>
        <v>182578.76359679</v>
      </c>
      <c r="G6" s="86">
        <f>F6+'annual p&amp;l'!G40</f>
        <v>-8477073.0479838792</v>
      </c>
    </row>
    <row r="7" spans="1:7" x14ac:dyDescent="0.25">
      <c r="E7" s="86"/>
      <c r="F7" s="86"/>
      <c r="G7" s="86"/>
    </row>
    <row r="8" spans="1:7" x14ac:dyDescent="0.25">
      <c r="A8" s="157" t="s">
        <v>176</v>
      </c>
      <c r="B8" s="157"/>
      <c r="C8" s="157"/>
      <c r="D8" s="157"/>
      <c r="E8" s="150">
        <f>E5+E6</f>
        <v>-4010.0842754841042</v>
      </c>
      <c r="F8" s="150">
        <f t="shared" ref="F8:G8" si="0">F5+F6</f>
        <v>182785.76359679</v>
      </c>
      <c r="G8" s="150">
        <f t="shared" si="0"/>
        <v>-8476866.0479838792</v>
      </c>
    </row>
    <row r="9" spans="1:7" x14ac:dyDescent="0.25">
      <c r="E9" s="86"/>
      <c r="F9" s="86"/>
      <c r="G9" s="86"/>
    </row>
    <row r="10" spans="1:7" x14ac:dyDescent="0.25">
      <c r="A10" s="97" t="s">
        <v>177</v>
      </c>
      <c r="E10" s="86"/>
      <c r="F10" s="86"/>
      <c r="G10" s="86"/>
    </row>
    <row r="11" spans="1:7" x14ac:dyDescent="0.25">
      <c r="A11" t="str">
        <f>'working capital'!A13</f>
        <v xml:space="preserve">Creditors for beverages </v>
      </c>
      <c r="E11" s="86">
        <f>'working capital'!E13</f>
        <v>11.772972392394877</v>
      </c>
      <c r="F11" s="86">
        <f>'working capital'!F13</f>
        <v>14.836697583998005</v>
      </c>
      <c r="G11" s="86">
        <f>'working capital'!G13</f>
        <v>18.570823780756655</v>
      </c>
    </row>
    <row r="12" spans="1:7" x14ac:dyDescent="0.25">
      <c r="A12" t="str">
        <f>'working capital'!A14</f>
        <v xml:space="preserve">Creditors for Raw material </v>
      </c>
      <c r="E12" s="86">
        <f>'working capital'!E14</f>
        <v>0</v>
      </c>
      <c r="F12" s="86">
        <f>'working capital'!F14</f>
        <v>0</v>
      </c>
      <c r="G12" s="86">
        <f>'working capital'!G14</f>
        <v>0</v>
      </c>
    </row>
    <row r="13" spans="1:7" x14ac:dyDescent="0.25">
      <c r="A13" t="str">
        <f>'working capital'!A15</f>
        <v xml:space="preserve">Alcoholic beverages </v>
      </c>
      <c r="E13" s="86">
        <f>'working capital'!E15</f>
        <v>2.9808597110093547</v>
      </c>
      <c r="F13" s="86">
        <f>'working capital'!F15</f>
        <v>4.4046527102377295</v>
      </c>
      <c r="G13" s="86">
        <f>'working capital'!G15</f>
        <v>6.1181931313347633</v>
      </c>
    </row>
    <row r="14" spans="1:7" x14ac:dyDescent="0.25">
      <c r="A14" t="str">
        <f>'working capital'!A16</f>
        <v xml:space="preserve">Non alcoholic beverages </v>
      </c>
      <c r="E14" s="86">
        <f>'working capital'!E16</f>
        <v>2.8144812838061721</v>
      </c>
      <c r="F14" s="86">
        <f>'working capital'!F16</f>
        <v>4.1136568313863071</v>
      </c>
      <c r="G14" s="86">
        <f>'working capital'!G16</f>
        <v>5.6926428170118095</v>
      </c>
    </row>
    <row r="15" spans="1:7" x14ac:dyDescent="0.25">
      <c r="A15" t="str">
        <f>'working capital'!A17</f>
        <v xml:space="preserve">Food </v>
      </c>
      <c r="E15" s="86">
        <f>'working capital'!E17</f>
        <v>6.6698444148550546</v>
      </c>
      <c r="F15" s="86">
        <f>'working capital'!F17</f>
        <v>9.6531958392309907</v>
      </c>
      <c r="G15" s="86">
        <f>'working capital'!G17</f>
        <v>13.31140662343225</v>
      </c>
    </row>
    <row r="16" spans="1:7" x14ac:dyDescent="0.25">
      <c r="A16" s="157" t="str">
        <f>'working capital'!A18</f>
        <v xml:space="preserve">Total </v>
      </c>
      <c r="B16" s="157"/>
      <c r="C16" s="157"/>
      <c r="D16" s="157"/>
      <c r="E16" s="150">
        <f>'working capital'!E18</f>
        <v>24.238157802065459</v>
      </c>
      <c r="F16" s="150">
        <f>'working capital'!F18</f>
        <v>33.008202964853034</v>
      </c>
      <c r="G16" s="150">
        <f>'working capital'!G18</f>
        <v>43.693066352535475</v>
      </c>
    </row>
    <row r="17" spans="1:7" x14ac:dyDescent="0.25">
      <c r="E17" s="86"/>
      <c r="F17" s="86"/>
      <c r="G17" s="86"/>
    </row>
    <row r="18" spans="1:7" ht="15.75" thickBot="1" x14ac:dyDescent="0.3">
      <c r="A18" s="160" t="s">
        <v>179</v>
      </c>
      <c r="B18" s="160"/>
      <c r="C18" s="160"/>
      <c r="D18" s="160"/>
      <c r="E18" s="161">
        <f>E16+E8</f>
        <v>-3985.8461176820388</v>
      </c>
      <c r="F18" s="161">
        <f t="shared" ref="F18:H18" si="1">F16+F8</f>
        <v>182818.77179975485</v>
      </c>
      <c r="G18" s="161">
        <f t="shared" si="1"/>
        <v>-8476822.3549175262</v>
      </c>
    </row>
    <row r="19" spans="1:7" ht="15.75" thickTop="1" x14ac:dyDescent="0.25">
      <c r="E19" s="86"/>
      <c r="F19" s="86"/>
      <c r="G19" s="86"/>
    </row>
    <row r="20" spans="1:7" x14ac:dyDescent="0.25">
      <c r="E20" s="86"/>
      <c r="F20" s="86"/>
      <c r="G20" s="86"/>
    </row>
    <row r="21" spans="1:7" x14ac:dyDescent="0.25">
      <c r="A21" s="97" t="s">
        <v>178</v>
      </c>
      <c r="E21" s="86"/>
      <c r="F21" s="86"/>
      <c r="G21" s="86"/>
    </row>
    <row r="22" spans="1:7" x14ac:dyDescent="0.25">
      <c r="A22" s="97" t="s">
        <v>180</v>
      </c>
      <c r="E22" s="86"/>
      <c r="F22" s="86"/>
      <c r="G22" s="86"/>
    </row>
    <row r="23" spans="1:7" x14ac:dyDescent="0.25">
      <c r="A23" s="170" t="str">
        <f>'fixed assest schedule'!A4</f>
        <v>Kitchen Equipments and cutlery</v>
      </c>
      <c r="E23" s="86">
        <f>'fixed assest schedule'!E9</f>
        <v>-1118.6000000000001</v>
      </c>
      <c r="F23" s="86">
        <f>'fixed assest schedule'!F9</f>
        <v>60124.750000000007</v>
      </c>
      <c r="G23" s="86">
        <f>'fixed assest schedule'!G9</f>
        <v>-3231705.3125000005</v>
      </c>
    </row>
    <row r="24" spans="1:7" x14ac:dyDescent="0.25">
      <c r="A24" s="170" t="str">
        <f>'fixed assest schedule'!A11</f>
        <v>Refrigeration Equipments</v>
      </c>
      <c r="E24" s="86">
        <f>'fixed assest schedule'!E16</f>
        <v>-1598</v>
      </c>
      <c r="F24" s="86">
        <f>'fixed assest schedule'!F16</f>
        <v>85892.5</v>
      </c>
      <c r="G24" s="86">
        <f>'fixed assest schedule'!G16</f>
        <v>-4616721.875</v>
      </c>
    </row>
    <row r="25" spans="1:7" x14ac:dyDescent="0.25">
      <c r="A25" s="170" t="str">
        <f>'fixed assest schedule'!A18</f>
        <v>Furniture &amp; Fixtures</v>
      </c>
      <c r="E25" s="86">
        <f>'fixed assest schedule'!E23</f>
        <v>-1183.5</v>
      </c>
      <c r="F25" s="86">
        <f>'fixed assest schedule'!F23</f>
        <v>42014.25</v>
      </c>
      <c r="G25" s="86">
        <f>'fixed assest schedule'!G23</f>
        <v>-1491505.875</v>
      </c>
    </row>
    <row r="26" spans="1:7" x14ac:dyDescent="0.25">
      <c r="A26" s="170" t="str">
        <f>'fixed assest schedule'!A25</f>
        <v>Restaurants Décor</v>
      </c>
      <c r="E26" s="86">
        <f>'fixed assest schedule'!E30</f>
        <v>-1578</v>
      </c>
      <c r="F26" s="86">
        <f>'fixed assest schedule'!F30</f>
        <v>56019.000000000007</v>
      </c>
      <c r="G26" s="86">
        <f>'fixed assest schedule'!G30</f>
        <v>-1988674.5000000005</v>
      </c>
    </row>
    <row r="27" spans="1:7" x14ac:dyDescent="0.25">
      <c r="E27" s="86"/>
      <c r="F27" s="86"/>
      <c r="G27" s="86"/>
    </row>
    <row r="28" spans="1:7" x14ac:dyDescent="0.25">
      <c r="A28" t="s">
        <v>167</v>
      </c>
      <c r="E28" s="86">
        <f>'capital structure'!C11</f>
        <v>10</v>
      </c>
      <c r="F28" s="86">
        <f>E28</f>
        <v>10</v>
      </c>
      <c r="G28" s="86">
        <f>F28</f>
        <v>10</v>
      </c>
    </row>
    <row r="29" spans="1:7" x14ac:dyDescent="0.25">
      <c r="A29" s="157" t="s">
        <v>145</v>
      </c>
      <c r="B29" s="157"/>
      <c r="C29" s="157"/>
      <c r="D29" s="157"/>
      <c r="E29" s="150">
        <f>SUM(E23:E28)</f>
        <v>-5468.1</v>
      </c>
      <c r="F29" s="150">
        <f t="shared" ref="F29:G29" si="2">SUM(F23:F28)</f>
        <v>244060.5</v>
      </c>
      <c r="G29" s="150">
        <f t="shared" si="2"/>
        <v>-11328597.5625</v>
      </c>
    </row>
    <row r="30" spans="1:7" x14ac:dyDescent="0.25">
      <c r="E30" s="86"/>
      <c r="F30" s="86"/>
      <c r="G30" s="86"/>
    </row>
    <row r="31" spans="1:7" x14ac:dyDescent="0.25">
      <c r="A31" s="97" t="str">
        <f>'working capital'!A5</f>
        <v xml:space="preserve">Current assets </v>
      </c>
      <c r="E31" s="86"/>
      <c r="F31" s="86"/>
      <c r="G31" s="86"/>
    </row>
    <row r="32" spans="1:7" x14ac:dyDescent="0.25">
      <c r="A32" t="str">
        <f>'working capital'!A6</f>
        <v>Inventory</v>
      </c>
      <c r="E32" s="86"/>
      <c r="F32" s="86"/>
      <c r="G32" s="86"/>
    </row>
    <row r="33" spans="1:7" x14ac:dyDescent="0.25">
      <c r="A33" s="170" t="str">
        <f>'working capital'!A7</f>
        <v xml:space="preserve">Alcoholic beverages </v>
      </c>
      <c r="E33" s="182">
        <f>'working capital'!E7</f>
        <v>2.9808597110093547</v>
      </c>
      <c r="F33" s="182">
        <f>'working capital'!F7</f>
        <v>4.4046527102377295</v>
      </c>
      <c r="G33" s="182">
        <f>'working capital'!G7</f>
        <v>6.1181931313347633</v>
      </c>
    </row>
    <row r="34" spans="1:7" x14ac:dyDescent="0.25">
      <c r="A34" s="170" t="str">
        <f>'working capital'!A8</f>
        <v xml:space="preserve">Non alcoholic beverages </v>
      </c>
      <c r="E34" s="182">
        <f>'working capital'!E8</f>
        <v>1.4072406419030861</v>
      </c>
      <c r="F34" s="182">
        <f>'working capital'!F8</f>
        <v>2.0568284156931536</v>
      </c>
      <c r="G34" s="182">
        <f>'working capital'!G8</f>
        <v>2.8463214085059048</v>
      </c>
    </row>
    <row r="35" spans="1:7" x14ac:dyDescent="0.25">
      <c r="A35" s="170" t="str">
        <f>'working capital'!A9</f>
        <v xml:space="preserve">Food </v>
      </c>
      <c r="E35" s="182">
        <f>'working capital'!E9</f>
        <v>1.1116407358091758</v>
      </c>
      <c r="F35" s="182">
        <f>'working capital'!F9</f>
        <v>1.6088659732051651</v>
      </c>
      <c r="G35" s="182">
        <f>'working capital'!G9</f>
        <v>2.2185677705720419</v>
      </c>
    </row>
    <row r="36" spans="1:7" x14ac:dyDescent="0.25">
      <c r="A36" s="170" t="s">
        <v>182</v>
      </c>
      <c r="E36" s="182">
        <f>'cash flow statement '!E23</f>
        <v>1439.2773078025523</v>
      </c>
      <c r="F36" s="182">
        <f>'cash flow statement '!F23</f>
        <v>-61299.67425907572</v>
      </c>
      <c r="G36" s="182">
        <f>'cash flow statement '!G23</f>
        <v>2851699.0045320787</v>
      </c>
    </row>
    <row r="37" spans="1:7" x14ac:dyDescent="0.25">
      <c r="A37" s="170"/>
      <c r="E37" s="182"/>
      <c r="F37" s="182"/>
      <c r="G37" s="182"/>
    </row>
    <row r="38" spans="1:7" x14ac:dyDescent="0.25">
      <c r="A38" s="181" t="s">
        <v>145</v>
      </c>
      <c r="B38" s="157"/>
      <c r="C38" s="157"/>
      <c r="D38" s="157"/>
      <c r="E38" s="183">
        <f>SUM(E33:E37)</f>
        <v>1444.7770488912738</v>
      </c>
      <c r="F38" s="183">
        <f t="shared" ref="F38:G38" si="3">SUM(F33:F37)</f>
        <v>-61291.603911976585</v>
      </c>
      <c r="G38" s="183">
        <f t="shared" si="3"/>
        <v>2851710.1876143892</v>
      </c>
    </row>
    <row r="39" spans="1:7" x14ac:dyDescent="0.25">
      <c r="E39" s="86"/>
      <c r="F39" s="86"/>
      <c r="G39" s="86"/>
    </row>
    <row r="40" spans="1:7" ht="15.75" thickBot="1" x14ac:dyDescent="0.3">
      <c r="A40" s="160" t="s">
        <v>181</v>
      </c>
      <c r="B40" s="160"/>
      <c r="C40" s="160"/>
      <c r="D40" s="160"/>
      <c r="E40" s="161">
        <f>E38+E29</f>
        <v>-4023.3229511087266</v>
      </c>
      <c r="F40" s="161">
        <f t="shared" ref="F40:G40" si="4">F38+F29</f>
        <v>182768.89608802341</v>
      </c>
      <c r="G40" s="161">
        <f t="shared" si="4"/>
        <v>-8476887.3748856112</v>
      </c>
    </row>
    <row r="41" spans="1:7" ht="15.75" thickTop="1" x14ac:dyDescent="0.25"/>
    <row r="42" spans="1:7" x14ac:dyDescent="0.25">
      <c r="A42" t="s">
        <v>183</v>
      </c>
    </row>
    <row r="44" spans="1:7" s="169" customFormat="1" x14ac:dyDescent="0.25">
      <c r="A44" s="151" t="s">
        <v>140</v>
      </c>
      <c r="B44" s="162"/>
      <c r="C44" s="162"/>
      <c r="D44" s="1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Assumptions</vt:lpstr>
      <vt:lpstr>convertor</vt:lpstr>
      <vt:lpstr>monthly revenue </vt:lpstr>
      <vt:lpstr>monthly p&amp;l</vt:lpstr>
      <vt:lpstr>capital structure</vt:lpstr>
      <vt:lpstr>fixed assest schedule</vt:lpstr>
      <vt:lpstr>working capital</vt:lpstr>
      <vt:lpstr>annual p&amp;l</vt:lpstr>
      <vt:lpstr>balance-sheet</vt:lpstr>
      <vt:lpstr>cash flow statement </vt:lpstr>
      <vt:lpstr>Den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2015-06-05T18:17:20Z</dcterms:created>
  <dcterms:modified xsi:type="dcterms:W3CDTF">2023-01-30T16:51:40Z</dcterms:modified>
</cp:coreProperties>
</file>