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main\GitHub\reductor\reductor\Расчёты\"/>
    </mc:Choice>
  </mc:AlternateContent>
  <xr:revisionPtr revIDLastSave="0" documentId="13_ncr:1_{B1A5610C-B828-4F71-BB77-D33AD5B23A1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9" i="1" l="1"/>
  <c r="D154" i="1"/>
  <c r="E154" i="1"/>
  <c r="F154" i="1"/>
  <c r="G154" i="1"/>
  <c r="H154" i="1"/>
  <c r="C154" i="1"/>
  <c r="F5" i="2"/>
  <c r="D18" i="2"/>
  <c r="E18" i="2"/>
  <c r="F18" i="2"/>
  <c r="G18" i="2"/>
  <c r="H18" i="2"/>
  <c r="C18" i="2"/>
  <c r="D17" i="2"/>
  <c r="E17" i="2"/>
  <c r="F17" i="2"/>
  <c r="G17" i="2"/>
  <c r="H17" i="2"/>
  <c r="C17" i="2"/>
  <c r="D16" i="2"/>
  <c r="E16" i="2"/>
  <c r="F16" i="2"/>
  <c r="G16" i="2"/>
  <c r="H16" i="2"/>
  <c r="C16" i="2"/>
  <c r="D15" i="2"/>
  <c r="E15" i="2"/>
  <c r="F15" i="2"/>
  <c r="G15" i="2"/>
  <c r="H15" i="2"/>
  <c r="C15" i="2"/>
  <c r="D9" i="2"/>
  <c r="E9" i="2"/>
  <c r="F9" i="2"/>
  <c r="G9" i="2"/>
  <c r="H9" i="2"/>
  <c r="C9" i="2"/>
  <c r="D5" i="2"/>
  <c r="E5" i="2"/>
  <c r="G5" i="2"/>
  <c r="H5" i="2"/>
  <c r="C5" i="2"/>
  <c r="B7" i="2"/>
  <c r="C7" i="2"/>
  <c r="D7" i="2"/>
  <c r="E7" i="2"/>
  <c r="F7" i="2"/>
  <c r="G7" i="2"/>
  <c r="H7" i="2"/>
  <c r="B3" i="2"/>
  <c r="C3" i="2"/>
  <c r="D3" i="2"/>
  <c r="E3" i="2"/>
  <c r="F3" i="2"/>
  <c r="G3" i="2"/>
  <c r="H3" i="2"/>
  <c r="B11" i="2"/>
  <c r="C11" i="2"/>
  <c r="D11" i="2"/>
  <c r="E11" i="2"/>
  <c r="F11" i="2"/>
  <c r="G11" i="2"/>
  <c r="H11" i="2"/>
  <c r="A11" i="2"/>
  <c r="A3" i="2"/>
  <c r="A7" i="2"/>
  <c r="C143" i="1"/>
  <c r="D150" i="1"/>
  <c r="E150" i="1"/>
  <c r="F150" i="1"/>
  <c r="G150" i="1"/>
  <c r="H150" i="1"/>
  <c r="C150" i="1"/>
  <c r="L18" i="1"/>
  <c r="L19" i="1"/>
  <c r="L20" i="1"/>
  <c r="L21" i="1"/>
  <c r="H13" i="1"/>
  <c r="H145" i="1"/>
  <c r="G145" i="1"/>
  <c r="F145" i="1"/>
  <c r="E145" i="1"/>
  <c r="D145" i="1"/>
  <c r="C164" i="1"/>
  <c r="E142" i="1"/>
  <c r="G142" i="1"/>
  <c r="C142" i="1"/>
  <c r="C165" i="1"/>
  <c r="D147" i="1"/>
  <c r="D148" i="1"/>
  <c r="D149" i="1"/>
  <c r="F146" i="1"/>
  <c r="E172" i="1"/>
  <c r="G172" i="1"/>
  <c r="C172" i="1"/>
  <c r="C131" i="1"/>
  <c r="C136" i="1" s="1"/>
  <c r="E61" i="1"/>
  <c r="E175" i="1" s="1"/>
  <c r="C61" i="1"/>
  <c r="C175" i="1" s="1"/>
  <c r="G69" i="1"/>
  <c r="H69" i="1" s="1"/>
  <c r="J134" i="1"/>
  <c r="C132" i="1" s="1"/>
  <c r="E131" i="1"/>
  <c r="E136" i="1" s="1"/>
  <c r="G131" i="1"/>
  <c r="G136" i="1" s="1"/>
  <c r="H128" i="1"/>
  <c r="H127" i="1"/>
  <c r="H126" i="1"/>
  <c r="F128" i="1"/>
  <c r="F127" i="1"/>
  <c r="F126" i="1"/>
  <c r="D126" i="1"/>
  <c r="D127" i="1"/>
  <c r="H123" i="1"/>
  <c r="H172" i="1" s="1"/>
  <c r="F123" i="1"/>
  <c r="F172" i="1" s="1"/>
  <c r="D123" i="1"/>
  <c r="D131" i="1" s="1"/>
  <c r="J57" i="1"/>
  <c r="E89" i="1"/>
  <c r="G89" i="1"/>
  <c r="C89" i="1"/>
  <c r="F88" i="1"/>
  <c r="H88" i="1"/>
  <c r="D88" i="1"/>
  <c r="E69" i="1"/>
  <c r="F69" i="1" s="1"/>
  <c r="F84" i="1" s="1"/>
  <c r="C69" i="1"/>
  <c r="C84" i="1" s="1"/>
  <c r="C85" i="1" s="1"/>
  <c r="F60" i="1"/>
  <c r="F131" i="1" s="1"/>
  <c r="D60" i="1"/>
  <c r="H52" i="1"/>
  <c r="F52" i="1"/>
  <c r="D52" i="1"/>
  <c r="D3" i="1"/>
  <c r="E3" i="1" s="1"/>
  <c r="F3" i="1" s="1"/>
  <c r="G3" i="1" s="1"/>
  <c r="H3" i="1" s="1"/>
  <c r="H25" i="1" s="1"/>
  <c r="D6" i="1"/>
  <c r="E6" i="1" s="1"/>
  <c r="F6" i="1" s="1"/>
  <c r="G6" i="1" s="1"/>
  <c r="H6" i="1" s="1"/>
  <c r="D7" i="1"/>
  <c r="E7" i="1" s="1"/>
  <c r="F7" i="1" s="1"/>
  <c r="G7" i="1" s="1"/>
  <c r="H7" i="1" s="1"/>
  <c r="H45" i="1"/>
  <c r="F45" i="1"/>
  <c r="D45" i="1"/>
  <c r="D43" i="1"/>
  <c r="H43" i="1"/>
  <c r="F43" i="1"/>
  <c r="D44" i="1"/>
  <c r="D61" i="1" s="1"/>
  <c r="D175" i="1" s="1"/>
  <c r="F44" i="1"/>
  <c r="J38" i="1"/>
  <c r="H12" i="1"/>
  <c r="C11" i="1"/>
  <c r="C62" i="1" s="1"/>
  <c r="L5" i="1"/>
  <c r="G138" i="1" l="1"/>
  <c r="G140" i="1"/>
  <c r="E140" i="1"/>
  <c r="E138" i="1"/>
  <c r="C66" i="1"/>
  <c r="D62" i="1"/>
  <c r="H30" i="1"/>
  <c r="H37" i="1" s="1"/>
  <c r="H29" i="1"/>
  <c r="H36" i="1" s="1"/>
  <c r="C137" i="1"/>
  <c r="C138" i="1"/>
  <c r="C140" i="1"/>
  <c r="C171" i="1" s="1"/>
  <c r="F61" i="1"/>
  <c r="F175" i="1" s="1"/>
  <c r="H136" i="1"/>
  <c r="D172" i="1"/>
  <c r="D136" i="1"/>
  <c r="F136" i="1"/>
  <c r="H60" i="1"/>
  <c r="H131" i="1" s="1"/>
  <c r="E132" i="1"/>
  <c r="E137" i="1" s="1"/>
  <c r="F132" i="1"/>
  <c r="G132" i="1"/>
  <c r="G137" i="1" s="1"/>
  <c r="D132" i="1"/>
  <c r="E84" i="1"/>
  <c r="E85" i="1" s="1"/>
  <c r="E86" i="1" s="1"/>
  <c r="F85" i="1"/>
  <c r="F86" i="1" s="1"/>
  <c r="C86" i="1"/>
  <c r="H84" i="1"/>
  <c r="G84" i="1"/>
  <c r="G85" i="1" s="1"/>
  <c r="C70" i="1"/>
  <c r="D69" i="1"/>
  <c r="C13" i="1"/>
  <c r="D13" i="1"/>
  <c r="G44" i="1"/>
  <c r="L6" i="1"/>
  <c r="D12" i="1" s="1"/>
  <c r="D25" i="1" s="1"/>
  <c r="C12" i="1"/>
  <c r="D11" i="1"/>
  <c r="D30" i="1" l="1"/>
  <c r="D37" i="1" s="1"/>
  <c r="D29" i="1"/>
  <c r="D36" i="1" s="1"/>
  <c r="H141" i="1"/>
  <c r="H139" i="1"/>
  <c r="H138" i="1"/>
  <c r="H140" i="1"/>
  <c r="D141" i="1"/>
  <c r="D139" i="1"/>
  <c r="D138" i="1"/>
  <c r="D140" i="1"/>
  <c r="D137" i="1"/>
  <c r="F140" i="1"/>
  <c r="F138" i="1"/>
  <c r="F141" i="1"/>
  <c r="F139" i="1"/>
  <c r="F137" i="1"/>
  <c r="G61" i="1"/>
  <c r="G175" i="1" s="1"/>
  <c r="D169" i="1"/>
  <c r="D180" i="1"/>
  <c r="D171" i="1"/>
  <c r="C25" i="1"/>
  <c r="C63" i="1"/>
  <c r="C169" i="1"/>
  <c r="C180" i="1"/>
  <c r="H85" i="1"/>
  <c r="H132" i="1"/>
  <c r="H137" i="1" s="1"/>
  <c r="G86" i="1"/>
  <c r="G87" i="1" s="1"/>
  <c r="E88" i="1"/>
  <c r="E87" i="1"/>
  <c r="C87" i="1"/>
  <c r="C88" i="1"/>
  <c r="D84" i="1"/>
  <c r="D85" i="1" s="1"/>
  <c r="F87" i="1"/>
  <c r="F89" i="1"/>
  <c r="H86" i="1"/>
  <c r="D70" i="1"/>
  <c r="C71" i="1" s="1"/>
  <c r="D71" i="1" s="1"/>
  <c r="D66" i="1"/>
  <c r="H44" i="1"/>
  <c r="E14" i="1"/>
  <c r="E13" i="1"/>
  <c r="E12" i="1"/>
  <c r="D63" i="1"/>
  <c r="C14" i="1"/>
  <c r="D14" i="1" s="1"/>
  <c r="E171" i="1" l="1"/>
  <c r="C30" i="1"/>
  <c r="C37" i="1" s="1"/>
  <c r="C40" i="1" s="1"/>
  <c r="C29" i="1"/>
  <c r="C36" i="1" s="1"/>
  <c r="C135" i="1"/>
  <c r="C161" i="1" s="1"/>
  <c r="C134" i="1"/>
  <c r="C160" i="1" s="1"/>
  <c r="C38" i="1"/>
  <c r="D135" i="1"/>
  <c r="D161" i="1" s="1"/>
  <c r="D159" i="1"/>
  <c r="D134" i="1"/>
  <c r="D160" i="1" s="1"/>
  <c r="H61" i="1"/>
  <c r="H175" i="1" s="1"/>
  <c r="E25" i="1"/>
  <c r="E180" i="1"/>
  <c r="E169" i="1"/>
  <c r="G88" i="1"/>
  <c r="H89" i="1"/>
  <c r="H87" i="1"/>
  <c r="D86" i="1"/>
  <c r="D40" i="1"/>
  <c r="L11" i="1"/>
  <c r="L14" i="1" s="1"/>
  <c r="E11" i="1" s="1"/>
  <c r="C39" i="1" l="1"/>
  <c r="C46" i="1" s="1"/>
  <c r="D38" i="1"/>
  <c r="E30" i="1"/>
  <c r="E37" i="1" s="1"/>
  <c r="E29" i="1"/>
  <c r="E36" i="1" s="1"/>
  <c r="F11" i="1"/>
  <c r="F171" i="1" s="1"/>
  <c r="E62" i="1"/>
  <c r="D87" i="1"/>
  <c r="D89" i="1"/>
  <c r="D39" i="1"/>
  <c r="L7" i="1"/>
  <c r="E66" i="1" l="1"/>
  <c r="E63" i="1"/>
  <c r="C47" i="1"/>
  <c r="C48" i="1"/>
  <c r="C50" i="1"/>
  <c r="D46" i="1"/>
  <c r="D47" i="1" s="1"/>
  <c r="F12" i="1"/>
  <c r="F25" i="1" s="1"/>
  <c r="F13" i="1"/>
  <c r="L15" i="1"/>
  <c r="G11" i="1" s="1"/>
  <c r="F63" i="1" l="1"/>
  <c r="E135" i="1"/>
  <c r="E161" i="1" s="1"/>
  <c r="E159" i="1"/>
  <c r="E134" i="1"/>
  <c r="E160" i="1" s="1"/>
  <c r="G70" i="1"/>
  <c r="G62" i="1"/>
  <c r="F176" i="1"/>
  <c r="G171" i="1"/>
  <c r="C57" i="1"/>
  <c r="C65" i="1" s="1"/>
  <c r="F29" i="1"/>
  <c r="F36" i="1" s="1"/>
  <c r="E38" i="1" s="1"/>
  <c r="F30" i="1"/>
  <c r="F37" i="1" s="1"/>
  <c r="E40" i="1" s="1"/>
  <c r="F180" i="1"/>
  <c r="F169" i="1"/>
  <c r="D48" i="1"/>
  <c r="C49" i="1"/>
  <c r="D49" i="1" s="1"/>
  <c r="C51" i="1"/>
  <c r="C56" i="1" s="1"/>
  <c r="C58" i="1" s="1"/>
  <c r="G12" i="1"/>
  <c r="H11" i="1"/>
  <c r="H171" i="1" s="1"/>
  <c r="H70" i="1"/>
  <c r="G71" i="1" s="1"/>
  <c r="H71" i="1" s="1"/>
  <c r="D50" i="1"/>
  <c r="E70" i="1"/>
  <c r="F70" i="1" s="1"/>
  <c r="E71" i="1" s="1"/>
  <c r="F71" i="1" s="1"/>
  <c r="F14" i="1"/>
  <c r="G13" i="1"/>
  <c r="G14" i="1"/>
  <c r="H14" i="1" s="1"/>
  <c r="H62" i="1" l="1"/>
  <c r="G66" i="1"/>
  <c r="C157" i="1"/>
  <c r="H180" i="1"/>
  <c r="H169" i="1"/>
  <c r="C156" i="1"/>
  <c r="F134" i="1"/>
  <c r="F160" i="1" s="1"/>
  <c r="F135" i="1"/>
  <c r="F161" i="1" s="1"/>
  <c r="F159" i="1"/>
  <c r="G25" i="1"/>
  <c r="G169" i="1"/>
  <c r="G180" i="1"/>
  <c r="G63" i="1"/>
  <c r="E39" i="1"/>
  <c r="E46" i="1" s="1"/>
  <c r="F38" i="1"/>
  <c r="D58" i="1"/>
  <c r="D51" i="1"/>
  <c r="D56" i="1" s="1"/>
  <c r="C90" i="1"/>
  <c r="H66" i="1"/>
  <c r="F40" i="1"/>
  <c r="F66" i="1"/>
  <c r="F62" i="1"/>
  <c r="E48" i="1" l="1"/>
  <c r="E47" i="1"/>
  <c r="E50" i="1"/>
  <c r="D57" i="1"/>
  <c r="D65" i="1" s="1"/>
  <c r="G159" i="1"/>
  <c r="G134" i="1"/>
  <c r="G160" i="1" s="1"/>
  <c r="H63" i="1"/>
  <c r="G135" i="1"/>
  <c r="G161" i="1" s="1"/>
  <c r="G29" i="1"/>
  <c r="G36" i="1" s="1"/>
  <c r="G38" i="1" s="1"/>
  <c r="G30" i="1"/>
  <c r="G37" i="1" s="1"/>
  <c r="G40" i="1" s="1"/>
  <c r="H40" i="1" s="1"/>
  <c r="D90" i="1"/>
  <c r="H135" i="1" l="1"/>
  <c r="H161" i="1" s="1"/>
  <c r="H159" i="1"/>
  <c r="H134" i="1"/>
  <c r="H160" i="1" s="1"/>
  <c r="H38" i="1"/>
  <c r="G39" i="1"/>
  <c r="G46" i="1" s="1"/>
  <c r="E49" i="1"/>
  <c r="F49" i="1" s="1"/>
  <c r="F48" i="1"/>
  <c r="E51" i="1"/>
  <c r="E57" i="1" s="1"/>
  <c r="E65" i="1" s="1"/>
  <c r="F39" i="1"/>
  <c r="E56" i="1" l="1"/>
  <c r="E58" i="1" s="1"/>
  <c r="G48" i="1"/>
  <c r="G47" i="1"/>
  <c r="G50" i="1"/>
  <c r="H39" i="1"/>
  <c r="H46" i="1"/>
  <c r="H47" i="1" s="1"/>
  <c r="F46" i="1"/>
  <c r="F47" i="1" s="1"/>
  <c r="G57" i="1" l="1"/>
  <c r="G49" i="1"/>
  <c r="H49" i="1" s="1"/>
  <c r="H48" i="1"/>
  <c r="G51" i="1"/>
  <c r="G56" i="1" s="1"/>
  <c r="F50" i="1"/>
  <c r="H50" i="1"/>
  <c r="H51" i="1" l="1"/>
  <c r="H57" i="1" s="1"/>
  <c r="G90" i="1"/>
  <c r="F51" i="1"/>
  <c r="F56" i="1" s="1"/>
  <c r="E90" i="1"/>
  <c r="G58" i="1"/>
  <c r="H56" i="1" l="1"/>
  <c r="F57" i="1"/>
  <c r="F65" i="1" s="1"/>
  <c r="F90" i="1"/>
  <c r="H90" i="1"/>
  <c r="F58" i="1"/>
  <c r="G59" i="1"/>
  <c r="G65" i="1" s="1"/>
  <c r="H58" i="1"/>
  <c r="H59" i="1" s="1"/>
  <c r="H65" i="1" s="1"/>
</calcChain>
</file>

<file path=xl/sharedStrings.xml><?xml version="1.0" encoding="utf-8"?>
<sst xmlns="http://schemas.openxmlformats.org/spreadsheetml/2006/main" count="355" uniqueCount="239">
  <si>
    <t>Параметр</t>
  </si>
  <si>
    <t>Формула</t>
  </si>
  <si>
    <t>Ш1</t>
  </si>
  <si>
    <t>К1</t>
  </si>
  <si>
    <t>Ш2</t>
  </si>
  <si>
    <t>К2</t>
  </si>
  <si>
    <t>Ш3</t>
  </si>
  <si>
    <t>К3</t>
  </si>
  <si>
    <t>ресурс, часов</t>
  </si>
  <si>
    <t>режим работы</t>
  </si>
  <si>
    <t>степень точности</t>
  </si>
  <si>
    <t>коэффициент перегрузки</t>
  </si>
  <si>
    <t>коэффициент внешней динамической нагрузки</t>
  </si>
  <si>
    <t>направление нагрузки</t>
  </si>
  <si>
    <t>тип зацепления</t>
  </si>
  <si>
    <t>тип зубьев</t>
  </si>
  <si>
    <t>передаточное число</t>
  </si>
  <si>
    <t>частота вращения, об/мин</t>
  </si>
  <si>
    <t>вращающий момент, Н*м</t>
  </si>
  <si>
    <t>оценка диаметра, мм</t>
  </si>
  <si>
    <t>заготовка</t>
  </si>
  <si>
    <t>материал</t>
  </si>
  <si>
    <t>термообработка</t>
  </si>
  <si>
    <t>положение на валу</t>
  </si>
  <si>
    <t>Исходные данные</t>
  </si>
  <si>
    <t>Допускаемые напряжения</t>
  </si>
  <si>
    <t>базовые числа циклов, млн</t>
  </si>
  <si>
    <t>числа циклов нагружения, млн</t>
  </si>
  <si>
    <t>параметр кривой усталости</t>
  </si>
  <si>
    <t>коэффициенты режима нагружения</t>
  </si>
  <si>
    <t>коэффициенты долговечности</t>
  </si>
  <si>
    <t>коэффициенты скорости и смазки</t>
  </si>
  <si>
    <t>коэффициенты шероховатости</t>
  </si>
  <si>
    <t>коэффициент реверса нагрузки</t>
  </si>
  <si>
    <t>коэффициент типа заготовки</t>
  </si>
  <si>
    <t>допускаемые напряжения, МПа</t>
  </si>
  <si>
    <t>допускаемые пиковые напряжения, МПа</t>
  </si>
  <si>
    <t>пределы выносливости, МПа</t>
  </si>
  <si>
    <t>коэффициент приработки (для косозубых)</t>
  </si>
  <si>
    <t>минимальные допускаемые напряжения, Мпа</t>
  </si>
  <si>
    <t>Габаритные размеры</t>
  </si>
  <si>
    <t>коэффициент для оценки a_w</t>
  </si>
  <si>
    <t>коэффициенты ширины венца</t>
  </si>
  <si>
    <t>коэффициенты по длине контурных линий</t>
  </si>
  <si>
    <t>межосевое расстояние, мм (предварительно)</t>
  </si>
  <si>
    <t>ширина венца, мм</t>
  </si>
  <si>
    <t>начальные диаметры, мм</t>
  </si>
  <si>
    <t>максимальный модуль, мм</t>
  </si>
  <si>
    <t>окружная скорость, м/с</t>
  </si>
  <si>
    <t>окружная сила, Н</t>
  </si>
  <si>
    <t>параметры, зависящие от степени точности</t>
  </si>
  <si>
    <t>параметры, зависящие от твердости колеса</t>
  </si>
  <si>
    <t>коэффициенты внутренней динамической нагрузки</t>
  </si>
  <si>
    <t>межосевое расстояние</t>
  </si>
  <si>
    <t xml:space="preserve"> коэффициент для оценки m</t>
  </si>
  <si>
    <t>минимальный и максимальный модули, мм</t>
  </si>
  <si>
    <t>Расчет для прямозубых передач</t>
  </si>
  <si>
    <t>модуль</t>
  </si>
  <si>
    <t>суммарное число зубьев</t>
  </si>
  <si>
    <t>числа зубьев</t>
  </si>
  <si>
    <t>a_w без коррекции</t>
  </si>
  <si>
    <t>суммарный коэффициент смещения исходного конутура</t>
  </si>
  <si>
    <t>коэффициент уравнения смещения</t>
  </si>
  <si>
    <t>коэффициенты смещения исходного контура</t>
  </si>
  <si>
    <t>радиальная сила, Н</t>
  </si>
  <si>
    <t>осевая сила, Н</t>
  </si>
  <si>
    <t>делительные диаметры, мм</t>
  </si>
  <si>
    <t>основные диаметры, мм</t>
  </si>
  <si>
    <t>диаметры вершин, мм</t>
  </si>
  <si>
    <t>диаметры впадин, мм</t>
  </si>
  <si>
    <t>Расчет для косозубых и шевронных передач</t>
  </si>
  <si>
    <t>минимальное и максимальное числа зубьев</t>
  </si>
  <si>
    <t>(6, 7, 8, 9)</t>
  </si>
  <si>
    <t>K_п</t>
  </si>
  <si>
    <t>K_A</t>
  </si>
  <si>
    <t>(постоянное, реверсивное)</t>
  </si>
  <si>
    <t>внешнее (+), внутреннее (-)</t>
  </si>
  <si>
    <t>Прямо-, Косозубые, Шевронные</t>
  </si>
  <si>
    <t>u</t>
  </si>
  <si>
    <t>n</t>
  </si>
  <si>
    <t>T</t>
  </si>
  <si>
    <t>(поковка, прокат, отливка)</t>
  </si>
  <si>
    <t>Ш:   К:</t>
  </si>
  <si>
    <t>(У, ОЗ, ТВЧ, Ц, НЦ, А)</t>
  </si>
  <si>
    <t>симметрично, несимметрично, консольно</t>
  </si>
  <si>
    <t>угол зацепления, °</t>
  </si>
  <si>
    <t>минимальный и максимальный углы наклона зубьев, °</t>
  </si>
  <si>
    <t>угол профиля в торцевом сечении, °</t>
  </si>
  <si>
    <t>угол наклона зубьев, °</t>
  </si>
  <si>
    <t>L_Σ</t>
  </si>
  <si>
    <t>N_K=60*L_Σ*n</t>
  </si>
  <si>
    <t>d_1=8*(T_1)^(1/3); d_2=d_1*u</t>
  </si>
  <si>
    <r>
      <rPr>
        <sz val="11"/>
        <color theme="1"/>
        <rFont val="Aptos Narrow"/>
        <family val="2"/>
      </rPr>
      <t>σ</t>
    </r>
    <r>
      <rPr>
        <sz val="11"/>
        <color theme="1"/>
        <rFont val="Calibri"/>
        <family val="2"/>
      </rPr>
      <t>_Hlim [T_1]</t>
    </r>
  </si>
  <si>
    <r>
      <rPr>
        <sz val="11"/>
        <color theme="1"/>
        <rFont val="Aptos Narrow"/>
        <family val="2"/>
      </rPr>
      <t>σ</t>
    </r>
    <r>
      <rPr>
        <sz val="11"/>
        <color theme="1"/>
        <rFont val="Calibri"/>
        <family val="2"/>
      </rPr>
      <t>_Flim [T_1]</t>
    </r>
  </si>
  <si>
    <r>
      <rPr>
        <sz val="11"/>
        <color theme="1"/>
        <rFont val="Aptos Narrow"/>
        <family val="2"/>
      </rPr>
      <t>σ</t>
    </r>
    <r>
      <rPr>
        <sz val="11"/>
        <color theme="1"/>
        <rFont val="Calibri"/>
        <family val="2"/>
      </rPr>
      <t>_Hpmax [T_1]</t>
    </r>
  </si>
  <si>
    <t>σ_Fpmax [T_1]</t>
  </si>
  <si>
    <t>N_HG [T_1]</t>
  </si>
  <si>
    <t>m_F [T_2]</t>
  </si>
  <si>
    <r>
      <rPr>
        <sz val="11"/>
        <color theme="1"/>
        <rFont val="Aptos Narrow"/>
        <family val="2"/>
      </rPr>
      <t>μ</t>
    </r>
    <r>
      <rPr>
        <sz val="11"/>
        <color theme="1"/>
        <rFont val="Calibri"/>
        <family val="2"/>
      </rPr>
      <t>_H [T_2]</t>
    </r>
  </si>
  <si>
    <r>
      <rPr>
        <sz val="11"/>
        <color theme="1"/>
        <rFont val="Aptos Narrow"/>
        <family val="2"/>
      </rPr>
      <t>μ</t>
    </r>
    <r>
      <rPr>
        <sz val="11"/>
        <color theme="1"/>
        <rFont val="Calibri"/>
        <family val="2"/>
      </rPr>
      <t>_F [T_2]</t>
    </r>
  </si>
  <si>
    <t>Z_v*Z_L</t>
  </si>
  <si>
    <t>Z_N=(N_HG/(N_K*μ_H))^(1/6) [T_2]</t>
  </si>
  <si>
    <t>Y_N=(4 млн/(N_K*μ_F))^(1/m_F) [T_2]</t>
  </si>
  <si>
    <t>Z_R [T_4]</t>
  </si>
  <si>
    <t>Y_R [T_4]</t>
  </si>
  <si>
    <t>Y_A [T_3]</t>
  </si>
  <si>
    <t>Y_z [T_1]</t>
  </si>
  <si>
    <t>σ_HP=σ_Hlim*Z_N*Z_R*Z_v*Z_L/1,3</t>
  </si>
  <si>
    <t>σ_FP=σ_Flim*Y_N*Y_A*Y_Z*Y_R/1,7</t>
  </si>
  <si>
    <t>Z_W=0,45*(1+σ_HP1/σ_HP2)=1…1,25</t>
  </si>
  <si>
    <t>σ_HP=Z_W*min(σ_HP1, σ_HP2)</t>
  </si>
  <si>
    <t>σ_FP=min(σ_FP1, σ_FP2)</t>
  </si>
  <si>
    <t>K_a=490[П]   K_a=430[КШ]</t>
  </si>
  <si>
    <r>
      <rPr>
        <sz val="11"/>
        <color theme="1"/>
        <rFont val="Aptos Narrow"/>
        <family val="2"/>
      </rPr>
      <t>ψ</t>
    </r>
    <r>
      <rPr>
        <sz val="11"/>
        <color theme="1"/>
        <rFont val="Calibri"/>
        <family val="2"/>
      </rPr>
      <t>_bd=ψ_ba*(u±1)/2 [T_5]</t>
    </r>
  </si>
  <si>
    <t>ψ_ba=2*ψ_bd/(u±1)</t>
  </si>
  <si>
    <r>
      <t>K_H</t>
    </r>
    <r>
      <rPr>
        <sz val="11"/>
        <color theme="1"/>
        <rFont val="Aptos Narrow"/>
        <family val="2"/>
      </rPr>
      <t>β</t>
    </r>
    <r>
      <rPr>
        <sz val="11"/>
        <color theme="1"/>
        <rFont val="Calibri"/>
        <family val="2"/>
        <scheme val="minor"/>
      </rPr>
      <t>=K_Fβ [T_5]</t>
    </r>
  </si>
  <si>
    <t>a'_w=K_a*(u±1)*(K_A*K_Hβ*T_1/(ψ_ba*u*(σ_HP)^2))^(1/3)</t>
  </si>
  <si>
    <t>b_w=ψ_ba*a'_w</t>
  </si>
  <si>
    <t>d_w1=2*a'_w/(u±1); d_w2=d_w1*u</t>
  </si>
  <si>
    <t>m_max=d_w1/17</t>
  </si>
  <si>
    <t>v=n_1*a'_w/(9550*(u±1))</t>
  </si>
  <si>
    <t>F_t=2*10^3*T_1/d_w1</t>
  </si>
  <si>
    <t>g_0 [T_7]</t>
  </si>
  <si>
    <t>f_pb [T_7]</t>
  </si>
  <si>
    <r>
      <rPr>
        <sz val="11"/>
        <color theme="1"/>
        <rFont val="Aptos Narrow"/>
        <family val="2"/>
      </rPr>
      <t>δ</t>
    </r>
    <r>
      <rPr>
        <sz val="11"/>
        <color theme="1"/>
        <rFont val="Calibri"/>
        <family val="2"/>
      </rPr>
      <t>_H [T_6]</t>
    </r>
  </si>
  <si>
    <r>
      <rPr>
        <sz val="11"/>
        <color theme="1"/>
        <rFont val="Aptos Narrow"/>
        <family val="2"/>
      </rPr>
      <t>δ</t>
    </r>
    <r>
      <rPr>
        <sz val="11"/>
        <color theme="1"/>
        <rFont val="Calibri"/>
        <family val="2"/>
      </rPr>
      <t>_F [T_6]</t>
    </r>
  </si>
  <si>
    <t>K_Hv=1+δ_H*g_0*v*b_w/(K_A*K_Hβ*F_t)*(a_w/u)^(1/2)=1…2</t>
  </si>
  <si>
    <t>K_Fv=1+δ_F*g_0*v*b_w/(K_A*K_Hβ*F_t)*(a_w/u)^(1/2)=1…2</t>
  </si>
  <si>
    <r>
      <t>коэффициенты распределения нагрузки между зубьями (K_H</t>
    </r>
    <r>
      <rPr>
        <sz val="11"/>
        <color theme="1"/>
        <rFont val="Calibri"/>
        <family val="2"/>
        <charset val="204"/>
      </rPr>
      <t>α</t>
    </r>
    <r>
      <rPr>
        <sz val="11"/>
        <color theme="1"/>
        <rFont val="Calibri"/>
        <family val="2"/>
        <scheme val="minor"/>
      </rPr>
      <t>=1…2)</t>
    </r>
  </si>
  <si>
    <t>K_Hα=0,9+1,7*b_w*((f_Pb1)^2+(f_Pb2)^2)^(1/2)/(K_A*K_Hv*K_Hβ*F_t)</t>
  </si>
  <si>
    <t>K_Fα=K_Hα=1…1,6</t>
  </si>
  <si>
    <t>a_w=a'_w*(K_Hv*K_Hα)^(1/3)</t>
  </si>
  <si>
    <t>b_w=ψ_ba*a_w</t>
  </si>
  <si>
    <t>d_w1=2*a_w/(u±1); d_w2=d_w1*u</t>
  </si>
  <si>
    <t>K_m=4 [П]   K_m=2,5 [КШ]</t>
  </si>
  <si>
    <t>m_min=(K_A*K_Fv*K_Fα*K_Fβ*F_t)/(b_w*σ_FP)</t>
  </si>
  <si>
    <t>m=m_min…m_max [T9]</t>
  </si>
  <si>
    <t>z_Σ=[2*a_w/m]</t>
  </si>
  <si>
    <t>z_1=[z_Σ/(u±1)]   z_2=z_Σ∓z_1</t>
  </si>
  <si>
    <t>u=z_2/z_1</t>
  </si>
  <si>
    <t>a=m*z_Σ/a_w</t>
  </si>
  <si>
    <t>a_w=a*cos(a*cos(20°)/a_w)</t>
  </si>
  <si>
    <t>x_Σ=z_Σ*(inv(a_w)-inv(20°))/(2*tg(20°))</t>
  </si>
  <si>
    <r>
      <rPr>
        <sz val="11"/>
        <color theme="1"/>
        <rFont val="Aptos Narrow"/>
        <family val="2"/>
      </rPr>
      <t>∆</t>
    </r>
    <r>
      <rPr>
        <sz val="11"/>
        <color theme="1"/>
        <rFont val="Calibri"/>
        <family val="2"/>
        <scheme val="minor"/>
      </rPr>
      <t>_y=x_Σ+z_Σ/2-a_w/m</t>
    </r>
  </si>
  <si>
    <t>x_1=x_Σ   x_2=0 [+]</t>
  </si>
  <si>
    <t>x_1=0   x_2=x_Σ [-]</t>
  </si>
  <si>
    <t>F_r=F_t*tg(a_w)</t>
  </si>
  <si>
    <t>F_a</t>
  </si>
  <si>
    <t>d=m*z</t>
  </si>
  <si>
    <t>d_b=d*cos(20°)</t>
  </si>
  <si>
    <t>d_a=d+2*m*(1+x-∆_y)</t>
  </si>
  <si>
    <t>d_a2=d_2-2*m*(0,8-x_2+∆_y) [-]</t>
  </si>
  <si>
    <t>d_f=d-2*m*(1,25+x)</t>
  </si>
  <si>
    <t>d_f2=d_2+2*m*(1,25+x_2) [-]</t>
  </si>
  <si>
    <t>β_max=22 [К]   β_max=45 [Ш]</t>
  </si>
  <si>
    <t>z_Σmin=(2*a_w/m)*cos(β_max)</t>
  </si>
  <si>
    <t>z_Σmax=(2*a_w/m)*cos(β_min)</t>
  </si>
  <si>
    <t>z_Σ=z_Σmin...z_Σmax</t>
  </si>
  <si>
    <t>x_1=0   x_2=0</t>
  </si>
  <si>
    <t>β=arccos(m*z_Σ/(2*a_w))</t>
  </si>
  <si>
    <t>a_t=arctan(tg(20°)/cos(β))</t>
  </si>
  <si>
    <r>
      <t>β_min=arcsin(</t>
    </r>
    <r>
      <rPr>
        <sz val="11"/>
        <color theme="1"/>
        <rFont val="Calibri"/>
        <family val="2"/>
        <charset val="204"/>
      </rPr>
      <t>π*m/b_w</t>
    </r>
    <r>
      <rPr>
        <sz val="11"/>
        <color theme="1"/>
        <rFont val="Calibri"/>
        <family val="2"/>
        <scheme val="minor"/>
      </rPr>
      <t>) [К]   β_min=25 [Ш]</t>
    </r>
  </si>
  <si>
    <t>F_a=F_t*tg(β) [К]   F_a=0 [Ш]</t>
  </si>
  <si>
    <t xml:space="preserve">d=m*z/cos(β) </t>
  </si>
  <si>
    <r>
      <t>d_b=d*cos(</t>
    </r>
    <r>
      <rPr>
        <sz val="11"/>
        <color theme="1"/>
        <rFont val="Calibri"/>
        <family val="2"/>
        <charset val="204"/>
      </rPr>
      <t>α</t>
    </r>
    <r>
      <rPr>
        <sz val="11"/>
        <color theme="1"/>
        <rFont val="Calibri"/>
        <family val="2"/>
      </rPr>
      <t>_t</t>
    </r>
    <r>
      <rPr>
        <sz val="11"/>
        <color theme="1"/>
        <rFont val="Calibri"/>
        <family val="2"/>
        <scheme val="minor"/>
      </rPr>
      <t>)</t>
    </r>
  </si>
  <si>
    <t>d_a=d+2*m</t>
  </si>
  <si>
    <t>d_a2=d_2-1,6*m [-]</t>
  </si>
  <si>
    <t>d_f=d-2,5*m</t>
  </si>
  <si>
    <t>d_f2=d_2+2,5*m [-]</t>
  </si>
  <si>
    <t>(0, I, II, III, IV, V)</t>
  </si>
  <si>
    <t>Р</t>
  </si>
  <si>
    <t>+</t>
  </si>
  <si>
    <t>-</t>
  </si>
  <si>
    <t>К</t>
  </si>
  <si>
    <t>n_эд</t>
  </si>
  <si>
    <t>n_T</t>
  </si>
  <si>
    <t>передаточное число редуктора</t>
  </si>
  <si>
    <t>передаточное число тихоходной ступени, об/мин</t>
  </si>
  <si>
    <t>мощность электродвигателя, кВт</t>
  </si>
  <si>
    <t>номинальная частота электродвигателя, об/мин</t>
  </si>
  <si>
    <t>P_эд</t>
  </si>
  <si>
    <t>коэффициент зацепления</t>
  </si>
  <si>
    <t>η_зп</t>
  </si>
  <si>
    <t>n_Б=n_эд</t>
  </si>
  <si>
    <t>n_П=n_Б/u_Б</t>
  </si>
  <si>
    <t>ψ_ba</t>
  </si>
  <si>
    <t>консольно =&gt; ψ_ba=0,2</t>
  </si>
  <si>
    <t>принимаем ψ_bd=0,4</t>
  </si>
  <si>
    <t>ψ_bd</t>
  </si>
  <si>
    <t>округляем по ряду  Ra40</t>
  </si>
  <si>
    <t>частота тихоходного вала, об/мин</t>
  </si>
  <si>
    <t>передаточное число быстроходной ступени</t>
  </si>
  <si>
    <t>передаточное число промежуточной ступени</t>
  </si>
  <si>
    <t>частота быстроходного вала, об/мин</t>
  </si>
  <si>
    <t>частота промежуточного вала 1, об/мин</t>
  </si>
  <si>
    <t>частота промежуточного вала 2, об/мин</t>
  </si>
  <si>
    <t>момент быстроходного вала, Н*м</t>
  </si>
  <si>
    <t>момент промежуточного вала 2, Н*м</t>
  </si>
  <si>
    <t>момент промежуточного вала 1, Н*м</t>
  </si>
  <si>
    <t>момент тихоходного вала, Н*м</t>
  </si>
  <si>
    <t>u_ред</t>
  </si>
  <si>
    <t>U_б</t>
  </si>
  <si>
    <t>U_п 1</t>
  </si>
  <si>
    <t>U_т</t>
  </si>
  <si>
    <t>T_б</t>
  </si>
  <si>
    <t>T_п 2</t>
  </si>
  <si>
    <t>T_п 1</t>
  </si>
  <si>
    <t>T_т</t>
  </si>
  <si>
    <t>40ХН2МА</t>
  </si>
  <si>
    <t>Н</t>
  </si>
  <si>
    <t>1 - 5</t>
  </si>
  <si>
    <t>1,15 - 10</t>
  </si>
  <si>
    <t>БЛЯТЬ!! ДЛЯ ПРЯМОЗУБЫХ</t>
  </si>
  <si>
    <t>ДЛЯ КОСОЗУБЫХ</t>
  </si>
  <si>
    <t>tan(20*)</t>
  </si>
  <si>
    <t>Прога на минимальный угол</t>
  </si>
  <si>
    <t>если шариковые, если нет - 1.27</t>
  </si>
  <si>
    <t>4.83471</t>
  </si>
  <si>
    <t>Диаметры валов</t>
  </si>
  <si>
    <t>до впадин</t>
  </si>
  <si>
    <t>4m</t>
  </si>
  <si>
    <t>толщина стенок</t>
  </si>
  <si>
    <t>bw/3</t>
  </si>
  <si>
    <t>Силы в зацеплении</t>
  </si>
  <si>
    <t>F_t</t>
  </si>
  <si>
    <t>F_r</t>
  </si>
  <si>
    <t>Размеры корпуса</t>
  </si>
  <si>
    <t>L</t>
  </si>
  <si>
    <t>a</t>
  </si>
  <si>
    <t>b_0_min</t>
  </si>
  <si>
    <t>d &gt;=</t>
  </si>
  <si>
    <t>d_п &gt;=</t>
  </si>
  <si>
    <t>d_бп &gt;=</t>
  </si>
  <si>
    <t>d_к &gt;=</t>
  </si>
  <si>
    <t>d_бк &gt;=</t>
  </si>
  <si>
    <t>r = 3,5</t>
  </si>
  <si>
    <t>f = 2,5</t>
  </si>
  <si>
    <t>градус</t>
  </si>
  <si>
    <t>минуты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</si>
</sst>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0"/>
      <color theme="1"/>
      <name val="Calibri"/>
      <family val="2"/>
      <scheme val="minor"/>
    </font>
    <font>
      <sz val="11"/>
      <color theme="1"/>
      <name val="Aptos Narrow"/>
      <family val="2"/>
    </font>
    <font>
      <sz val="11"/>
      <color theme="1"/>
      <name val="Calibri"/>
      <family val="2"/>
    </font>
    <font>
      <sz val="11"/>
      <color theme="0" tint="-0.1499984740745262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2" borderId="0" xfId="0" applyFill="1"/>
    <xf numFmtId="0" fontId="2" fillId="0" borderId="0" xfId="0" applyFont="1"/>
    <xf numFmtId="0" fontId="4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Fill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/>
    <xf numFmtId="0" fontId="0" fillId="0" borderId="7" xfId="0" applyBorder="1" applyAlignment="1"/>
    <xf numFmtId="0" fontId="0" fillId="2" borderId="0" xfId="0" quotePrefix="1" applyFill="1"/>
    <xf numFmtId="0" fontId="0" fillId="0" borderId="0" xfId="0" applyAlignment="1">
      <alignment horizontal="right"/>
    </xf>
    <xf numFmtId="0" fontId="0" fillId="0" borderId="0" xfId="0" applyBorder="1"/>
    <xf numFmtId="0" fontId="0" fillId="3" borderId="0" xfId="0" applyFill="1"/>
    <xf numFmtId="0" fontId="0" fillId="4" borderId="0" xfId="0" applyFill="1"/>
    <xf numFmtId="0" fontId="0" fillId="4" borderId="5" xfId="0" applyFill="1" applyBorder="1"/>
    <xf numFmtId="0" fontId="0" fillId="4" borderId="7" xfId="0" applyFill="1" applyBorder="1"/>
    <xf numFmtId="0" fontId="0" fillId="4" borderId="1" xfId="0" applyFill="1" applyBorder="1"/>
    <xf numFmtId="0" fontId="5" fillId="0" borderId="5" xfId="0" applyFont="1" applyBorder="1"/>
    <xf numFmtId="0" fontId="5" fillId="0" borderId="7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9" xfId="0" applyFill="1" applyBorder="1"/>
    <xf numFmtId="0" fontId="0" fillId="2" borderId="9" xfId="0" quotePrefix="1" applyFill="1" applyBorder="1"/>
    <xf numFmtId="0" fontId="0" fillId="0" borderId="0" xfId="0" applyFill="1" applyBorder="1"/>
    <xf numFmtId="0" fontId="0" fillId="5" borderId="0" xfId="0" applyFill="1"/>
    <xf numFmtId="0" fontId="0" fillId="5" borderId="0" xfId="0" applyFill="1" applyBorder="1"/>
    <xf numFmtId="0" fontId="0" fillId="5" borderId="1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9" xfId="0" applyFill="1" applyBorder="1"/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6" borderId="1" xfId="0" applyFill="1" applyBorder="1"/>
    <xf numFmtId="0" fontId="0" fillId="6" borderId="19" xfId="0" applyFill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quotePrefix="1" applyBorder="1" applyAlignment="1">
      <alignment horizontal="center"/>
    </xf>
    <xf numFmtId="2" fontId="0" fillId="0" borderId="12" xfId="0" applyNumberFormat="1" applyBorder="1"/>
    <xf numFmtId="2" fontId="0" fillId="0" borderId="18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0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2" fontId="0" fillId="0" borderId="9" xfId="0" applyNumberFormat="1" applyBorder="1"/>
    <xf numFmtId="2" fontId="0" fillId="0" borderId="17" xfId="0" applyNumberFormat="1" applyBorder="1"/>
  </cellXfs>
  <cellStyles count="1">
    <cellStyle name="Обычный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93"/>
  <sheetViews>
    <sheetView tabSelected="1" zoomScale="115" zoomScaleNormal="115" workbookViewId="0">
      <selection activeCell="B18" sqref="B18"/>
    </sheetView>
  </sheetViews>
  <sheetFormatPr defaultRowHeight="14.4"/>
  <cols>
    <col min="1" max="1" width="60.88671875" bestFit="1" customWidth="1"/>
    <col min="2" max="2" width="64" bestFit="1" customWidth="1"/>
    <col min="3" max="4" width="13.77734375" bestFit="1" customWidth="1"/>
    <col min="5" max="5" width="13.21875" customWidth="1"/>
    <col min="6" max="8" width="15" bestFit="1" customWidth="1"/>
    <col min="9" max="9" width="30.21875" bestFit="1" customWidth="1"/>
    <col min="10" max="10" width="46.6640625" bestFit="1" customWidth="1"/>
    <col min="11" max="11" width="17" customWidth="1"/>
    <col min="12" max="12" width="12.44140625" bestFit="1" customWidth="1"/>
    <col min="15" max="15" width="11" bestFit="1" customWidth="1"/>
    <col min="17" max="17" width="12" bestFit="1" customWidth="1"/>
    <col min="21" max="21" width="11" bestFit="1" customWidth="1"/>
    <col min="23" max="23" width="12" bestFit="1" customWidth="1"/>
    <col min="29" max="29" width="12" bestFit="1" customWidth="1"/>
    <col min="31" max="31" width="12" bestFit="1" customWidth="1"/>
  </cols>
  <sheetData>
    <row r="1" spans="1:12">
      <c r="A1" t="s">
        <v>0</v>
      </c>
      <c r="B1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12">
      <c r="A2" s="1" t="s">
        <v>24</v>
      </c>
      <c r="B2" s="1"/>
      <c r="C2" s="1"/>
      <c r="D2" s="1"/>
      <c r="E2" s="1"/>
      <c r="F2" s="1"/>
      <c r="G2" s="1"/>
      <c r="H2" s="1"/>
      <c r="J2" t="s">
        <v>179</v>
      </c>
      <c r="K2" t="s">
        <v>174</v>
      </c>
      <c r="L2">
        <v>2880</v>
      </c>
    </row>
    <row r="3" spans="1:12">
      <c r="A3" t="s">
        <v>8</v>
      </c>
      <c r="B3" t="s">
        <v>89</v>
      </c>
      <c r="C3" s="12">
        <v>20000</v>
      </c>
      <c r="D3" s="13">
        <f>C3</f>
        <v>20000</v>
      </c>
      <c r="E3" s="13">
        <f t="shared" ref="E3:H3" si="0">D3</f>
        <v>20000</v>
      </c>
      <c r="F3" s="13">
        <f t="shared" si="0"/>
        <v>20000</v>
      </c>
      <c r="G3" s="13">
        <f t="shared" si="0"/>
        <v>20000</v>
      </c>
      <c r="H3" s="13">
        <f t="shared" si="0"/>
        <v>20000</v>
      </c>
      <c r="J3" t="s">
        <v>178</v>
      </c>
      <c r="K3" t="s">
        <v>180</v>
      </c>
      <c r="L3">
        <v>4</v>
      </c>
    </row>
    <row r="4" spans="1:12">
      <c r="A4" t="s">
        <v>9</v>
      </c>
      <c r="B4" t="s">
        <v>169</v>
      </c>
      <c r="C4" s="51">
        <v>0</v>
      </c>
      <c r="D4" s="52"/>
      <c r="E4" s="52"/>
      <c r="F4" s="52"/>
      <c r="G4" s="52"/>
      <c r="H4" s="53"/>
    </row>
    <row r="5" spans="1:12">
      <c r="A5" t="s">
        <v>10</v>
      </c>
      <c r="B5" t="s">
        <v>72</v>
      </c>
      <c r="C5" s="51">
        <v>7</v>
      </c>
      <c r="D5" s="53"/>
      <c r="E5" s="51">
        <v>7</v>
      </c>
      <c r="F5" s="53"/>
      <c r="G5" s="51">
        <v>7</v>
      </c>
      <c r="H5" s="53"/>
      <c r="J5" t="s">
        <v>193</v>
      </c>
      <c r="K5" t="s">
        <v>183</v>
      </c>
      <c r="L5">
        <f>L2</f>
        <v>2880</v>
      </c>
    </row>
    <row r="6" spans="1:12">
      <c r="A6" t="s">
        <v>11</v>
      </c>
      <c r="B6" t="s">
        <v>73</v>
      </c>
      <c r="C6" s="12">
        <v>2.2999999999999998</v>
      </c>
      <c r="D6" s="13">
        <f>C6</f>
        <v>2.2999999999999998</v>
      </c>
      <c r="E6" s="13">
        <f t="shared" ref="E6:H6" si="1">D6</f>
        <v>2.2999999999999998</v>
      </c>
      <c r="F6" s="13">
        <f t="shared" si="1"/>
        <v>2.2999999999999998</v>
      </c>
      <c r="G6" s="13">
        <f>F6</f>
        <v>2.2999999999999998</v>
      </c>
      <c r="H6" s="13">
        <f t="shared" si="1"/>
        <v>2.2999999999999998</v>
      </c>
      <c r="J6" t="s">
        <v>194</v>
      </c>
      <c r="K6" t="s">
        <v>184</v>
      </c>
      <c r="L6">
        <f>L5/L13</f>
        <v>457.14285714285717</v>
      </c>
    </row>
    <row r="7" spans="1:12">
      <c r="A7" t="s">
        <v>12</v>
      </c>
      <c r="B7" s="2" t="s">
        <v>74</v>
      </c>
      <c r="C7" s="12">
        <v>1.25</v>
      </c>
      <c r="D7" s="13">
        <f>C7</f>
        <v>1.25</v>
      </c>
      <c r="E7" s="13">
        <f t="shared" ref="E7:H7" si="2">D7</f>
        <v>1.25</v>
      </c>
      <c r="F7" s="13">
        <f t="shared" si="2"/>
        <v>1.25</v>
      </c>
      <c r="G7" s="13">
        <f t="shared" si="2"/>
        <v>1.25</v>
      </c>
      <c r="H7" s="13">
        <f t="shared" si="2"/>
        <v>1.25</v>
      </c>
      <c r="J7" t="s">
        <v>195</v>
      </c>
      <c r="L7">
        <f>L6/L14</f>
        <v>65.863375600834956</v>
      </c>
    </row>
    <row r="8" spans="1:12">
      <c r="A8" t="s">
        <v>13</v>
      </c>
      <c r="B8" t="s">
        <v>75</v>
      </c>
      <c r="C8" s="51" t="s">
        <v>170</v>
      </c>
      <c r="D8" s="52"/>
      <c r="E8" s="52"/>
      <c r="F8" s="52"/>
      <c r="G8" s="52"/>
      <c r="H8" s="53"/>
      <c r="J8" t="s">
        <v>190</v>
      </c>
      <c r="K8" t="s">
        <v>175</v>
      </c>
      <c r="L8">
        <v>25</v>
      </c>
    </row>
    <row r="9" spans="1:12">
      <c r="A9" t="s">
        <v>14</v>
      </c>
      <c r="B9" t="s">
        <v>76</v>
      </c>
      <c r="C9" s="51" t="s">
        <v>171</v>
      </c>
      <c r="D9" s="53"/>
      <c r="E9" s="54" t="s">
        <v>171</v>
      </c>
      <c r="F9" s="53"/>
      <c r="G9" s="54" t="s">
        <v>171</v>
      </c>
      <c r="H9" s="53"/>
    </row>
    <row r="10" spans="1:12">
      <c r="A10" t="s">
        <v>15</v>
      </c>
      <c r="B10" t="s">
        <v>77</v>
      </c>
      <c r="C10" s="51" t="s">
        <v>173</v>
      </c>
      <c r="D10" s="53"/>
      <c r="E10" s="51" t="s">
        <v>173</v>
      </c>
      <c r="F10" s="53"/>
      <c r="G10" s="51" t="s">
        <v>173</v>
      </c>
      <c r="H10" s="53"/>
    </row>
    <row r="11" spans="1:12">
      <c r="A11" t="s">
        <v>16</v>
      </c>
      <c r="B11" t="s">
        <v>78</v>
      </c>
      <c r="C11" s="8">
        <f>L13</f>
        <v>6.3</v>
      </c>
      <c r="D11" s="10">
        <f>C11</f>
        <v>6.3</v>
      </c>
      <c r="E11" s="8">
        <f>L14</f>
        <v>6.9407747928586572</v>
      </c>
      <c r="F11" s="10">
        <f>E11</f>
        <v>6.9407747928586572</v>
      </c>
      <c r="G11" s="8">
        <f>L15</f>
        <v>2.634535024033398</v>
      </c>
      <c r="H11" s="10">
        <f>G11</f>
        <v>2.634535024033398</v>
      </c>
      <c r="J11" t="s">
        <v>176</v>
      </c>
      <c r="K11" t="s">
        <v>200</v>
      </c>
      <c r="L11">
        <f>L2/L8</f>
        <v>115.2</v>
      </c>
    </row>
    <row r="12" spans="1:12">
      <c r="A12" t="s">
        <v>17</v>
      </c>
      <c r="B12" t="s">
        <v>79</v>
      </c>
      <c r="C12" s="7">
        <f>L5</f>
        <v>2880</v>
      </c>
      <c r="D12" s="8">
        <f>L6</f>
        <v>457.14285714285717</v>
      </c>
      <c r="E12" s="10">
        <f>D12</f>
        <v>457.14285714285717</v>
      </c>
      <c r="F12" s="14">
        <f>L7</f>
        <v>65.863375600834956</v>
      </c>
      <c r="G12" s="15">
        <f>F12</f>
        <v>65.863375600834956</v>
      </c>
      <c r="H12" s="7">
        <f>L8</f>
        <v>25</v>
      </c>
    </row>
    <row r="13" spans="1:12">
      <c r="A13" t="s">
        <v>18</v>
      </c>
      <c r="B13" t="s">
        <v>80</v>
      </c>
      <c r="C13" s="7">
        <f>L18</f>
        <v>13.263888888888889</v>
      </c>
      <c r="D13" s="8">
        <f>L19</f>
        <v>81.891249999999999</v>
      </c>
      <c r="E13" s="10">
        <f>D13</f>
        <v>81.891249999999999</v>
      </c>
      <c r="F13" s="8">
        <f>L20</f>
        <v>557.02094928057284</v>
      </c>
      <c r="G13" s="10">
        <f>F13</f>
        <v>557.02094928057284</v>
      </c>
      <c r="H13" s="7">
        <f>L21</f>
        <v>1438.141376</v>
      </c>
      <c r="J13" t="s">
        <v>191</v>
      </c>
      <c r="K13" t="s">
        <v>201</v>
      </c>
      <c r="L13">
        <v>6.3</v>
      </c>
    </row>
    <row r="14" spans="1:12">
      <c r="A14" t="s">
        <v>19</v>
      </c>
      <c r="B14" t="s">
        <v>91</v>
      </c>
      <c r="C14" s="7">
        <f>8*(C13)^(1/3)</f>
        <v>18.937106083236799</v>
      </c>
      <c r="D14" s="7">
        <f>C14*C11</f>
        <v>119.30376832439183</v>
      </c>
      <c r="E14" s="7">
        <f>8*(D13)^(1/3)</f>
        <v>34.74048045920464</v>
      </c>
      <c r="F14" s="7">
        <f>E14*E11</f>
        <v>241.12585106304633</v>
      </c>
      <c r="G14" s="7">
        <f>8*(F13)^(1/3)</f>
        <v>65.823428096464511</v>
      </c>
      <c r="H14" s="7">
        <f>G14*G11</f>
        <v>173.41412672207977</v>
      </c>
      <c r="J14" t="s">
        <v>192</v>
      </c>
      <c r="K14" t="s">
        <v>202</v>
      </c>
      <c r="L14">
        <f>POWER(L11/L13,2/3)</f>
        <v>6.9407747928586572</v>
      </c>
    </row>
    <row r="15" spans="1:12">
      <c r="A15" t="s">
        <v>20</v>
      </c>
      <c r="B15" t="s">
        <v>81</v>
      </c>
      <c r="C15" s="7" t="s">
        <v>170</v>
      </c>
      <c r="D15" s="7" t="s">
        <v>173</v>
      </c>
      <c r="E15" s="7" t="s">
        <v>170</v>
      </c>
      <c r="F15" s="7" t="s">
        <v>173</v>
      </c>
      <c r="G15" s="7" t="s">
        <v>170</v>
      </c>
      <c r="H15" s="7" t="s">
        <v>173</v>
      </c>
      <c r="J15" t="s">
        <v>177</v>
      </c>
      <c r="K15" t="s">
        <v>203</v>
      </c>
      <c r="L15">
        <f>L11/(L13*L14)</f>
        <v>2.634535024033398</v>
      </c>
    </row>
    <row r="16" spans="1:12">
      <c r="A16" t="s">
        <v>21</v>
      </c>
      <c r="B16" t="s">
        <v>82</v>
      </c>
      <c r="C16" s="51" t="s">
        <v>208</v>
      </c>
      <c r="D16" s="52"/>
      <c r="E16" s="52"/>
      <c r="F16" s="52"/>
      <c r="G16" s="52"/>
      <c r="H16" s="53"/>
    </row>
    <row r="17" spans="1:12">
      <c r="A17" t="s">
        <v>22</v>
      </c>
      <c r="B17" t="s">
        <v>83</v>
      </c>
      <c r="C17" s="54" t="s">
        <v>172</v>
      </c>
      <c r="D17" s="52"/>
      <c r="E17" s="52"/>
      <c r="F17" s="52"/>
      <c r="G17" s="52"/>
      <c r="H17" s="53"/>
    </row>
    <row r="18" spans="1:12">
      <c r="A18" t="s">
        <v>23</v>
      </c>
      <c r="B18" t="s">
        <v>84</v>
      </c>
      <c r="C18" s="7" t="s">
        <v>173</v>
      </c>
      <c r="D18" s="7" t="s">
        <v>173</v>
      </c>
      <c r="E18" s="7" t="s">
        <v>209</v>
      </c>
      <c r="F18" s="7" t="s">
        <v>209</v>
      </c>
      <c r="G18" s="7" t="s">
        <v>209</v>
      </c>
      <c r="H18" s="7" t="s">
        <v>209</v>
      </c>
      <c r="J18" t="s">
        <v>196</v>
      </c>
      <c r="K18" t="s">
        <v>204</v>
      </c>
      <c r="L18">
        <f>9550*L3/L5</f>
        <v>13.263888888888889</v>
      </c>
    </row>
    <row r="19" spans="1:12">
      <c r="A19" s="1" t="s">
        <v>25</v>
      </c>
      <c r="B19" s="1"/>
      <c r="C19" s="1"/>
      <c r="D19" s="1"/>
      <c r="E19" s="1"/>
      <c r="F19" s="1"/>
      <c r="G19" s="1"/>
      <c r="H19" s="1"/>
      <c r="J19" t="s">
        <v>198</v>
      </c>
      <c r="K19" t="s">
        <v>206</v>
      </c>
      <c r="L19">
        <f>L18*L13*L24</f>
        <v>81.891249999999999</v>
      </c>
    </row>
    <row r="20" spans="1:12">
      <c r="A20" t="s">
        <v>37</v>
      </c>
      <c r="B20" s="3" t="s">
        <v>92</v>
      </c>
      <c r="C20" s="7">
        <v>690</v>
      </c>
      <c r="D20" s="7">
        <v>690</v>
      </c>
      <c r="E20" s="7">
        <v>690</v>
      </c>
      <c r="F20" s="7">
        <v>690</v>
      </c>
      <c r="G20" s="7">
        <v>690</v>
      </c>
      <c r="H20" s="7">
        <v>690</v>
      </c>
      <c r="J20" t="s">
        <v>197</v>
      </c>
      <c r="K20" t="s">
        <v>205</v>
      </c>
      <c r="L20">
        <f>L19*L14*L24</f>
        <v>557.02094928057284</v>
      </c>
    </row>
    <row r="21" spans="1:12">
      <c r="B21" s="3" t="s">
        <v>93</v>
      </c>
      <c r="C21" s="7">
        <v>550</v>
      </c>
      <c r="D21" s="7">
        <v>550</v>
      </c>
      <c r="E21" s="7">
        <v>550</v>
      </c>
      <c r="F21" s="7">
        <v>550</v>
      </c>
      <c r="G21" s="7">
        <v>550</v>
      </c>
      <c r="H21" s="7">
        <v>550</v>
      </c>
      <c r="J21" t="s">
        <v>199</v>
      </c>
      <c r="K21" t="s">
        <v>207</v>
      </c>
      <c r="L21">
        <f>L20*L24*L15</f>
        <v>1438.141376</v>
      </c>
    </row>
    <row r="22" spans="1:12">
      <c r="A22" t="s">
        <v>36</v>
      </c>
      <c r="B22" s="3" t="s">
        <v>94</v>
      </c>
      <c r="C22" s="7">
        <v>2200</v>
      </c>
      <c r="D22" s="7">
        <v>2200</v>
      </c>
      <c r="E22" s="7">
        <v>2200</v>
      </c>
      <c r="F22" s="7">
        <v>2200</v>
      </c>
      <c r="G22" s="7">
        <v>2200</v>
      </c>
      <c r="H22" s="7">
        <v>2200</v>
      </c>
    </row>
    <row r="23" spans="1:12">
      <c r="B23" t="s">
        <v>95</v>
      </c>
      <c r="C23" s="7">
        <v>2020</v>
      </c>
      <c r="D23" s="7">
        <v>2020</v>
      </c>
      <c r="E23" s="7">
        <v>2020</v>
      </c>
      <c r="F23" s="7">
        <v>2020</v>
      </c>
      <c r="G23" s="7">
        <v>2020</v>
      </c>
      <c r="H23" s="7">
        <v>2020</v>
      </c>
    </row>
    <row r="24" spans="1:12">
      <c r="A24" t="s">
        <v>26</v>
      </c>
      <c r="B24" t="s">
        <v>96</v>
      </c>
      <c r="C24" s="7">
        <v>29</v>
      </c>
      <c r="D24" s="7">
        <v>29</v>
      </c>
      <c r="E24" s="7">
        <v>29</v>
      </c>
      <c r="F24" s="7">
        <v>29</v>
      </c>
      <c r="G24" s="7">
        <v>29</v>
      </c>
      <c r="H24" s="7">
        <v>29</v>
      </c>
      <c r="J24" t="s">
        <v>181</v>
      </c>
      <c r="K24" t="s">
        <v>182</v>
      </c>
      <c r="L24">
        <v>0.98</v>
      </c>
    </row>
    <row r="25" spans="1:12">
      <c r="A25" t="s">
        <v>27</v>
      </c>
      <c r="B25" t="s">
        <v>90</v>
      </c>
      <c r="C25" s="7">
        <f>60*C3*C12/(1000000)</f>
        <v>3456</v>
      </c>
      <c r="D25" s="7">
        <f>60*D3*D12/(1000000)</f>
        <v>548.57142857142867</v>
      </c>
      <c r="E25" s="7">
        <f t="shared" ref="E25:H25" si="3">60*E3*E12/(1000000)</f>
        <v>548.57142857142867</v>
      </c>
      <c r="F25" s="7">
        <f t="shared" si="3"/>
        <v>79.036050721001956</v>
      </c>
      <c r="G25" s="7">
        <f t="shared" si="3"/>
        <v>79.036050721001956</v>
      </c>
      <c r="H25" s="7">
        <f t="shared" si="3"/>
        <v>30</v>
      </c>
    </row>
    <row r="26" spans="1:12">
      <c r="A26" t="s">
        <v>28</v>
      </c>
      <c r="B26" t="s">
        <v>97</v>
      </c>
      <c r="C26" s="7">
        <v>6</v>
      </c>
      <c r="D26" s="7">
        <v>6</v>
      </c>
      <c r="E26" s="7">
        <v>6</v>
      </c>
      <c r="F26" s="7">
        <v>6</v>
      </c>
      <c r="G26" s="7">
        <v>6</v>
      </c>
      <c r="H26" s="7">
        <v>6</v>
      </c>
    </row>
    <row r="27" spans="1:12">
      <c r="A27" t="s">
        <v>29</v>
      </c>
      <c r="B27" s="3" t="s">
        <v>98</v>
      </c>
      <c r="C27" s="7">
        <v>1</v>
      </c>
      <c r="D27" s="7">
        <v>1</v>
      </c>
      <c r="E27" s="7">
        <v>1</v>
      </c>
      <c r="F27" s="7">
        <v>1</v>
      </c>
      <c r="G27" s="7">
        <v>1</v>
      </c>
      <c r="H27" s="7">
        <v>1</v>
      </c>
    </row>
    <row r="28" spans="1:12">
      <c r="B28" s="3" t="s">
        <v>99</v>
      </c>
      <c r="C28" s="7">
        <v>1</v>
      </c>
      <c r="D28" s="7">
        <v>1</v>
      </c>
      <c r="E28" s="7">
        <v>1</v>
      </c>
      <c r="F28" s="7">
        <v>1</v>
      </c>
      <c r="G28" s="7">
        <v>1</v>
      </c>
      <c r="H28" s="7">
        <v>1</v>
      </c>
    </row>
    <row r="29" spans="1:12">
      <c r="A29" t="s">
        <v>30</v>
      </c>
      <c r="B29" s="3" t="s">
        <v>101</v>
      </c>
      <c r="C29" s="7">
        <f>(C24/(C25*C27))^(1/6)</f>
        <v>0.45078630197103531</v>
      </c>
      <c r="D29" s="7">
        <f t="shared" ref="D29:H29" si="4">(D24/(D25*D27))^(1/6)</f>
        <v>0.61262418193936607</v>
      </c>
      <c r="E29" s="7">
        <f t="shared" si="4"/>
        <v>0.61262418193936607</v>
      </c>
      <c r="F29" s="7">
        <f t="shared" si="4"/>
        <v>0.84611383126457329</v>
      </c>
      <c r="G29" s="7">
        <f t="shared" si="4"/>
        <v>0.84611383126457329</v>
      </c>
      <c r="H29" s="7">
        <f t="shared" si="4"/>
        <v>0.9943656740765191</v>
      </c>
    </row>
    <row r="30" spans="1:12">
      <c r="B30" t="s">
        <v>102</v>
      </c>
      <c r="C30" s="7">
        <f>(4/(C25*C28))^(1/C26)</f>
        <v>0.32402688287327763</v>
      </c>
      <c r="D30" s="7">
        <f t="shared" ref="D30:H30" si="5">(4/(D25*D28))^(1/D26)</f>
        <v>0.44035655737240953</v>
      </c>
      <c r="E30" s="7">
        <f t="shared" si="5"/>
        <v>0.44035655737240953</v>
      </c>
      <c r="F30" s="7">
        <f t="shared" si="5"/>
        <v>0.60818979215176361</v>
      </c>
      <c r="G30" s="7">
        <f t="shared" si="5"/>
        <v>0.60818979215176361</v>
      </c>
      <c r="H30" s="7">
        <f t="shared" si="5"/>
        <v>0.71475377223840897</v>
      </c>
    </row>
    <row r="31" spans="1:12">
      <c r="A31" t="s">
        <v>31</v>
      </c>
      <c r="B31" t="s">
        <v>100</v>
      </c>
      <c r="C31" s="8">
        <v>0.9</v>
      </c>
      <c r="D31" s="8">
        <v>0.9</v>
      </c>
      <c r="E31" s="8">
        <v>0.9</v>
      </c>
      <c r="F31" s="8">
        <v>0.9</v>
      </c>
      <c r="G31" s="8">
        <v>0.9</v>
      </c>
      <c r="H31" s="8">
        <v>0.9</v>
      </c>
    </row>
    <row r="32" spans="1:12">
      <c r="A32" t="s">
        <v>32</v>
      </c>
      <c r="B32" t="s">
        <v>103</v>
      </c>
      <c r="C32" s="7">
        <v>1</v>
      </c>
      <c r="D32" s="7">
        <v>1</v>
      </c>
      <c r="E32" s="7">
        <v>1</v>
      </c>
      <c r="F32" s="7">
        <v>1</v>
      </c>
      <c r="G32" s="7">
        <v>1</v>
      </c>
      <c r="H32" s="7">
        <v>1</v>
      </c>
    </row>
    <row r="33" spans="1:12">
      <c r="B33" t="s">
        <v>104</v>
      </c>
      <c r="C33" s="7">
        <v>1</v>
      </c>
      <c r="D33" s="7">
        <v>1</v>
      </c>
      <c r="E33" s="7">
        <v>1</v>
      </c>
      <c r="F33" s="7">
        <v>1</v>
      </c>
      <c r="G33" s="7">
        <v>1</v>
      </c>
      <c r="H33" s="7">
        <v>1</v>
      </c>
    </row>
    <row r="34" spans="1:12">
      <c r="A34" t="s">
        <v>33</v>
      </c>
      <c r="B34" t="s">
        <v>105</v>
      </c>
      <c r="C34" s="7">
        <v>0.65</v>
      </c>
      <c r="D34" s="7">
        <v>0.65</v>
      </c>
      <c r="E34" s="7">
        <v>0.65</v>
      </c>
      <c r="F34" s="7">
        <v>0.65</v>
      </c>
      <c r="G34" s="7">
        <v>0.65</v>
      </c>
      <c r="H34" s="7">
        <v>0.65</v>
      </c>
    </row>
    <row r="35" spans="1:12">
      <c r="A35" t="s">
        <v>34</v>
      </c>
      <c r="B35" t="s">
        <v>106</v>
      </c>
      <c r="C35" s="7">
        <v>0.9</v>
      </c>
      <c r="D35" s="7">
        <v>1</v>
      </c>
      <c r="E35" s="7">
        <v>0.9</v>
      </c>
      <c r="F35" s="7">
        <v>1</v>
      </c>
      <c r="G35" s="7">
        <v>0.9</v>
      </c>
      <c r="H35" s="7">
        <v>1</v>
      </c>
    </row>
    <row r="36" spans="1:12">
      <c r="A36" t="s">
        <v>35</v>
      </c>
      <c r="B36" t="s">
        <v>107</v>
      </c>
      <c r="C36" s="7">
        <f>C20*C29*C32*$C$31/1.3</f>
        <v>215.33714886462531</v>
      </c>
      <c r="D36" s="7">
        <f t="shared" ref="D36:H36" si="6">D20*D29*D32*$C$31/1.3</f>
        <v>292.64585921872794</v>
      </c>
      <c r="E36" s="7">
        <f t="shared" si="6"/>
        <v>292.64585921872794</v>
      </c>
      <c r="F36" s="7">
        <f t="shared" si="6"/>
        <v>404.18206862715385</v>
      </c>
      <c r="G36" s="7">
        <f t="shared" si="6"/>
        <v>404.18206862715385</v>
      </c>
      <c r="H36" s="7">
        <f t="shared" si="6"/>
        <v>475.00083353962953</v>
      </c>
    </row>
    <row r="37" spans="1:12">
      <c r="B37" t="s">
        <v>108</v>
      </c>
      <c r="C37" s="7">
        <f>C21*C30*C34*C35*C33/1.7</f>
        <v>61.32685268498652</v>
      </c>
      <c r="D37" s="7">
        <f t="shared" ref="D37:H37" si="7">D21*D30*D34*D35*D33/1.7</f>
        <v>92.604393682727292</v>
      </c>
      <c r="E37" s="7">
        <f t="shared" si="7"/>
        <v>83.343954314454578</v>
      </c>
      <c r="F37" s="7">
        <f t="shared" si="7"/>
        <v>127.89873570250325</v>
      </c>
      <c r="G37" s="7">
        <f t="shared" si="7"/>
        <v>115.10886213225292</v>
      </c>
      <c r="H37" s="7">
        <f t="shared" si="7"/>
        <v>150.30851386778306</v>
      </c>
    </row>
    <row r="38" spans="1:12">
      <c r="A38" t="s">
        <v>38</v>
      </c>
      <c r="B38" t="s">
        <v>109</v>
      </c>
      <c r="C38" s="7">
        <f>IF(0.45*(1+D36/C36)&lt;1,1,0.45*(1+D36/C36))</f>
        <v>1.0615555877969607</v>
      </c>
      <c r="D38" s="7">
        <f>C38</f>
        <v>1.0615555877969607</v>
      </c>
      <c r="E38" s="7">
        <f>IF(0.45*(1+F36/E36)&lt;1,1,0.45*(1+F36/E36))</f>
        <v>1.0715086431353806</v>
      </c>
      <c r="F38" s="7">
        <f>E38</f>
        <v>1.0715086431353806</v>
      </c>
      <c r="G38" s="7">
        <f>IF(0.45*(1+H36/G36)&lt;1,1,0.45*(1+H36/G36))</f>
        <v>1</v>
      </c>
      <c r="H38" s="7">
        <f>G38</f>
        <v>1</v>
      </c>
      <c r="J38">
        <f>IF(1,2,3)</f>
        <v>2</v>
      </c>
    </row>
    <row r="39" spans="1:12">
      <c r="A39" t="s">
        <v>39</v>
      </c>
      <c r="B39" t="s">
        <v>110</v>
      </c>
      <c r="C39" s="8">
        <f>C38*MIN(C36, D36)</f>
        <v>228.59235363750895</v>
      </c>
      <c r="D39" s="10">
        <f>C39</f>
        <v>228.59235363750895</v>
      </c>
      <c r="E39" s="8">
        <f>E38*MIN(E36, F36)</f>
        <v>313.57256753064678</v>
      </c>
      <c r="F39" s="10">
        <f>E39</f>
        <v>313.57256753064678</v>
      </c>
      <c r="G39" s="8">
        <f>G38*MIN(G36, H36)</f>
        <v>404.18206862715385</v>
      </c>
      <c r="H39" s="10">
        <f>G39</f>
        <v>404.18206862715385</v>
      </c>
    </row>
    <row r="40" spans="1:12">
      <c r="B40" t="s">
        <v>111</v>
      </c>
      <c r="C40" s="8">
        <f>MIN(C37, D37)</f>
        <v>61.32685268498652</v>
      </c>
      <c r="D40" s="10">
        <f>C40</f>
        <v>61.32685268498652</v>
      </c>
      <c r="E40" s="8">
        <f>MIN(E37, F37)</f>
        <v>83.343954314454578</v>
      </c>
      <c r="F40" s="10">
        <f>E40</f>
        <v>83.343954314454578</v>
      </c>
      <c r="G40" s="8">
        <f>MIN(G37, H37)</f>
        <v>115.10886213225292</v>
      </c>
      <c r="H40" s="10">
        <f>G40</f>
        <v>115.10886213225292</v>
      </c>
    </row>
    <row r="41" spans="1:12">
      <c r="A41" s="1" t="s">
        <v>40</v>
      </c>
      <c r="B41" s="1"/>
      <c r="C41" s="1"/>
      <c r="D41" s="1"/>
      <c r="E41" s="1"/>
      <c r="F41" s="1"/>
      <c r="G41" s="1"/>
      <c r="H41" s="1"/>
    </row>
    <row r="42" spans="1:12">
      <c r="A42" t="s">
        <v>41</v>
      </c>
      <c r="B42" t="s">
        <v>112</v>
      </c>
      <c r="C42" s="8">
        <v>430</v>
      </c>
      <c r="D42" s="8">
        <v>430</v>
      </c>
      <c r="E42" s="8">
        <v>430</v>
      </c>
      <c r="F42" s="8">
        <v>430</v>
      </c>
      <c r="G42" s="8">
        <v>430</v>
      </c>
      <c r="H42" s="8">
        <v>430</v>
      </c>
      <c r="J42" t="s">
        <v>186</v>
      </c>
      <c r="K42" t="s">
        <v>185</v>
      </c>
      <c r="L42">
        <v>0.2</v>
      </c>
    </row>
    <row r="43" spans="1:12">
      <c r="A43" t="s">
        <v>42</v>
      </c>
      <c r="B43" s="3" t="s">
        <v>113</v>
      </c>
      <c r="C43" s="8">
        <v>0.8</v>
      </c>
      <c r="D43" s="8">
        <f>C43</f>
        <v>0.8</v>
      </c>
      <c r="E43" s="8">
        <v>1.2</v>
      </c>
      <c r="F43" s="8">
        <f>E43</f>
        <v>1.2</v>
      </c>
      <c r="G43" s="8">
        <v>0.6</v>
      </c>
      <c r="H43" s="8">
        <f>G43</f>
        <v>0.6</v>
      </c>
      <c r="J43" t="s">
        <v>187</v>
      </c>
      <c r="K43" t="s">
        <v>188</v>
      </c>
      <c r="L43">
        <v>0.4</v>
      </c>
    </row>
    <row r="44" spans="1:12">
      <c r="B44" t="s">
        <v>114</v>
      </c>
      <c r="C44" s="8">
        <v>0.2</v>
      </c>
      <c r="D44" s="10">
        <f>C44</f>
        <v>0.2</v>
      </c>
      <c r="E44" s="8">
        <v>0.315</v>
      </c>
      <c r="F44" s="10">
        <f>E44</f>
        <v>0.315</v>
      </c>
      <c r="G44" s="8">
        <f>F44</f>
        <v>0.315</v>
      </c>
      <c r="H44" s="10">
        <f>G44</f>
        <v>0.315</v>
      </c>
    </row>
    <row r="45" spans="1:12">
      <c r="A45" t="s">
        <v>43</v>
      </c>
      <c r="B45" t="s">
        <v>115</v>
      </c>
      <c r="C45" s="8">
        <v>1.45</v>
      </c>
      <c r="D45" s="10">
        <f>C45</f>
        <v>1.45</v>
      </c>
      <c r="E45" s="8">
        <v>1.18</v>
      </c>
      <c r="F45" s="10">
        <f>E45</f>
        <v>1.18</v>
      </c>
      <c r="G45" s="8">
        <v>1.08</v>
      </c>
      <c r="H45" s="10">
        <f>G45</f>
        <v>1.08</v>
      </c>
      <c r="I45" t="s">
        <v>216</v>
      </c>
    </row>
    <row r="46" spans="1:12">
      <c r="A46" t="s">
        <v>44</v>
      </c>
      <c r="B46" t="s">
        <v>116</v>
      </c>
      <c r="C46" s="8">
        <f>C42*(C11+1)*(C7*C45*C13/(C44*C11*(C39)^2))^(1/3)</f>
        <v>224.3587256807356</v>
      </c>
      <c r="D46" s="10">
        <f>C46</f>
        <v>224.3587256807356</v>
      </c>
      <c r="E46" s="8">
        <f>E42*(E11+1)*(E7*E45*E13/(E44*E11*(E39)^2))^(1/3)</f>
        <v>281.75802735481642</v>
      </c>
      <c r="F46" s="10">
        <f>E46</f>
        <v>281.75802735481642</v>
      </c>
      <c r="G46" s="8">
        <f>G42*(G11+1)*(G7*G45*G13/(G44*G11*(G39)^2))^(1/3)</f>
        <v>276.64927816848086</v>
      </c>
      <c r="H46" s="10">
        <f>G46</f>
        <v>276.64927816848086</v>
      </c>
    </row>
    <row r="47" spans="1:12">
      <c r="A47" t="s">
        <v>45</v>
      </c>
      <c r="B47" t="s">
        <v>117</v>
      </c>
      <c r="C47" s="8">
        <f>C44*C46</f>
        <v>44.871745136147126</v>
      </c>
      <c r="D47" s="8">
        <f t="shared" ref="D47:H47" si="8">D44*D46</f>
        <v>44.871745136147126</v>
      </c>
      <c r="E47" s="8">
        <f t="shared" si="8"/>
        <v>88.753778616767178</v>
      </c>
      <c r="F47" s="8">
        <f t="shared" si="8"/>
        <v>88.753778616767178</v>
      </c>
      <c r="G47" s="8">
        <f t="shared" si="8"/>
        <v>87.144522623071467</v>
      </c>
      <c r="H47" s="8">
        <f t="shared" si="8"/>
        <v>87.144522623071467</v>
      </c>
    </row>
    <row r="48" spans="1:12">
      <c r="A48" t="s">
        <v>46</v>
      </c>
      <c r="B48" t="s">
        <v>118</v>
      </c>
      <c r="C48" s="7">
        <f>2*C46/(C11+1)</f>
        <v>61.468144022119347</v>
      </c>
      <c r="D48" s="7">
        <f>C48*C11</f>
        <v>387.2493073393519</v>
      </c>
      <c r="E48" s="7">
        <f>2*E46/(E11+1)</f>
        <v>70.964870482968152</v>
      </c>
      <c r="F48" s="7">
        <f>E48*E11</f>
        <v>492.5511842266647</v>
      </c>
      <c r="G48" s="7">
        <f>2*G46/(G11+1)</f>
        <v>152.23365648652981</v>
      </c>
      <c r="H48" s="7">
        <f>G48*G11</f>
        <v>401.06489985043186</v>
      </c>
    </row>
    <row r="49" spans="1:15">
      <c r="A49" s="33" t="s">
        <v>47</v>
      </c>
      <c r="B49" s="33" t="s">
        <v>119</v>
      </c>
      <c r="C49" s="8">
        <f>C48/17</f>
        <v>3.6157731777717261</v>
      </c>
      <c r="D49" s="10">
        <f>C49</f>
        <v>3.6157731777717261</v>
      </c>
      <c r="E49" s="8">
        <f>E48/17</f>
        <v>4.1744041460569505</v>
      </c>
      <c r="F49" s="10">
        <f>E49</f>
        <v>4.1744041460569505</v>
      </c>
      <c r="G49" s="8">
        <f>G48/17</f>
        <v>8.9549209697958716</v>
      </c>
      <c r="H49" s="10">
        <f>G49</f>
        <v>8.9549209697958716</v>
      </c>
    </row>
    <row r="50" spans="1:15">
      <c r="A50" t="s">
        <v>48</v>
      </c>
      <c r="B50" t="s">
        <v>120</v>
      </c>
      <c r="C50" s="8">
        <f>C12*C46/(9550*(C11+1))</f>
        <v>9.2684950148535972</v>
      </c>
      <c r="D50" s="10">
        <f>C50</f>
        <v>9.2684950148535972</v>
      </c>
      <c r="E50" s="8">
        <f>E12*E46/(9550*(E11+1))</f>
        <v>1.6984860549401501</v>
      </c>
      <c r="F50" s="10">
        <f>E50</f>
        <v>1.6984860549401501</v>
      </c>
      <c r="G50" s="8">
        <f>G12*G46/(9550*(G11+1))</f>
        <v>0.52495405739585332</v>
      </c>
      <c r="H50" s="10">
        <f>G50</f>
        <v>0.52495405739585332</v>
      </c>
    </row>
    <row r="51" spans="1:15">
      <c r="A51" t="s">
        <v>49</v>
      </c>
      <c r="B51" t="s">
        <v>121</v>
      </c>
      <c r="C51" s="8">
        <f>2*10^3*C13/C48</f>
        <v>431.56952596830877</v>
      </c>
      <c r="D51" s="10">
        <f>C51</f>
        <v>431.56952596830877</v>
      </c>
      <c r="E51" s="8">
        <f>2*10^3*E13/E48</f>
        <v>2307.9377005177294</v>
      </c>
      <c r="F51" s="10">
        <f>E51</f>
        <v>2307.9377005177294</v>
      </c>
      <c r="G51" s="8">
        <f>2*10^3*G13/G48</f>
        <v>7317.9737271811518</v>
      </c>
      <c r="H51" s="10">
        <f>G51</f>
        <v>7317.9737271811518</v>
      </c>
    </row>
    <row r="52" spans="1:15">
      <c r="A52" t="s">
        <v>50</v>
      </c>
      <c r="B52" t="s">
        <v>122</v>
      </c>
      <c r="C52" s="8">
        <v>4.7</v>
      </c>
      <c r="D52" s="10">
        <f>C52</f>
        <v>4.7</v>
      </c>
      <c r="E52" s="8">
        <v>5.3</v>
      </c>
      <c r="F52" s="10">
        <f>E52</f>
        <v>5.3</v>
      </c>
      <c r="G52" s="8">
        <v>5.3</v>
      </c>
      <c r="H52" s="10">
        <f>G52</f>
        <v>5.3</v>
      </c>
    </row>
    <row r="53" spans="1:15">
      <c r="B53" t="s">
        <v>123</v>
      </c>
      <c r="C53" s="7">
        <v>13</v>
      </c>
      <c r="D53" s="7">
        <v>15</v>
      </c>
      <c r="E53" s="7">
        <v>17</v>
      </c>
      <c r="F53" s="7">
        <v>19</v>
      </c>
      <c r="G53" s="7">
        <v>21</v>
      </c>
      <c r="H53" s="7">
        <v>24</v>
      </c>
    </row>
    <row r="54" spans="1:15">
      <c r="A54" t="s">
        <v>51</v>
      </c>
      <c r="B54" s="3" t="s">
        <v>124</v>
      </c>
      <c r="C54" s="8">
        <v>0.02</v>
      </c>
      <c r="D54" s="8">
        <v>0.02</v>
      </c>
      <c r="E54" s="8">
        <v>0.02</v>
      </c>
      <c r="F54" s="8">
        <v>0.02</v>
      </c>
      <c r="G54" s="8">
        <v>0.02</v>
      </c>
      <c r="H54" s="8">
        <v>0.02</v>
      </c>
    </row>
    <row r="55" spans="1:15">
      <c r="B55" s="3" t="s">
        <v>125</v>
      </c>
      <c r="C55" s="8">
        <v>0.06</v>
      </c>
      <c r="D55" s="8">
        <v>0.06</v>
      </c>
      <c r="E55" s="8">
        <v>0.06</v>
      </c>
      <c r="F55" s="8">
        <v>0.06</v>
      </c>
      <c r="G55" s="8">
        <v>0.06</v>
      </c>
      <c r="H55" s="8">
        <v>0.06</v>
      </c>
    </row>
    <row r="56" spans="1:15">
      <c r="A56" t="s">
        <v>52</v>
      </c>
      <c r="B56" s="3" t="s">
        <v>126</v>
      </c>
      <c r="C56" s="7">
        <f>1+(C54*C52*C50*C47/(C7*C45*C51))*(C46/C11)^(1/2)</f>
        <v>1.2982513761902719</v>
      </c>
      <c r="D56" s="7">
        <f>1+(D54*D52*D50*D47/(D7*D45*D51))*(D46/D11)^(1/2)</f>
        <v>1.2982513761902719</v>
      </c>
      <c r="E56" s="7">
        <f>1+(E54*E52*E50*E47/(E7*E45*E51))*(E46/E11)^(1/2)</f>
        <v>1.0299069946705115</v>
      </c>
      <c r="F56" s="7">
        <f t="shared" ref="F56:H56" si="9">1+(F54*F52*F50*F47/(F7*F45*F51))*(F46/F11)^(1/2)</f>
        <v>1.0299069946705115</v>
      </c>
      <c r="G56" s="7">
        <f>1+(G54*G52*G50*G47/(G7*G45*G51))*(G46/G11)^(1/2)</f>
        <v>1.005029854533479</v>
      </c>
      <c r="H56" s="7">
        <f t="shared" si="9"/>
        <v>1.005029854533479</v>
      </c>
    </row>
    <row r="57" spans="1:15">
      <c r="B57" s="3" t="s">
        <v>127</v>
      </c>
      <c r="C57" s="7">
        <f>1+(C55*C52*C50*C47/(C7*C45*C51))*(C46/C11)^(1/2)</f>
        <v>1.894754128570816</v>
      </c>
      <c r="D57" s="7">
        <f t="shared" ref="D57:H57" si="10">1+(D55*D52*D50*D47/(D7*D45*D51))*(D46/D11)^(1/2)</f>
        <v>1.894754128570816</v>
      </c>
      <c r="E57" s="7">
        <f t="shared" si="10"/>
        <v>1.0897209840115345</v>
      </c>
      <c r="F57" s="7">
        <f t="shared" si="10"/>
        <v>1.0897209840115345</v>
      </c>
      <c r="G57" s="7">
        <f t="shared" si="10"/>
        <v>1.0150895636004371</v>
      </c>
      <c r="H57" s="7">
        <f t="shared" si="10"/>
        <v>1.0150895636004371</v>
      </c>
      <c r="J57">
        <f>ROUNDUP(1,0)</f>
        <v>1</v>
      </c>
    </row>
    <row r="58" spans="1:15">
      <c r="A58" t="s">
        <v>128</v>
      </c>
      <c r="B58" t="s">
        <v>129</v>
      </c>
      <c r="C58" s="7">
        <f>0.9+1.7*C47*((C53)^2+(D53)^2)^(1/2)/($C$7*C56*C45*C51)</f>
        <v>2.3910163817426464</v>
      </c>
      <c r="D58" s="7">
        <f>0.9+1.7*C47*((C53)^2+(D53)^2)^(1/2)/($C$7*C56*C45*C51)</f>
        <v>2.3910163817426464</v>
      </c>
      <c r="E58" s="7">
        <f>0.9+1.7*E47*((E53)^2+(F53)^2)^(1/2)/($C$7*E56*E45*E51)</f>
        <v>1.9971811611259302</v>
      </c>
      <c r="F58" s="7">
        <f>0.9+1.7*E47*((E53)^2+(F53)^2)^(1/2)/($C$7*E56*E45*E51)</f>
        <v>1.9971811611259302</v>
      </c>
      <c r="G58" s="7">
        <f>0.9+1.7*G47*((G53)^2+(H53)^2)^(1/2)/($C$7*G56*G45*G51)</f>
        <v>1.3758235313967981</v>
      </c>
      <c r="H58" s="7">
        <f>G58</f>
        <v>1.3758235313967981</v>
      </c>
    </row>
    <row r="59" spans="1:15">
      <c r="B59" t="s">
        <v>130</v>
      </c>
      <c r="C59" s="4">
        <v>1.6</v>
      </c>
      <c r="D59" s="4">
        <v>1.6</v>
      </c>
      <c r="E59" s="4">
        <v>1.6</v>
      </c>
      <c r="F59" s="4">
        <v>1.6</v>
      </c>
      <c r="G59" s="5">
        <f t="shared" ref="G59:H59" si="11">G58</f>
        <v>1.3758235313967981</v>
      </c>
      <c r="H59" s="5">
        <f t="shared" si="11"/>
        <v>1.3758235313967981</v>
      </c>
    </row>
    <row r="60" spans="1:15">
      <c r="A60" s="33" t="s">
        <v>53</v>
      </c>
      <c r="B60" s="11" t="s">
        <v>131</v>
      </c>
      <c r="C60" s="8">
        <v>335</v>
      </c>
      <c r="D60" s="8">
        <f>C60</f>
        <v>335</v>
      </c>
      <c r="E60" s="8">
        <v>355</v>
      </c>
      <c r="F60" s="8">
        <f>E60</f>
        <v>355</v>
      </c>
      <c r="G60" s="8">
        <v>315</v>
      </c>
      <c r="H60" s="8">
        <f>G60</f>
        <v>315</v>
      </c>
      <c r="I60" t="s">
        <v>189</v>
      </c>
      <c r="J60">
        <v>327.28297359948181</v>
      </c>
      <c r="K60">
        <v>327.28297359948181</v>
      </c>
      <c r="L60">
        <v>358.32858469708032</v>
      </c>
      <c r="M60">
        <v>358.32858469708032</v>
      </c>
      <c r="N60">
        <v>308.20766838183499</v>
      </c>
      <c r="O60">
        <v>308.20766838183499</v>
      </c>
    </row>
    <row r="61" spans="1:15">
      <c r="A61" s="33" t="s">
        <v>45</v>
      </c>
      <c r="B61" t="s">
        <v>132</v>
      </c>
      <c r="C61" s="6">
        <f>C44*C60</f>
        <v>67</v>
      </c>
      <c r="D61" s="6">
        <f t="shared" ref="D61:H61" si="12">D44*D60</f>
        <v>67</v>
      </c>
      <c r="E61" s="6">
        <f t="shared" si="12"/>
        <v>111.825</v>
      </c>
      <c r="F61" s="6">
        <f t="shared" si="12"/>
        <v>111.825</v>
      </c>
      <c r="G61" s="6">
        <f t="shared" si="12"/>
        <v>99.224999999999994</v>
      </c>
      <c r="H61" s="6">
        <f t="shared" si="12"/>
        <v>99.224999999999994</v>
      </c>
    </row>
    <row r="62" spans="1:15">
      <c r="A62" t="s">
        <v>46</v>
      </c>
      <c r="B62" t="s">
        <v>133</v>
      </c>
      <c r="C62" s="7">
        <f>2*C60/(C11+1)</f>
        <v>91.780821917808225</v>
      </c>
      <c r="D62" s="7">
        <f>C62*C11</f>
        <v>578.21917808219177</v>
      </c>
      <c r="E62" s="7">
        <f>2*E60/(E11+1)</f>
        <v>89.411930009464726</v>
      </c>
      <c r="F62" s="7">
        <f>E62*E11</f>
        <v>620.58806999053525</v>
      </c>
      <c r="G62" s="7">
        <f>2*G60/(G11+1)</f>
        <v>173.33716578162515</v>
      </c>
      <c r="H62" s="7">
        <f>G62*G11</f>
        <v>456.66283421837488</v>
      </c>
    </row>
    <row r="63" spans="1:15">
      <c r="A63" t="s">
        <v>49</v>
      </c>
      <c r="B63" t="s">
        <v>121</v>
      </c>
      <c r="C63" s="8">
        <f>2*10^3*C13/C62</f>
        <v>289.03399668325039</v>
      </c>
      <c r="D63" s="10">
        <f>C63</f>
        <v>289.03399668325039</v>
      </c>
      <c r="E63" s="8">
        <f>2*10^3*E13/E62</f>
        <v>1831.7745739596803</v>
      </c>
      <c r="F63" s="10">
        <f>E63</f>
        <v>1831.7745739596803</v>
      </c>
      <c r="G63" s="8">
        <f>2*10^3*G13/G62</f>
        <v>6427.0226961288026</v>
      </c>
      <c r="H63" s="10">
        <f>G63</f>
        <v>6427.0226961288026</v>
      </c>
      <c r="J63" s="18"/>
    </row>
    <row r="64" spans="1:15">
      <c r="A64" t="s">
        <v>54</v>
      </c>
      <c r="B64" t="s">
        <v>134</v>
      </c>
      <c r="C64" s="4">
        <v>2.5</v>
      </c>
      <c r="D64" s="4">
        <v>2.5</v>
      </c>
      <c r="E64" s="4">
        <v>2.5</v>
      </c>
      <c r="F64" s="4">
        <v>2.5</v>
      </c>
      <c r="G64" s="4">
        <v>2.5</v>
      </c>
      <c r="H64" s="4">
        <v>2.5</v>
      </c>
    </row>
    <row r="65" spans="1:34">
      <c r="A65" t="s">
        <v>55</v>
      </c>
      <c r="B65" t="s">
        <v>135</v>
      </c>
      <c r="C65" s="8">
        <f t="shared" ref="C65:H65" si="13">(C7*C57*C59*C45*C63)/(C61*C40)</f>
        <v>0.38652208036277097</v>
      </c>
      <c r="D65" s="8">
        <f t="shared" si="13"/>
        <v>0.38652208036277097</v>
      </c>
      <c r="E65" s="8">
        <f t="shared" si="13"/>
        <v>0.50545946629305094</v>
      </c>
      <c r="F65" s="8">
        <f t="shared" si="13"/>
        <v>0.50545946629305094</v>
      </c>
      <c r="G65" s="8">
        <f t="shared" si="13"/>
        <v>1.0609155853303165</v>
      </c>
      <c r="H65" s="8">
        <f t="shared" si="13"/>
        <v>1.0609155853303165</v>
      </c>
    </row>
    <row r="66" spans="1:34">
      <c r="B66" t="s">
        <v>119</v>
      </c>
      <c r="C66" s="6">
        <f>C62/17</f>
        <v>5.3988718775181308</v>
      </c>
      <c r="D66" s="6">
        <f>C66</f>
        <v>5.3988718775181308</v>
      </c>
      <c r="E66" s="6">
        <f>E62/17</f>
        <v>5.259525294674396</v>
      </c>
      <c r="F66" s="6">
        <f>E66</f>
        <v>5.259525294674396</v>
      </c>
      <c r="G66" s="6">
        <f>G62/17</f>
        <v>10.196303869507361</v>
      </c>
      <c r="H66" s="6">
        <f>G66</f>
        <v>10.196303869507361</v>
      </c>
    </row>
    <row r="67" spans="1:34">
      <c r="A67" s="1" t="s">
        <v>56</v>
      </c>
      <c r="B67" s="1" t="s">
        <v>212</v>
      </c>
      <c r="C67" s="16" t="s">
        <v>210</v>
      </c>
      <c r="D67" s="1"/>
      <c r="E67" s="16" t="s">
        <v>210</v>
      </c>
      <c r="F67" s="1"/>
      <c r="G67" s="16" t="s">
        <v>211</v>
      </c>
      <c r="H67" s="1"/>
      <c r="J67" s="17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</row>
    <row r="68" spans="1:34" hidden="1">
      <c r="A68" t="s">
        <v>57</v>
      </c>
      <c r="B68" t="s">
        <v>136</v>
      </c>
      <c r="C68" s="8">
        <v>3</v>
      </c>
      <c r="D68" s="10">
        <v>3</v>
      </c>
      <c r="E68" s="8">
        <v>3</v>
      </c>
      <c r="F68" s="10">
        <v>3</v>
      </c>
      <c r="G68" s="8">
        <v>3</v>
      </c>
      <c r="H68" s="10">
        <v>3</v>
      </c>
      <c r="J68" s="17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19"/>
      <c r="V68" s="19"/>
      <c r="AA68" s="20"/>
      <c r="AB68" s="20"/>
      <c r="AC68" s="20"/>
      <c r="AD68" s="20"/>
      <c r="AE68" s="20"/>
      <c r="AF68" s="20"/>
      <c r="AG68" s="20"/>
      <c r="AH68" s="20"/>
    </row>
    <row r="69" spans="1:34" hidden="1">
      <c r="A69" t="s">
        <v>58</v>
      </c>
      <c r="B69" t="s">
        <v>137</v>
      </c>
      <c r="C69" s="8">
        <f>ROUNDUP(2*C60/C68,0)</f>
        <v>224</v>
      </c>
      <c r="D69" s="10">
        <f>C69</f>
        <v>224</v>
      </c>
      <c r="E69" s="8">
        <f>ROUNDUP(2*E60/E68,0)</f>
        <v>237</v>
      </c>
      <c r="F69" s="10">
        <f>E69</f>
        <v>237</v>
      </c>
      <c r="G69" s="8">
        <f>ROUNDUP(2*G60/G68,0)</f>
        <v>210</v>
      </c>
      <c r="H69" s="10">
        <f>G69</f>
        <v>210</v>
      </c>
      <c r="J69" s="17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19"/>
      <c r="V69" s="19"/>
      <c r="AA69" s="20"/>
      <c r="AB69" s="20"/>
      <c r="AC69" s="20"/>
      <c r="AD69" s="20"/>
      <c r="AE69" s="20"/>
      <c r="AF69" s="20"/>
      <c r="AG69" s="20"/>
      <c r="AH69" s="20"/>
    </row>
    <row r="70" spans="1:34" hidden="1">
      <c r="A70" t="s">
        <v>59</v>
      </c>
      <c r="B70" t="s">
        <v>138</v>
      </c>
      <c r="C70" s="7">
        <f>ROUNDUP(C69/(C11+1),0)</f>
        <v>31</v>
      </c>
      <c r="D70" s="7">
        <f>D69-C70</f>
        <v>193</v>
      </c>
      <c r="E70" s="7">
        <f>ROUNDUP(E69/(E11+1),0)</f>
        <v>30</v>
      </c>
      <c r="F70" s="7">
        <f>F69-E70</f>
        <v>207</v>
      </c>
      <c r="G70" s="7">
        <f>ROUNDUP(G69/(G11+1),0)</f>
        <v>58</v>
      </c>
      <c r="H70" s="7">
        <f>H69-G70</f>
        <v>152</v>
      </c>
      <c r="J70" s="17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19"/>
      <c r="V70" s="19"/>
      <c r="AA70" s="20"/>
      <c r="AB70" s="20"/>
      <c r="AC70" s="20"/>
      <c r="AD70" s="20"/>
      <c r="AE70" s="20"/>
      <c r="AF70" s="20"/>
      <c r="AG70" s="20"/>
      <c r="AH70" s="20"/>
    </row>
    <row r="71" spans="1:34" hidden="1">
      <c r="A71" t="s">
        <v>16</v>
      </c>
      <c r="B71" t="s">
        <v>139</v>
      </c>
      <c r="C71" s="8">
        <f>D70/C70</f>
        <v>6.225806451612903</v>
      </c>
      <c r="D71" s="10">
        <f>C71</f>
        <v>6.225806451612903</v>
      </c>
      <c r="E71" s="8">
        <f>F70/E70</f>
        <v>6.9</v>
      </c>
      <c r="F71" s="10">
        <f>E71</f>
        <v>6.9</v>
      </c>
      <c r="G71" s="8">
        <f>H70/G70</f>
        <v>2.6206896551724137</v>
      </c>
      <c r="H71" s="10">
        <f>G71</f>
        <v>2.6206896551724137</v>
      </c>
    </row>
    <row r="72" spans="1:34" hidden="1">
      <c r="A72" s="20" t="s">
        <v>57</v>
      </c>
      <c r="B72" s="20" t="s">
        <v>136</v>
      </c>
      <c r="C72" s="21"/>
      <c r="D72" s="22"/>
      <c r="E72" s="21"/>
      <c r="F72" s="22"/>
      <c r="G72" s="21"/>
      <c r="H72" s="22"/>
    </row>
    <row r="73" spans="1:34" hidden="1">
      <c r="A73" s="20" t="s">
        <v>58</v>
      </c>
      <c r="B73" s="20" t="s">
        <v>137</v>
      </c>
      <c r="C73" s="23"/>
      <c r="D73" s="23"/>
      <c r="E73" s="23"/>
      <c r="F73" s="23"/>
      <c r="G73" s="23"/>
      <c r="H73" s="23"/>
    </row>
    <row r="74" spans="1:34" hidden="1">
      <c r="A74" s="20" t="s">
        <v>59</v>
      </c>
      <c r="B74" s="20" t="s">
        <v>138</v>
      </c>
      <c r="C74" s="21"/>
      <c r="D74" s="22"/>
      <c r="E74" s="21"/>
      <c r="F74" s="22"/>
      <c r="G74" s="21"/>
      <c r="H74" s="22"/>
    </row>
    <row r="75" spans="1:34" hidden="1">
      <c r="A75" s="20" t="s">
        <v>16</v>
      </c>
      <c r="B75" s="20" t="s">
        <v>139</v>
      </c>
      <c r="C75" s="21"/>
      <c r="D75" s="22"/>
      <c r="E75" s="21"/>
      <c r="F75" s="22"/>
      <c r="G75" s="21"/>
      <c r="H75" s="22"/>
      <c r="J75" s="17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19"/>
      <c r="V75" s="19"/>
      <c r="AA75" s="20"/>
      <c r="AB75" s="20"/>
      <c r="AC75" s="20"/>
      <c r="AD75" s="20"/>
      <c r="AE75" s="20"/>
      <c r="AF75" s="20"/>
      <c r="AG75" s="20"/>
      <c r="AH75" s="20"/>
    </row>
    <row r="76" spans="1:34" hidden="1">
      <c r="A76" s="20" t="s">
        <v>57</v>
      </c>
      <c r="B76" s="20" t="s">
        <v>136</v>
      </c>
      <c r="C76" s="21"/>
      <c r="D76" s="22"/>
      <c r="E76" s="21"/>
      <c r="F76" s="22"/>
      <c r="G76" s="21"/>
      <c r="H76" s="22"/>
      <c r="J76" s="17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19"/>
      <c r="V76" s="19"/>
      <c r="AA76" s="20"/>
      <c r="AB76" s="20"/>
      <c r="AC76" s="20"/>
      <c r="AD76" s="20"/>
      <c r="AE76" s="20"/>
      <c r="AF76" s="20"/>
      <c r="AG76" s="20"/>
      <c r="AH76" s="20"/>
    </row>
    <row r="77" spans="1:34" hidden="1">
      <c r="A77" s="20" t="s">
        <v>58</v>
      </c>
      <c r="B77" s="20" t="s">
        <v>137</v>
      </c>
      <c r="C77" s="21"/>
      <c r="D77" s="22"/>
      <c r="E77" s="21"/>
      <c r="F77" s="22"/>
      <c r="G77" s="21"/>
      <c r="H77" s="22"/>
      <c r="J77" s="17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19"/>
      <c r="V77" s="19"/>
      <c r="AA77" s="20"/>
      <c r="AB77" s="20"/>
      <c r="AC77" s="20"/>
      <c r="AD77" s="20"/>
      <c r="AE77" s="20"/>
      <c r="AF77" s="20"/>
      <c r="AG77" s="20"/>
      <c r="AH77" s="20"/>
    </row>
    <row r="78" spans="1:34" hidden="1">
      <c r="A78" s="20" t="s">
        <v>59</v>
      </c>
      <c r="B78" s="20" t="s">
        <v>138</v>
      </c>
      <c r="C78" s="23"/>
      <c r="D78" s="23"/>
      <c r="E78" s="23"/>
      <c r="F78" s="23"/>
      <c r="G78" s="23"/>
      <c r="H78" s="23"/>
      <c r="J78" s="17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19"/>
      <c r="V78" s="19"/>
      <c r="AA78" s="20"/>
      <c r="AB78" s="20"/>
      <c r="AC78" s="20"/>
      <c r="AD78" s="20"/>
      <c r="AE78" s="20"/>
      <c r="AF78" s="20"/>
      <c r="AG78" s="20"/>
      <c r="AH78" s="20"/>
    </row>
    <row r="79" spans="1:34" hidden="1">
      <c r="A79" s="20" t="s">
        <v>16</v>
      </c>
      <c r="B79" s="20" t="s">
        <v>139</v>
      </c>
      <c r="C79" s="21"/>
      <c r="D79" s="22"/>
      <c r="E79" s="21"/>
      <c r="F79" s="22"/>
      <c r="G79" s="21"/>
      <c r="H79" s="22"/>
    </row>
    <row r="80" spans="1:34" hidden="1">
      <c r="A80" s="20" t="s">
        <v>57</v>
      </c>
      <c r="B80" s="20" t="s">
        <v>136</v>
      </c>
      <c r="C80" s="21"/>
      <c r="D80" s="22"/>
      <c r="E80" s="21"/>
      <c r="F80" s="22"/>
      <c r="G80" s="21"/>
      <c r="H80" s="22"/>
    </row>
    <row r="81" spans="1:34" hidden="1">
      <c r="A81" s="20" t="s">
        <v>58</v>
      </c>
      <c r="B81" s="20" t="s">
        <v>137</v>
      </c>
      <c r="C81" s="21"/>
      <c r="D81" s="22"/>
      <c r="E81" s="21"/>
      <c r="F81" s="22"/>
      <c r="G81" s="21"/>
      <c r="H81" s="22"/>
      <c r="J81" s="17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19"/>
      <c r="V81" s="19"/>
      <c r="AA81" s="11"/>
      <c r="AB81" s="11"/>
      <c r="AC81" s="11"/>
      <c r="AD81" s="11"/>
      <c r="AE81" s="11"/>
      <c r="AF81" s="11"/>
      <c r="AG81" s="11"/>
      <c r="AH81" s="11"/>
    </row>
    <row r="82" spans="1:34" hidden="1">
      <c r="A82" s="20" t="s">
        <v>59</v>
      </c>
      <c r="B82" s="20" t="s">
        <v>138</v>
      </c>
      <c r="C82" s="23"/>
      <c r="D82" s="23"/>
      <c r="E82" s="23"/>
      <c r="F82" s="23"/>
      <c r="G82" s="23"/>
      <c r="H82" s="23"/>
      <c r="J82" s="17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19"/>
      <c r="V82" s="19"/>
    </row>
    <row r="83" spans="1:34" hidden="1">
      <c r="A83" s="20" t="s">
        <v>16</v>
      </c>
      <c r="B83" s="20" t="s">
        <v>139</v>
      </c>
      <c r="C83" s="21"/>
      <c r="D83" s="22"/>
      <c r="E83" s="21"/>
      <c r="F83" s="22"/>
      <c r="G83" s="21"/>
      <c r="H83" s="22"/>
      <c r="J83" s="17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19"/>
      <c r="V83" s="19"/>
    </row>
    <row r="84" spans="1:34" hidden="1">
      <c r="A84" t="s">
        <v>60</v>
      </c>
      <c r="B84" t="s">
        <v>140</v>
      </c>
      <c r="C84" s="24">
        <f>C68*C69/2</f>
        <v>336</v>
      </c>
      <c r="D84" s="24">
        <f t="shared" ref="D84:H84" si="14">D68*D69/2</f>
        <v>336</v>
      </c>
      <c r="E84" s="24">
        <f t="shared" si="14"/>
        <v>355.5</v>
      </c>
      <c r="F84" s="24">
        <f t="shared" si="14"/>
        <v>355.5</v>
      </c>
      <c r="G84" s="24">
        <f t="shared" si="14"/>
        <v>315</v>
      </c>
      <c r="H84" s="24">
        <f t="shared" si="14"/>
        <v>315</v>
      </c>
      <c r="J84" s="17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19"/>
      <c r="V84" s="19"/>
    </row>
    <row r="85" spans="1:34" hidden="1">
      <c r="A85" t="s">
        <v>85</v>
      </c>
      <c r="B85" t="s">
        <v>141</v>
      </c>
      <c r="C85" s="24">
        <f>DEGREES(ACOS(C84*$J$90/C60))</f>
        <v>90</v>
      </c>
      <c r="D85" s="24">
        <f t="shared" ref="D85:H85" si="15">DEGREES(ACOS(D84*$J$90/D60))</f>
        <v>90</v>
      </c>
      <c r="E85" s="24">
        <f>DEGREES(ACOS(E84*$J$90/E60))</f>
        <v>90</v>
      </c>
      <c r="F85" s="24">
        <f t="shared" si="15"/>
        <v>90</v>
      </c>
      <c r="G85" s="24">
        <f t="shared" si="15"/>
        <v>90</v>
      </c>
      <c r="H85" s="24">
        <f t="shared" si="15"/>
        <v>90</v>
      </c>
    </row>
    <row r="86" spans="1:34" hidden="1">
      <c r="A86" t="s">
        <v>61</v>
      </c>
      <c r="B86" t="s">
        <v>142</v>
      </c>
      <c r="C86" s="24" t="e">
        <f>C69*(TAN(RADIANS(C85))-RADIANS(C85)-$J$89)/(2*$J$88)</f>
        <v>#DIV/0!</v>
      </c>
      <c r="D86" s="24" t="e">
        <f t="shared" ref="D86:H86" si="16">D69*(TAN(RADIANS(D85))-RADIANS(D85)-$J$89)/(2*$J$88)</f>
        <v>#DIV/0!</v>
      </c>
      <c r="E86" s="24" t="e">
        <f>E69*(TAN(RADIANS(E85))-RADIANS(E85)-$J$89)/(2*$J$88)</f>
        <v>#DIV/0!</v>
      </c>
      <c r="F86" s="24" t="e">
        <f t="shared" si="16"/>
        <v>#DIV/0!</v>
      </c>
      <c r="G86" s="24" t="e">
        <f t="shared" si="16"/>
        <v>#DIV/0!</v>
      </c>
      <c r="H86" s="24" t="e">
        <f t="shared" si="16"/>
        <v>#DIV/0!</v>
      </c>
    </row>
    <row r="87" spans="1:34" hidden="1">
      <c r="A87" t="s">
        <v>62</v>
      </c>
      <c r="B87" t="s">
        <v>143</v>
      </c>
      <c r="C87" s="24" t="e">
        <f>C86+C69/2-C60/C68</f>
        <v>#DIV/0!</v>
      </c>
      <c r="D87" s="24" t="e">
        <f t="shared" ref="D87:H87" si="17">D86+D69/2-D60/D68</f>
        <v>#DIV/0!</v>
      </c>
      <c r="E87" s="24" t="e">
        <f>E86+E69/2-E60/E68</f>
        <v>#DIV/0!</v>
      </c>
      <c r="F87" s="24" t="e">
        <f t="shared" si="17"/>
        <v>#DIV/0!</v>
      </c>
      <c r="G87" s="24" t="e">
        <f t="shared" si="17"/>
        <v>#DIV/0!</v>
      </c>
      <c r="H87" s="24" t="e">
        <f t="shared" si="17"/>
        <v>#DIV/0!</v>
      </c>
    </row>
    <row r="88" spans="1:34" hidden="1">
      <c r="A88" t="s">
        <v>63</v>
      </c>
      <c r="B88" t="s">
        <v>144</v>
      </c>
      <c r="C88" s="24" t="e">
        <f>C86</f>
        <v>#DIV/0!</v>
      </c>
      <c r="D88" s="25">
        <f>0</f>
        <v>0</v>
      </c>
      <c r="E88" s="24" t="e">
        <f t="shared" ref="E88" si="18">E86</f>
        <v>#DIV/0!</v>
      </c>
      <c r="F88" s="25">
        <f>0</f>
        <v>0</v>
      </c>
      <c r="G88" s="24" t="e">
        <f t="shared" ref="G88" si="19">G86</f>
        <v>#DIV/0!</v>
      </c>
      <c r="H88" s="25">
        <f>0</f>
        <v>0</v>
      </c>
    </row>
    <row r="89" spans="1:34" hidden="1">
      <c r="B89" t="s">
        <v>145</v>
      </c>
      <c r="C89" s="24">
        <f>0</f>
        <v>0</v>
      </c>
      <c r="D89" s="25" t="e">
        <f>D86</f>
        <v>#DIV/0!</v>
      </c>
      <c r="E89" s="24">
        <f>0</f>
        <v>0</v>
      </c>
      <c r="F89" s="25" t="e">
        <f t="shared" ref="F89" si="20">F86</f>
        <v>#DIV/0!</v>
      </c>
      <c r="G89" s="24">
        <f>0</f>
        <v>0</v>
      </c>
      <c r="H89" s="25" t="e">
        <f t="shared" ref="H89" si="21">H86</f>
        <v>#DIV/0!</v>
      </c>
    </row>
    <row r="90" spans="1:34" hidden="1">
      <c r="A90" t="s">
        <v>64</v>
      </c>
      <c r="B90" t="s">
        <v>146</v>
      </c>
      <c r="C90" s="24">
        <f>C51*TAN(RADIANS(C85))</f>
        <v>7.045179288096938E+18</v>
      </c>
      <c r="D90" s="24">
        <f t="shared" ref="D90:H90" si="22">D51*TAN(RADIANS(D85))</f>
        <v>7.045179288096938E+18</v>
      </c>
      <c r="E90" s="24">
        <f t="shared" si="22"/>
        <v>3.7676049645589619E+19</v>
      </c>
      <c r="F90" s="24">
        <f t="shared" si="22"/>
        <v>3.7676049645589619E+19</v>
      </c>
      <c r="G90" s="24">
        <f t="shared" si="22"/>
        <v>1.1946264467561161E+20</v>
      </c>
      <c r="H90" s="24">
        <f t="shared" si="22"/>
        <v>1.1946264467561161E+20</v>
      </c>
    </row>
    <row r="91" spans="1:34" hidden="1">
      <c r="A91" t="s">
        <v>65</v>
      </c>
      <c r="B91" t="s">
        <v>147</v>
      </c>
      <c r="C91" s="8"/>
      <c r="D91" s="9"/>
      <c r="E91" s="9"/>
      <c r="F91" s="9"/>
      <c r="G91" s="9"/>
      <c r="H91" s="10"/>
    </row>
    <row r="92" spans="1:34" hidden="1">
      <c r="A92" t="s">
        <v>66</v>
      </c>
      <c r="B92" t="s">
        <v>148</v>
      </c>
      <c r="C92" s="7"/>
      <c r="D92" s="7"/>
      <c r="E92" s="7"/>
      <c r="F92" s="7"/>
      <c r="G92" s="7"/>
      <c r="H92" s="7"/>
    </row>
    <row r="93" spans="1:34" hidden="1">
      <c r="A93" t="s">
        <v>67</v>
      </c>
      <c r="B93" t="s">
        <v>149</v>
      </c>
      <c r="C93" s="7"/>
      <c r="D93" s="7"/>
      <c r="E93" s="7"/>
      <c r="F93" s="7"/>
      <c r="G93" s="7"/>
      <c r="H93" s="7"/>
    </row>
    <row r="94" spans="1:34" hidden="1">
      <c r="A94" t="s">
        <v>68</v>
      </c>
      <c r="B94" t="s">
        <v>150</v>
      </c>
      <c r="C94" s="7"/>
      <c r="D94" s="7"/>
      <c r="E94" s="7"/>
      <c r="F94" s="7"/>
      <c r="G94" s="7"/>
      <c r="H94" s="7"/>
    </row>
    <row r="95" spans="1:34" hidden="1">
      <c r="B95" t="s">
        <v>151</v>
      </c>
      <c r="C95" s="7"/>
      <c r="D95" s="7"/>
      <c r="E95" s="7"/>
      <c r="F95" s="7"/>
      <c r="G95" s="7"/>
      <c r="H95" s="7"/>
    </row>
    <row r="96" spans="1:34" hidden="1">
      <c r="A96" t="s">
        <v>69</v>
      </c>
      <c r="B96" t="s">
        <v>152</v>
      </c>
      <c r="C96" s="7"/>
      <c r="D96" s="7"/>
      <c r="E96" s="7"/>
      <c r="F96" s="7"/>
      <c r="G96" s="7"/>
      <c r="H96" s="7"/>
    </row>
    <row r="97" spans="1:8" hidden="1">
      <c r="B97" t="s">
        <v>153</v>
      </c>
      <c r="C97" s="7"/>
      <c r="D97" s="7"/>
      <c r="E97" s="7"/>
      <c r="F97" s="7"/>
      <c r="G97" s="7"/>
      <c r="H97" s="7"/>
    </row>
    <row r="98" spans="1:8" ht="15" thickBot="1">
      <c r="A98" s="30" t="s">
        <v>70</v>
      </c>
      <c r="B98" s="30" t="s">
        <v>213</v>
      </c>
      <c r="C98" s="31" t="s">
        <v>210</v>
      </c>
      <c r="D98" s="30"/>
      <c r="E98" s="31" t="s">
        <v>210</v>
      </c>
      <c r="F98" s="30"/>
      <c r="G98" s="31" t="s">
        <v>211</v>
      </c>
      <c r="H98" s="30"/>
    </row>
    <row r="99" spans="1:8" hidden="1">
      <c r="A99" t="s">
        <v>57</v>
      </c>
      <c r="B99" t="s">
        <v>136</v>
      </c>
      <c r="C99" s="6"/>
      <c r="D99" s="26"/>
      <c r="E99" s="6"/>
      <c r="F99" s="26"/>
      <c r="G99" s="6"/>
      <c r="H99" s="26"/>
    </row>
    <row r="100" spans="1:8" hidden="1">
      <c r="A100" t="s">
        <v>86</v>
      </c>
      <c r="B100" t="s">
        <v>161</v>
      </c>
      <c r="C100" s="8"/>
      <c r="D100" s="10"/>
      <c r="E100" s="8"/>
      <c r="F100" s="10"/>
      <c r="G100" s="8"/>
      <c r="H100" s="10"/>
    </row>
    <row r="101" spans="1:8" hidden="1">
      <c r="B101" t="s">
        <v>154</v>
      </c>
      <c r="C101" s="8"/>
      <c r="D101" s="10"/>
      <c r="E101" s="8"/>
      <c r="F101" s="10"/>
      <c r="G101" s="8"/>
      <c r="H101" s="10"/>
    </row>
    <row r="102" spans="1:8" hidden="1">
      <c r="A102" t="s">
        <v>71</v>
      </c>
      <c r="B102" t="s">
        <v>155</v>
      </c>
      <c r="C102" s="8"/>
      <c r="D102" s="10"/>
      <c r="E102" s="8"/>
      <c r="F102" s="10"/>
      <c r="G102" s="8"/>
      <c r="H102" s="10"/>
    </row>
    <row r="103" spans="1:8" hidden="1">
      <c r="B103" t="s">
        <v>156</v>
      </c>
      <c r="C103" s="8"/>
      <c r="D103" s="10"/>
      <c r="E103" s="8"/>
      <c r="F103" s="10"/>
      <c r="G103" s="8"/>
      <c r="H103" s="10"/>
    </row>
    <row r="104" spans="1:8" hidden="1">
      <c r="A104" t="s">
        <v>58</v>
      </c>
      <c r="B104" t="s">
        <v>157</v>
      </c>
      <c r="C104" s="8"/>
      <c r="D104" s="10"/>
      <c r="E104" s="8"/>
      <c r="F104" s="10"/>
      <c r="G104" s="8"/>
      <c r="H104" s="10"/>
    </row>
    <row r="105" spans="1:8" hidden="1">
      <c r="A105" t="s">
        <v>59</v>
      </c>
      <c r="B105" t="s">
        <v>138</v>
      </c>
      <c r="C105" s="7"/>
      <c r="D105" s="7"/>
      <c r="E105" s="7"/>
      <c r="F105" s="7"/>
      <c r="G105" s="7"/>
      <c r="H105" s="7"/>
    </row>
    <row r="106" spans="1:8" hidden="1">
      <c r="A106" t="s">
        <v>16</v>
      </c>
      <c r="B106" t="s">
        <v>139</v>
      </c>
      <c r="C106" s="8"/>
      <c r="D106" s="10"/>
      <c r="E106" s="8"/>
      <c r="F106" s="10"/>
      <c r="G106" s="8"/>
      <c r="H106" s="10"/>
    </row>
    <row r="107" spans="1:8" hidden="1">
      <c r="A107" t="s">
        <v>57</v>
      </c>
      <c r="B107" t="s">
        <v>136</v>
      </c>
      <c r="C107" s="8"/>
      <c r="D107" s="10"/>
      <c r="E107" s="8"/>
      <c r="F107" s="10"/>
      <c r="G107" s="8"/>
      <c r="H107" s="10"/>
    </row>
    <row r="108" spans="1:8" hidden="1">
      <c r="A108" t="s">
        <v>86</v>
      </c>
      <c r="B108" t="s">
        <v>161</v>
      </c>
      <c r="C108" s="8"/>
      <c r="D108" s="10"/>
      <c r="E108" s="8"/>
      <c r="F108" s="10"/>
      <c r="G108" s="8"/>
      <c r="H108" s="10"/>
    </row>
    <row r="109" spans="1:8" hidden="1">
      <c r="B109" t="s">
        <v>154</v>
      </c>
      <c r="C109" s="8"/>
      <c r="D109" s="10"/>
      <c r="E109" s="8"/>
      <c r="F109" s="10"/>
      <c r="G109" s="8"/>
      <c r="H109" s="10"/>
    </row>
    <row r="110" spans="1:8" hidden="1">
      <c r="A110" t="s">
        <v>71</v>
      </c>
      <c r="B110" t="s">
        <v>155</v>
      </c>
      <c r="C110" s="8"/>
      <c r="D110" s="10"/>
      <c r="E110" s="8"/>
      <c r="F110" s="10"/>
      <c r="G110" s="8"/>
      <c r="H110" s="10"/>
    </row>
    <row r="111" spans="1:8" hidden="1">
      <c r="B111" t="s">
        <v>156</v>
      </c>
      <c r="C111" s="8"/>
      <c r="D111" s="10"/>
      <c r="E111" s="8"/>
      <c r="F111" s="10"/>
      <c r="G111" s="8"/>
      <c r="H111" s="10"/>
    </row>
    <row r="112" spans="1:8" hidden="1">
      <c r="A112" t="s">
        <v>58</v>
      </c>
      <c r="B112" t="s">
        <v>157</v>
      </c>
      <c r="C112" s="8"/>
      <c r="D112" s="10"/>
      <c r="E112" s="8"/>
      <c r="F112" s="10"/>
      <c r="G112" s="8"/>
      <c r="H112" s="10"/>
    </row>
    <row r="113" spans="1:34" hidden="1">
      <c r="A113" t="s">
        <v>59</v>
      </c>
      <c r="B113" t="s">
        <v>138</v>
      </c>
      <c r="C113" s="7"/>
      <c r="D113" s="7"/>
      <c r="E113" s="7"/>
      <c r="F113" s="7"/>
      <c r="G113" s="7"/>
      <c r="H113" s="7"/>
    </row>
    <row r="114" spans="1:34" hidden="1">
      <c r="A114" t="s">
        <v>16</v>
      </c>
      <c r="B114" t="s">
        <v>139</v>
      </c>
      <c r="C114" s="8"/>
      <c r="D114" s="10"/>
      <c r="E114" s="8"/>
      <c r="F114" s="10"/>
      <c r="G114" s="8"/>
      <c r="H114" s="10"/>
    </row>
    <row r="115" spans="1:34" hidden="1">
      <c r="A115" t="s">
        <v>57</v>
      </c>
      <c r="B115" t="s">
        <v>136</v>
      </c>
      <c r="C115" s="8"/>
      <c r="D115" s="10"/>
      <c r="E115" s="8"/>
      <c r="F115" s="10"/>
      <c r="G115" s="8"/>
      <c r="H115" s="10"/>
    </row>
    <row r="116" spans="1:34" hidden="1">
      <c r="A116" t="s">
        <v>86</v>
      </c>
      <c r="B116" t="s">
        <v>161</v>
      </c>
      <c r="C116" s="8"/>
      <c r="D116" s="10"/>
      <c r="E116" s="8"/>
      <c r="F116" s="10"/>
      <c r="G116" s="8"/>
      <c r="H116" s="10"/>
    </row>
    <row r="117" spans="1:34" hidden="1">
      <c r="B117" t="s">
        <v>154</v>
      </c>
      <c r="C117" s="8"/>
      <c r="D117" s="10"/>
      <c r="E117" s="8"/>
      <c r="F117" s="10"/>
      <c r="G117" s="8"/>
      <c r="H117" s="10"/>
    </row>
    <row r="118" spans="1:34" hidden="1">
      <c r="A118" t="s">
        <v>71</v>
      </c>
      <c r="B118" t="s">
        <v>155</v>
      </c>
      <c r="C118" s="8"/>
      <c r="D118" s="10"/>
      <c r="E118" s="8"/>
      <c r="F118" s="10"/>
      <c r="G118" s="8"/>
      <c r="H118" s="10"/>
    </row>
    <row r="119" spans="1:34" hidden="1">
      <c r="B119" t="s">
        <v>156</v>
      </c>
      <c r="C119" s="8"/>
      <c r="D119" s="10"/>
      <c r="E119" s="8"/>
      <c r="F119" s="10"/>
      <c r="G119" s="8"/>
      <c r="H119" s="10"/>
    </row>
    <row r="120" spans="1:34" hidden="1">
      <c r="A120" t="s">
        <v>58</v>
      </c>
      <c r="B120" t="s">
        <v>157</v>
      </c>
      <c r="C120" s="8"/>
      <c r="D120" s="10"/>
      <c r="E120" s="8"/>
      <c r="F120" s="10"/>
      <c r="G120" s="8"/>
      <c r="H120" s="10"/>
    </row>
    <row r="121" spans="1:34" hidden="1">
      <c r="A121" t="s">
        <v>59</v>
      </c>
      <c r="B121" t="s">
        <v>138</v>
      </c>
      <c r="C121" s="7"/>
      <c r="D121" s="7"/>
      <c r="E121" s="7"/>
      <c r="F121" s="7"/>
      <c r="G121" s="7"/>
      <c r="H121" s="7"/>
    </row>
    <row r="122" spans="1:34" hidden="1">
      <c r="A122" t="s">
        <v>16</v>
      </c>
      <c r="B122" t="s">
        <v>139</v>
      </c>
      <c r="C122" s="8"/>
      <c r="D122" s="10"/>
      <c r="E122" s="8"/>
      <c r="F122" s="10"/>
      <c r="G122" s="8"/>
      <c r="H122" s="10"/>
    </row>
    <row r="123" spans="1:34">
      <c r="A123" s="18" t="s">
        <v>57</v>
      </c>
      <c r="B123" s="18" t="s">
        <v>136</v>
      </c>
      <c r="C123" s="8">
        <v>3</v>
      </c>
      <c r="D123" s="10">
        <f>C123</f>
        <v>3</v>
      </c>
      <c r="E123" s="8">
        <v>3</v>
      </c>
      <c r="F123" s="10">
        <f>E123</f>
        <v>3</v>
      </c>
      <c r="G123" s="8">
        <v>2.5</v>
      </c>
      <c r="H123" s="10">
        <f>G123</f>
        <v>2.5</v>
      </c>
      <c r="I123" t="s">
        <v>215</v>
      </c>
      <c r="AH123" s="11"/>
    </row>
    <row r="124" spans="1:34">
      <c r="A124" s="18" t="s">
        <v>86</v>
      </c>
      <c r="B124" s="18" t="s">
        <v>161</v>
      </c>
      <c r="C124" s="8">
        <v>8.0865200000000002</v>
      </c>
      <c r="D124" s="10"/>
      <c r="E124" s="8" t="s">
        <v>217</v>
      </c>
      <c r="F124" s="10"/>
      <c r="G124" s="8">
        <v>4.5399000000000003</v>
      </c>
      <c r="H124" s="10"/>
    </row>
    <row r="125" spans="1:34">
      <c r="A125" s="18"/>
      <c r="B125" s="18" t="s">
        <v>154</v>
      </c>
      <c r="C125" s="8">
        <v>22</v>
      </c>
      <c r="D125" s="8">
        <v>22</v>
      </c>
      <c r="E125" s="8">
        <v>22</v>
      </c>
      <c r="F125" s="8">
        <v>22</v>
      </c>
      <c r="G125" s="8">
        <v>22</v>
      </c>
      <c r="H125" s="8">
        <v>22</v>
      </c>
      <c r="J125" s="17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</row>
    <row r="126" spans="1:34">
      <c r="A126" s="18" t="s">
        <v>71</v>
      </c>
      <c r="B126" s="18" t="s">
        <v>155</v>
      </c>
      <c r="C126" s="8">
        <v>207</v>
      </c>
      <c r="D126" s="10">
        <f>C126</f>
        <v>207</v>
      </c>
      <c r="E126" s="8">
        <v>219</v>
      </c>
      <c r="F126" s="10">
        <f>E126</f>
        <v>219</v>
      </c>
      <c r="G126" s="8">
        <v>233</v>
      </c>
      <c r="H126" s="10">
        <f>G126</f>
        <v>233</v>
      </c>
      <c r="J126" s="18"/>
    </row>
    <row r="127" spans="1:34">
      <c r="A127" s="18"/>
      <c r="B127" s="18" t="s">
        <v>156</v>
      </c>
      <c r="C127" s="8">
        <v>221</v>
      </c>
      <c r="D127" s="10">
        <f>C127</f>
        <v>221</v>
      </c>
      <c r="E127" s="8">
        <v>235</v>
      </c>
      <c r="F127" s="10">
        <f>E127</f>
        <v>235</v>
      </c>
      <c r="G127" s="8">
        <v>251</v>
      </c>
      <c r="H127" s="10">
        <f>G127</f>
        <v>251</v>
      </c>
      <c r="J127" s="18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</row>
    <row r="128" spans="1:34">
      <c r="A128" s="18" t="s">
        <v>58</v>
      </c>
      <c r="B128" s="18" t="s">
        <v>157</v>
      </c>
      <c r="C128" s="8">
        <v>221</v>
      </c>
      <c r="D128" s="10">
        <v>221</v>
      </c>
      <c r="E128" s="8">
        <v>235</v>
      </c>
      <c r="F128" s="10">
        <f>E128</f>
        <v>235</v>
      </c>
      <c r="G128" s="8">
        <v>251</v>
      </c>
      <c r="H128" s="10">
        <f>G128</f>
        <v>251</v>
      </c>
      <c r="J128" s="18"/>
    </row>
    <row r="129" spans="1:10">
      <c r="A129" s="18" t="s">
        <v>59</v>
      </c>
      <c r="B129" s="18" t="s">
        <v>138</v>
      </c>
      <c r="C129" s="7">
        <v>30</v>
      </c>
      <c r="D129" s="7">
        <v>191</v>
      </c>
      <c r="E129" s="7">
        <v>30</v>
      </c>
      <c r="F129" s="7">
        <v>205</v>
      </c>
      <c r="G129" s="7">
        <v>69</v>
      </c>
      <c r="H129" s="7">
        <v>182</v>
      </c>
      <c r="J129" s="18"/>
    </row>
    <row r="130" spans="1:10" ht="15" thickBot="1">
      <c r="A130" s="27" t="s">
        <v>16</v>
      </c>
      <c r="B130" s="27" t="s">
        <v>139</v>
      </c>
      <c r="C130" s="28">
        <v>6.3666700000000001</v>
      </c>
      <c r="D130" s="29"/>
      <c r="E130" s="28">
        <v>6.8333300000000001</v>
      </c>
      <c r="F130" s="29"/>
      <c r="G130" s="28">
        <v>2.63768</v>
      </c>
      <c r="H130" s="29"/>
      <c r="J130" s="18"/>
    </row>
    <row r="131" spans="1:10">
      <c r="A131" t="s">
        <v>88</v>
      </c>
      <c r="B131" t="s">
        <v>159</v>
      </c>
      <c r="C131" s="6">
        <f>DEGREES(ACOS(C123*C128/(2*C60)))</f>
        <v>8.2894953512497782</v>
      </c>
      <c r="D131" s="6">
        <f>DEGREES(ACOS(D123*D128/(2*D60)))</f>
        <v>8.2894953512497782</v>
      </c>
      <c r="E131" s="6">
        <f>DEGREES(ACOS(E123*E128/(2*E60)))</f>
        <v>6.8037548263364451</v>
      </c>
      <c r="F131" s="6">
        <f t="shared" ref="F131:H131" si="23">DEGREES(ACOS(F123*F128/(2*F60)))</f>
        <v>6.8037548263364451</v>
      </c>
      <c r="G131" s="6">
        <f t="shared" si="23"/>
        <v>5.1060031729699729</v>
      </c>
      <c r="H131" s="6">
        <f t="shared" si="23"/>
        <v>5.1060031729699729</v>
      </c>
    </row>
    <row r="132" spans="1:10">
      <c r="A132" t="s">
        <v>87</v>
      </c>
      <c r="B132" t="s">
        <v>160</v>
      </c>
      <c r="C132" s="8">
        <f>DEGREES(ATAN($J$134/COS(RADIANS(C131))))</f>
        <v>20.19418108963135</v>
      </c>
      <c r="D132" s="8">
        <f t="shared" ref="D132:H132" si="24">DEGREES(ATAN($J$134/COS(RADIANS(D131))))</f>
        <v>20.19418108963135</v>
      </c>
      <c r="E132" s="8">
        <f t="shared" si="24"/>
        <v>20.130490866729584</v>
      </c>
      <c r="F132" s="8">
        <f t="shared" si="24"/>
        <v>20.130490866729584</v>
      </c>
      <c r="G132" s="8">
        <f t="shared" si="24"/>
        <v>20.073330360565659</v>
      </c>
      <c r="H132" s="8">
        <f t="shared" si="24"/>
        <v>20.073330360565659</v>
      </c>
    </row>
    <row r="133" spans="1:10">
      <c r="A133" t="s">
        <v>63</v>
      </c>
      <c r="B133" t="s">
        <v>158</v>
      </c>
      <c r="C133" s="8">
        <v>0</v>
      </c>
      <c r="D133" s="8">
        <v>0</v>
      </c>
      <c r="E133" s="8">
        <v>0</v>
      </c>
      <c r="F133" s="8">
        <v>0</v>
      </c>
      <c r="G133" s="8">
        <v>0</v>
      </c>
      <c r="H133" s="8">
        <v>0</v>
      </c>
    </row>
    <row r="134" spans="1:10">
      <c r="A134" t="s">
        <v>64</v>
      </c>
      <c r="B134" t="s">
        <v>146</v>
      </c>
      <c r="C134" s="8">
        <f>C63*TAN(RADIANS(C132))</f>
        <v>106.31047796995264</v>
      </c>
      <c r="D134" s="8">
        <f t="shared" ref="D134:H134" si="25">D63*TAN(RADIANS(D132))</f>
        <v>106.31047796995264</v>
      </c>
      <c r="E134" s="8">
        <f t="shared" si="25"/>
        <v>671.43987059993503</v>
      </c>
      <c r="F134" s="8">
        <f t="shared" si="25"/>
        <v>671.43987059993503</v>
      </c>
      <c r="G134" s="8">
        <f t="shared" si="25"/>
        <v>2348.5646573654913</v>
      </c>
      <c r="H134" s="8">
        <f t="shared" si="25"/>
        <v>2348.5646573654913</v>
      </c>
      <c r="I134" s="17" t="s">
        <v>214</v>
      </c>
      <c r="J134">
        <f>TAN(RADIANS(20))</f>
        <v>0.36397023426620234</v>
      </c>
    </row>
    <row r="135" spans="1:10">
      <c r="A135" t="s">
        <v>65</v>
      </c>
      <c r="B135" t="s">
        <v>162</v>
      </c>
      <c r="C135" s="8">
        <f>C63*TAN(RADIANS(C131))</f>
        <v>42.111382032175023</v>
      </c>
      <c r="D135" s="8">
        <f t="shared" ref="D135:H135" si="26">D63*TAN(RADIANS(D131))</f>
        <v>42.111382032175023</v>
      </c>
      <c r="E135" s="8">
        <f t="shared" si="26"/>
        <v>218.54764527814046</v>
      </c>
      <c r="F135" s="8">
        <f t="shared" si="26"/>
        <v>218.54764527814046</v>
      </c>
      <c r="G135" s="8">
        <f t="shared" si="26"/>
        <v>574.27525669408305</v>
      </c>
      <c r="H135" s="8">
        <f t="shared" si="26"/>
        <v>574.27525669408305</v>
      </c>
    </row>
    <row r="136" spans="1:10">
      <c r="A136" s="33" t="s">
        <v>66</v>
      </c>
      <c r="B136" t="s">
        <v>163</v>
      </c>
      <c r="C136" s="7">
        <f t="shared" ref="C136:H136" si="27">C123*C129/COS(RADIANS(C131))</f>
        <v>90.950226244343895</v>
      </c>
      <c r="D136" s="7">
        <f t="shared" si="27"/>
        <v>579.04977375565613</v>
      </c>
      <c r="E136" s="7">
        <f t="shared" si="27"/>
        <v>90.638297872340431</v>
      </c>
      <c r="F136" s="7">
        <f t="shared" si="27"/>
        <v>619.36170212765956</v>
      </c>
      <c r="G136" s="7">
        <f t="shared" si="27"/>
        <v>173.18725099601593</v>
      </c>
      <c r="H136" s="7">
        <f t="shared" si="27"/>
        <v>456.81274900398404</v>
      </c>
    </row>
    <row r="137" spans="1:10">
      <c r="A137" t="s">
        <v>67</v>
      </c>
      <c r="B137" t="s">
        <v>164</v>
      </c>
      <c r="C137" s="7">
        <f t="shared" ref="C137:H137" si="28">C136*COS(RADIANS(C132))</f>
        <v>85.359341768317393</v>
      </c>
      <c r="D137" s="7">
        <f t="shared" si="28"/>
        <v>543.45447592495407</v>
      </c>
      <c r="E137" s="7">
        <f t="shared" si="28"/>
        <v>85.101316204192884</v>
      </c>
      <c r="F137" s="7">
        <f t="shared" si="28"/>
        <v>581.52566072865125</v>
      </c>
      <c r="G137" s="7">
        <f t="shared" si="28"/>
        <v>162.6668381063599</v>
      </c>
      <c r="H137" s="7">
        <f t="shared" si="28"/>
        <v>429.06325413561598</v>
      </c>
    </row>
    <row r="138" spans="1:10">
      <c r="A138" s="33" t="s">
        <v>68</v>
      </c>
      <c r="B138" t="s">
        <v>165</v>
      </c>
      <c r="C138" s="7">
        <f>C136+2*C123</f>
        <v>96.950226244343895</v>
      </c>
      <c r="D138" s="7">
        <f>D136+2*D123</f>
        <v>585.04977375565613</v>
      </c>
      <c r="E138" s="7">
        <f t="shared" ref="E138:H138" si="29">E136+2*E123</f>
        <v>96.638297872340431</v>
      </c>
      <c r="F138" s="7">
        <f t="shared" si="29"/>
        <v>625.36170212765956</v>
      </c>
      <c r="G138" s="7">
        <f>G136+2*G123</f>
        <v>178.18725099601593</v>
      </c>
      <c r="H138" s="7">
        <f t="shared" si="29"/>
        <v>461.81274900398404</v>
      </c>
    </row>
    <row r="139" spans="1:10">
      <c r="B139" t="s">
        <v>166</v>
      </c>
      <c r="C139" s="7"/>
      <c r="D139" s="49">
        <f>D136-1.6*D123</f>
        <v>574.24977375565618</v>
      </c>
      <c r="E139" s="7"/>
      <c r="F139" s="49">
        <f>F136-1.6*F123</f>
        <v>614.5617021276596</v>
      </c>
      <c r="G139" s="7"/>
      <c r="H139" s="7">
        <f>H136-1.6*H123</f>
        <v>452.81274900398404</v>
      </c>
    </row>
    <row r="140" spans="1:10">
      <c r="A140" t="s">
        <v>69</v>
      </c>
      <c r="B140" t="s">
        <v>167</v>
      </c>
      <c r="C140" s="7">
        <f>C136-2.5*C123</f>
        <v>83.450226244343895</v>
      </c>
      <c r="D140" s="7">
        <f t="shared" ref="D140:H140" si="30">D136-2.5*D123</f>
        <v>571.54977375565613</v>
      </c>
      <c r="E140" s="7">
        <f t="shared" si="30"/>
        <v>83.138297872340431</v>
      </c>
      <c r="F140" s="7">
        <f t="shared" si="30"/>
        <v>611.86170212765956</v>
      </c>
      <c r="G140" s="7">
        <f t="shared" si="30"/>
        <v>166.93725099601593</v>
      </c>
      <c r="H140" s="7">
        <f t="shared" si="30"/>
        <v>450.56274900398404</v>
      </c>
    </row>
    <row r="141" spans="1:10" ht="15" thickBot="1">
      <c r="A141" s="27"/>
      <c r="B141" s="27" t="s">
        <v>168</v>
      </c>
      <c r="C141" s="43"/>
      <c r="D141" s="50">
        <f>D136+2.5*D123</f>
        <v>586.54977375565613</v>
      </c>
      <c r="E141" s="43"/>
      <c r="F141" s="50">
        <f>F136+2.5*F123</f>
        <v>626.86170212765956</v>
      </c>
      <c r="G141" s="43"/>
      <c r="H141" s="43">
        <f>H136+2.5*H123</f>
        <v>463.06274900398404</v>
      </c>
    </row>
    <row r="142" spans="1:10">
      <c r="C142">
        <f>C136+D136</f>
        <v>670</v>
      </c>
      <c r="E142">
        <f t="shared" ref="E142:G142" si="31">E136+F136</f>
        <v>710</v>
      </c>
      <c r="G142">
        <f t="shared" si="31"/>
        <v>630</v>
      </c>
    </row>
    <row r="143" spans="1:10">
      <c r="A143" t="s">
        <v>230</v>
      </c>
      <c r="C143">
        <f>8*(C13)^(1/3)</f>
        <v>18.937106083236799</v>
      </c>
    </row>
    <row r="144" spans="1:10">
      <c r="A144" s="18" t="s">
        <v>231</v>
      </c>
      <c r="B144" s="18"/>
      <c r="C144" s="18"/>
      <c r="D144" s="18"/>
      <c r="E144" s="18"/>
      <c r="F144" s="18"/>
      <c r="G144" s="18"/>
      <c r="H144" s="18"/>
    </row>
    <row r="145" spans="1:8" ht="15" thickBot="1">
      <c r="A145" s="27" t="s">
        <v>232</v>
      </c>
      <c r="B145" s="27"/>
      <c r="C145" s="27"/>
      <c r="D145" s="27">
        <f>D136-D140</f>
        <v>7.5</v>
      </c>
      <c r="E145" s="45">
        <f>D145/2</f>
        <v>3.75</v>
      </c>
      <c r="F145" s="27">
        <f>F136-F140</f>
        <v>7.5</v>
      </c>
      <c r="G145" s="27">
        <f>H136-H140</f>
        <v>6.25</v>
      </c>
      <c r="H145" s="27">
        <f>G145/2</f>
        <v>3.125</v>
      </c>
    </row>
    <row r="146" spans="1:8">
      <c r="A146" s="32" t="s">
        <v>233</v>
      </c>
      <c r="D146" s="36">
        <v>80.5</v>
      </c>
      <c r="E146" s="46" t="s">
        <v>236</v>
      </c>
      <c r="F146">
        <f>7*(F13)^(1/3)</f>
        <v>57.595499584406447</v>
      </c>
    </row>
    <row r="147" spans="1:8" ht="15" thickBot="1">
      <c r="A147" s="32" t="s">
        <v>234</v>
      </c>
      <c r="D147" s="38">
        <f>D146+3*E147</f>
        <v>88</v>
      </c>
      <c r="E147" s="41">
        <v>2.5</v>
      </c>
    </row>
    <row r="148" spans="1:8">
      <c r="A148" s="32" t="s">
        <v>232</v>
      </c>
      <c r="D148" s="38">
        <f>D149+3*E149</f>
        <v>80.5</v>
      </c>
      <c r="E148" s="47" t="s">
        <v>235</v>
      </c>
    </row>
    <row r="149" spans="1:8" ht="15" thickBot="1">
      <c r="A149" s="44" t="s">
        <v>231</v>
      </c>
      <c r="B149" s="27"/>
      <c r="C149" s="27"/>
      <c r="D149" s="40">
        <f>D146-3*E149</f>
        <v>70</v>
      </c>
      <c r="E149" s="48">
        <v>3.5</v>
      </c>
      <c r="F149" s="27"/>
      <c r="G149" s="27"/>
      <c r="H149" s="27"/>
    </row>
    <row r="150" spans="1:8">
      <c r="A150" s="32" t="s">
        <v>230</v>
      </c>
      <c r="C150">
        <f>7*C13^(1/3)</f>
        <v>16.569967822832197</v>
      </c>
      <c r="D150">
        <f t="shared" ref="D150:H150" si="32">7*D13^(1/3)</f>
        <v>30.397920401804061</v>
      </c>
      <c r="E150">
        <f t="shared" si="32"/>
        <v>30.397920401804061</v>
      </c>
      <c r="F150">
        <f t="shared" si="32"/>
        <v>57.595499584406447</v>
      </c>
      <c r="G150">
        <f t="shared" si="32"/>
        <v>57.595499584406447</v>
      </c>
      <c r="H150">
        <f t="shared" si="32"/>
        <v>79.013002825155752</v>
      </c>
    </row>
    <row r="151" spans="1:8">
      <c r="A151" s="32" t="s">
        <v>231</v>
      </c>
    </row>
    <row r="152" spans="1:8">
      <c r="A152" s="32" t="s">
        <v>232</v>
      </c>
    </row>
    <row r="153" spans="1:8">
      <c r="A153" s="32" t="s">
        <v>233</v>
      </c>
    </row>
    <row r="154" spans="1:8">
      <c r="C154">
        <f>C62/2</f>
        <v>45.890410958904113</v>
      </c>
      <c r="D154">
        <f t="shared" ref="D154:H154" si="33">D62/2</f>
        <v>289.10958904109589</v>
      </c>
      <c r="E154">
        <f t="shared" si="33"/>
        <v>44.705965004732363</v>
      </c>
      <c r="F154">
        <f t="shared" si="33"/>
        <v>310.29403499526762</v>
      </c>
      <c r="G154">
        <f t="shared" si="33"/>
        <v>86.668582890812573</v>
      </c>
      <c r="H154">
        <f t="shared" si="33"/>
        <v>228.33141710918744</v>
      </c>
    </row>
    <row r="156" spans="1:8">
      <c r="A156" t="s">
        <v>221</v>
      </c>
      <c r="C156">
        <f>1.2*(H13)^(1/4)</f>
        <v>7.3897822478225859</v>
      </c>
    </row>
    <row r="157" spans="1:8">
      <c r="C157">
        <f>1.25*(H13)^(1/3)</f>
        <v>14.109464790206383</v>
      </c>
    </row>
    <row r="158" spans="1:8" ht="15" thickBot="1"/>
    <row r="159" spans="1:8">
      <c r="A159" s="1" t="s">
        <v>223</v>
      </c>
      <c r="B159" t="s">
        <v>224</v>
      </c>
      <c r="C159" s="36">
        <f>C63</f>
        <v>289.03399668325039</v>
      </c>
      <c r="D159" s="42">
        <f>D63</f>
        <v>289.03399668325039</v>
      </c>
      <c r="E159" s="36">
        <f t="shared" ref="E159:H159" si="34">E63</f>
        <v>1831.7745739596803</v>
      </c>
      <c r="F159" s="37">
        <f t="shared" si="34"/>
        <v>1831.7745739596803</v>
      </c>
      <c r="G159" s="42">
        <f t="shared" si="34"/>
        <v>6427.0226961288026</v>
      </c>
      <c r="H159" s="37">
        <f t="shared" si="34"/>
        <v>6427.0226961288026</v>
      </c>
    </row>
    <row r="160" spans="1:8">
      <c r="B160" t="s">
        <v>225</v>
      </c>
      <c r="C160" s="38">
        <f>C134</f>
        <v>106.31047796995264</v>
      </c>
      <c r="D160" s="18">
        <f t="shared" ref="D160:H160" si="35">D134</f>
        <v>106.31047796995264</v>
      </c>
      <c r="E160" s="38">
        <f t="shared" si="35"/>
        <v>671.43987059993503</v>
      </c>
      <c r="F160" s="39">
        <f t="shared" si="35"/>
        <v>671.43987059993503</v>
      </c>
      <c r="G160" s="18">
        <f t="shared" si="35"/>
        <v>2348.5646573654913</v>
      </c>
      <c r="H160" s="39">
        <f t="shared" si="35"/>
        <v>2348.5646573654913</v>
      </c>
    </row>
    <row r="161" spans="1:8" ht="15" thickBot="1">
      <c r="B161" t="s">
        <v>147</v>
      </c>
      <c r="C161" s="40">
        <f>C135</f>
        <v>42.111382032175023</v>
      </c>
      <c r="D161" s="27">
        <f t="shared" ref="D161:H161" si="36">D135</f>
        <v>42.111382032175023</v>
      </c>
      <c r="E161" s="40">
        <f t="shared" si="36"/>
        <v>218.54764527814046</v>
      </c>
      <c r="F161" s="41">
        <f t="shared" si="36"/>
        <v>218.54764527814046</v>
      </c>
      <c r="G161" s="27">
        <f t="shared" si="36"/>
        <v>574.27525669408305</v>
      </c>
      <c r="H161" s="41">
        <f t="shared" si="36"/>
        <v>574.27525669408305</v>
      </c>
    </row>
    <row r="163" spans="1:8">
      <c r="A163" s="1" t="s">
        <v>226</v>
      </c>
      <c r="B163" t="s">
        <v>227</v>
      </c>
      <c r="C163">
        <v>1051.1600000000001</v>
      </c>
    </row>
    <row r="164" spans="1:8">
      <c r="B164" t="s">
        <v>228</v>
      </c>
      <c r="C164">
        <f>(C163)^(1/3)+3</f>
        <v>13.167705110565926</v>
      </c>
      <c r="D164">
        <v>9</v>
      </c>
    </row>
    <row r="165" spans="1:8">
      <c r="B165" t="s">
        <v>229</v>
      </c>
      <c r="C165" s="18">
        <f>3*D164</f>
        <v>27</v>
      </c>
    </row>
    <row r="167" spans="1:8">
      <c r="C167" s="6"/>
    </row>
    <row r="169" spans="1:8" hidden="1">
      <c r="A169" t="s">
        <v>218</v>
      </c>
      <c r="C169">
        <f>8*(C13)^(1/3)</f>
        <v>18.937106083236799</v>
      </c>
      <c r="D169">
        <f>7*(D13)^(1/3)</f>
        <v>30.397920401804061</v>
      </c>
      <c r="E169">
        <f>7*(E13)^(1/3)</f>
        <v>30.397920401804061</v>
      </c>
      <c r="F169">
        <f>7*(F13)^(1/3)</f>
        <v>57.595499584406447</v>
      </c>
      <c r="G169">
        <f>7*(G13)^(1/3)</f>
        <v>57.595499584406447</v>
      </c>
      <c r="H169">
        <f>6*(H13)^(1/3)</f>
        <v>67.725430992990638</v>
      </c>
    </row>
    <row r="170" spans="1:8" hidden="1">
      <c r="A170" s="32"/>
      <c r="B170" s="32"/>
      <c r="C170" s="32" t="s">
        <v>219</v>
      </c>
      <c r="D170" s="32"/>
      <c r="E170" s="32"/>
      <c r="F170" s="32"/>
      <c r="G170" s="32"/>
      <c r="H170" s="32"/>
    </row>
    <row r="171" spans="1:8" hidden="1">
      <c r="B171" s="32"/>
      <c r="C171" s="32">
        <f>C140</f>
        <v>83.450226244343895</v>
      </c>
      <c r="D171" s="32">
        <f>C171*(D11)^(1/3)</f>
        <v>154.12545377888765</v>
      </c>
      <c r="E171" s="32">
        <f>D171</f>
        <v>154.12545377888765</v>
      </c>
      <c r="F171" s="32">
        <f>C171*(F11)^(1/3)</f>
        <v>159.18305530363392</v>
      </c>
      <c r="G171" s="32">
        <f>D171*(G11)^(1/3)</f>
        <v>212.86733700164729</v>
      </c>
      <c r="H171" s="32">
        <f>E171*(H11)^(1/3)</f>
        <v>212.86733700164729</v>
      </c>
    </row>
    <row r="172" spans="1:8" hidden="1">
      <c r="A172" s="32" t="s">
        <v>220</v>
      </c>
      <c r="B172" s="32"/>
      <c r="C172" s="32">
        <f t="shared" ref="C172:H172" si="37">4*C123</f>
        <v>12</v>
      </c>
      <c r="D172" s="32">
        <f t="shared" si="37"/>
        <v>12</v>
      </c>
      <c r="E172" s="32">
        <f t="shared" si="37"/>
        <v>12</v>
      </c>
      <c r="F172" s="32">
        <f t="shared" si="37"/>
        <v>12</v>
      </c>
      <c r="G172" s="32">
        <f t="shared" si="37"/>
        <v>10</v>
      </c>
      <c r="H172" s="32">
        <f t="shared" si="37"/>
        <v>10</v>
      </c>
    </row>
    <row r="173" spans="1:8" hidden="1">
      <c r="A173" s="32"/>
      <c r="B173" s="32"/>
    </row>
    <row r="174" spans="1:8" hidden="1">
      <c r="A174" s="32"/>
      <c r="B174" s="32"/>
      <c r="C174" s="34">
        <v>83.450226244343895</v>
      </c>
      <c r="D174" s="32">
        <v>154.12545377888799</v>
      </c>
      <c r="E174" s="35">
        <v>83.138297872340431</v>
      </c>
      <c r="F174" s="32">
        <v>159.18305530363401</v>
      </c>
      <c r="G174" s="34">
        <v>159.18305530363401</v>
      </c>
      <c r="H174" s="34">
        <v>212.867337001647</v>
      </c>
    </row>
    <row r="175" spans="1:8" hidden="1">
      <c r="A175" s="32" t="s">
        <v>222</v>
      </c>
      <c r="B175" s="32"/>
      <c r="C175" s="32">
        <f t="shared" ref="C175:H175" si="38">C61/3</f>
        <v>22.333333333333332</v>
      </c>
      <c r="D175" s="32">
        <f t="shared" si="38"/>
        <v>22.333333333333332</v>
      </c>
      <c r="E175" s="32">
        <f t="shared" si="38"/>
        <v>37.274999999999999</v>
      </c>
      <c r="F175" s="32">
        <f t="shared" si="38"/>
        <v>37.274999999999999</v>
      </c>
      <c r="G175" s="32">
        <f t="shared" si="38"/>
        <v>33.074999999999996</v>
      </c>
      <c r="H175" s="32">
        <f t="shared" si="38"/>
        <v>33.074999999999996</v>
      </c>
    </row>
    <row r="176" spans="1:8" hidden="1">
      <c r="A176" s="32"/>
      <c r="B176" s="32"/>
      <c r="C176" s="32"/>
      <c r="D176" s="32"/>
      <c r="E176" s="32"/>
      <c r="F176" s="32">
        <f>C13*(G11)^(1/3)</f>
        <v>18.319159080070634</v>
      </c>
      <c r="G176" s="32"/>
      <c r="H176" s="32"/>
    </row>
    <row r="177" spans="1:8" hidden="1">
      <c r="A177" s="32"/>
      <c r="B177" s="32"/>
      <c r="C177" s="32"/>
      <c r="D177" s="32"/>
      <c r="E177" s="32"/>
      <c r="F177" s="32"/>
      <c r="G177" s="32"/>
      <c r="H177" s="32"/>
    </row>
    <row r="178" spans="1:8" hidden="1">
      <c r="A178" s="32"/>
      <c r="B178" s="32"/>
      <c r="C178" s="32"/>
      <c r="D178" s="32"/>
      <c r="E178" s="18"/>
      <c r="F178" s="32"/>
      <c r="G178" s="32"/>
      <c r="H178" s="32"/>
    </row>
    <row r="179" spans="1:8" hidden="1">
      <c r="A179" s="32"/>
      <c r="B179" s="32"/>
      <c r="C179" s="32"/>
      <c r="D179" s="32"/>
      <c r="E179" s="32"/>
      <c r="F179" s="32"/>
      <c r="G179" s="32"/>
      <c r="H179" s="32"/>
    </row>
    <row r="180" spans="1:8" hidden="1">
      <c r="A180" s="32"/>
      <c r="B180" s="32"/>
      <c r="C180" s="32">
        <f t="shared" ref="C180:H180" si="39">8*(C13)^(1/3)</f>
        <v>18.937106083236799</v>
      </c>
      <c r="D180" s="32">
        <f t="shared" si="39"/>
        <v>34.74048045920464</v>
      </c>
      <c r="E180" s="32">
        <f t="shared" si="39"/>
        <v>34.74048045920464</v>
      </c>
      <c r="F180" s="32">
        <f t="shared" si="39"/>
        <v>65.823428096464511</v>
      </c>
      <c r="G180" s="32">
        <f t="shared" si="39"/>
        <v>65.823428096464511</v>
      </c>
      <c r="H180" s="32">
        <f t="shared" si="39"/>
        <v>90.300574657320851</v>
      </c>
    </row>
    <row r="181" spans="1:8">
      <c r="B181" s="18"/>
    </row>
    <row r="182" spans="1:8">
      <c r="B182" s="18"/>
      <c r="C182" s="7">
        <v>90.950226244343895</v>
      </c>
      <c r="D182" s="7">
        <v>579.04977375565602</v>
      </c>
      <c r="E182" s="7">
        <v>90.638297872340402</v>
      </c>
      <c r="F182" s="7">
        <v>619.36170212766001</v>
      </c>
      <c r="G182" s="7">
        <v>173.18725099601599</v>
      </c>
      <c r="H182" s="7">
        <v>456.81274900398398</v>
      </c>
    </row>
    <row r="183" spans="1:8">
      <c r="B183" s="18"/>
    </row>
    <row r="186" spans="1:8">
      <c r="C186">
        <v>461.812749</v>
      </c>
    </row>
    <row r="190" spans="1:8" ht="15" thickBot="1"/>
    <row r="191" spans="1:8">
      <c r="B191" t="s">
        <v>224</v>
      </c>
      <c r="C191" s="55">
        <v>289.03399668325039</v>
      </c>
      <c r="D191" s="56">
        <v>289.03399668325039</v>
      </c>
      <c r="E191" s="55">
        <v>1831.7745739596803</v>
      </c>
      <c r="F191" s="57">
        <v>1831.7745739596803</v>
      </c>
      <c r="G191" s="56">
        <v>6427.0226961288026</v>
      </c>
      <c r="H191" s="57">
        <v>6427.0226961288026</v>
      </c>
    </row>
    <row r="192" spans="1:8">
      <c r="B192" t="s">
        <v>225</v>
      </c>
      <c r="C192" s="58">
        <v>106.31047796995264</v>
      </c>
      <c r="D192" s="59">
        <v>106.31047796995264</v>
      </c>
      <c r="E192" s="58">
        <v>671.43987059993503</v>
      </c>
      <c r="F192" s="60">
        <v>671.43987059993503</v>
      </c>
      <c r="G192" s="59">
        <v>2348.5646573654913</v>
      </c>
      <c r="H192" s="60">
        <v>2348.5646573654913</v>
      </c>
    </row>
    <row r="193" spans="2:8" ht="15" thickBot="1">
      <c r="B193" t="s">
        <v>147</v>
      </c>
      <c r="C193" s="61">
        <v>42.111382032175023</v>
      </c>
      <c r="D193" s="62">
        <v>42.111382032175023</v>
      </c>
      <c r="E193" s="61">
        <v>218.54764527814046</v>
      </c>
      <c r="F193" s="63">
        <v>218.54764527814046</v>
      </c>
      <c r="G193" s="62">
        <v>574.27525669408305</v>
      </c>
      <c r="H193" s="63">
        <v>574.27525669408305</v>
      </c>
    </row>
  </sheetData>
  <mergeCells count="13">
    <mergeCell ref="C17:H17"/>
    <mergeCell ref="C8:H8"/>
    <mergeCell ref="C9:D9"/>
    <mergeCell ref="E9:F9"/>
    <mergeCell ref="G9:H9"/>
    <mergeCell ref="C10:D10"/>
    <mergeCell ref="E10:F10"/>
    <mergeCell ref="G10:H10"/>
    <mergeCell ref="C4:H4"/>
    <mergeCell ref="C5:D5"/>
    <mergeCell ref="E5:F5"/>
    <mergeCell ref="G5:H5"/>
    <mergeCell ref="C16:H16"/>
  </mergeCells>
  <conditionalFormatting sqref="K69:Z69">
    <cfRule type="cellIs" dxfId="2" priority="2" operator="greaterThan">
      <formula>210</formula>
    </cfRule>
  </conditionalFormatting>
  <conditionalFormatting sqref="K77:Z77">
    <cfRule type="cellIs" dxfId="1" priority="3" operator="greaterThan">
      <formula>210</formula>
    </cfRule>
  </conditionalFormatting>
  <conditionalFormatting sqref="M83:AH83">
    <cfRule type="cellIs" dxfId="0" priority="1" operator="greaterThan">
      <formula>210</formula>
    </cfRule>
  </conditionalFormatting>
  <pageMargins left="0.7" right="0.7" top="0.75" bottom="0.75" header="0.3" footer="0.3"/>
  <pageSetup paperSize="9" orientation="portrait" r:id="rId1"/>
  <ignoredErrors>
    <ignoredError sqref="E14 D39:D40 F39:F40 D46 F4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5A9B6-F521-4878-BB35-443650BADE72}">
  <dimension ref="A3:K18"/>
  <sheetViews>
    <sheetView workbookViewId="0">
      <selection activeCell="K14" sqref="K14"/>
    </sheetView>
  </sheetViews>
  <sheetFormatPr defaultRowHeight="14.4"/>
  <cols>
    <col min="1" max="1" width="25.44140625" bestFit="1" customWidth="1"/>
    <col min="2" max="2" width="17.33203125" bestFit="1" customWidth="1"/>
  </cols>
  <sheetData>
    <row r="3" spans="1:11">
      <c r="A3" s="33" t="str">
        <f>Лист1!A138</f>
        <v>диаметры вершин, мм</v>
      </c>
      <c r="B3" t="str">
        <f>Лист1!B138</f>
        <v>d_a=d+2*m</v>
      </c>
      <c r="C3">
        <f>Лист1!C138</f>
        <v>96.950226244343895</v>
      </c>
      <c r="D3">
        <f>Лист1!D138</f>
        <v>585.04977375565613</v>
      </c>
      <c r="E3">
        <f>Лист1!E138</f>
        <v>96.638297872340431</v>
      </c>
      <c r="F3">
        <f>Лист1!F138</f>
        <v>625.36170212765956</v>
      </c>
      <c r="G3">
        <f>Лист1!G138</f>
        <v>178.18725099601593</v>
      </c>
      <c r="H3">
        <f>Лист1!H138</f>
        <v>461.81274900398404</v>
      </c>
    </row>
    <row r="5" spans="1:11">
      <c r="C5">
        <f>C3-C7</f>
        <v>6</v>
      </c>
      <c r="D5">
        <f t="shared" ref="D5:H5" si="0">D3-D7</f>
        <v>6</v>
      </c>
      <c r="E5">
        <f t="shared" si="0"/>
        <v>6</v>
      </c>
      <c r="F5">
        <f>F3-F7</f>
        <v>6</v>
      </c>
      <c r="G5">
        <f t="shared" si="0"/>
        <v>5</v>
      </c>
      <c r="H5">
        <f t="shared" si="0"/>
        <v>5</v>
      </c>
    </row>
    <row r="7" spans="1:11">
      <c r="A7" s="33" t="str">
        <f>Лист1!A136</f>
        <v>делительные диаметры, мм</v>
      </c>
      <c r="B7" t="str">
        <f>Лист1!B136</f>
        <v xml:space="preserve">d=m*z/cos(β) </v>
      </c>
      <c r="C7">
        <f>Лист1!C136</f>
        <v>90.950226244343895</v>
      </c>
      <c r="D7">
        <f>Лист1!D136</f>
        <v>579.04977375565613</v>
      </c>
      <c r="E7">
        <f>Лист1!E136</f>
        <v>90.638297872340431</v>
      </c>
      <c r="F7">
        <f>Лист1!F136</f>
        <v>619.36170212765956</v>
      </c>
      <c r="G7">
        <f>Лист1!G136</f>
        <v>173.18725099601593</v>
      </c>
      <c r="H7">
        <f>Лист1!H136</f>
        <v>456.81274900398404</v>
      </c>
    </row>
    <row r="8" spans="1:11">
      <c r="K8">
        <v>619.36170212766001</v>
      </c>
    </row>
    <row r="9" spans="1:11">
      <c r="C9">
        <f>C7-C11</f>
        <v>7.5</v>
      </c>
      <c r="D9">
        <f t="shared" ref="D9:H9" si="1">D7-D11</f>
        <v>7.5</v>
      </c>
      <c r="E9">
        <f t="shared" si="1"/>
        <v>7.5</v>
      </c>
      <c r="F9">
        <f t="shared" si="1"/>
        <v>7.5</v>
      </c>
      <c r="G9">
        <f t="shared" si="1"/>
        <v>6.25</v>
      </c>
      <c r="H9">
        <f t="shared" si="1"/>
        <v>6.25</v>
      </c>
    </row>
    <row r="11" spans="1:11">
      <c r="A11" s="33" t="str">
        <f>Лист1!A140</f>
        <v>диаметры впадин, мм</v>
      </c>
      <c r="B11" t="str">
        <f>Лист1!B140</f>
        <v>d_f=d-2,5*m</v>
      </c>
      <c r="C11">
        <f>Лист1!C140</f>
        <v>83.450226244343895</v>
      </c>
      <c r="D11">
        <f>Лист1!D140</f>
        <v>571.54977375565613</v>
      </c>
      <c r="E11">
        <f>Лист1!E140</f>
        <v>83.138297872340431</v>
      </c>
      <c r="F11">
        <f>Лист1!F140</f>
        <v>611.86170212765956</v>
      </c>
      <c r="G11">
        <f>Лист1!G140</f>
        <v>166.93725099601593</v>
      </c>
      <c r="H11">
        <f>Лист1!H140</f>
        <v>450.56274900398404</v>
      </c>
    </row>
    <row r="14" spans="1:11">
      <c r="C14">
        <v>8.2894953512497782</v>
      </c>
      <c r="D14">
        <v>8.2894953512497782</v>
      </c>
      <c r="E14">
        <v>6.8037548263364451</v>
      </c>
      <c r="F14">
        <v>6.8037548263364451</v>
      </c>
      <c r="G14">
        <v>5.1060031729699729</v>
      </c>
      <c r="H14">
        <v>5.1060031729699729</v>
      </c>
    </row>
    <row r="15" spans="1:11">
      <c r="B15" t="s">
        <v>237</v>
      </c>
      <c r="C15">
        <f>_xlfn.FLOOR.MATH(C14)</f>
        <v>8</v>
      </c>
      <c r="D15">
        <f t="shared" ref="D15:H15" si="2">_xlfn.FLOOR.MATH(D14)</f>
        <v>8</v>
      </c>
      <c r="E15">
        <f t="shared" si="2"/>
        <v>6</v>
      </c>
      <c r="F15">
        <f t="shared" si="2"/>
        <v>6</v>
      </c>
      <c r="G15">
        <f t="shared" si="2"/>
        <v>5</v>
      </c>
      <c r="H15">
        <f t="shared" si="2"/>
        <v>5</v>
      </c>
    </row>
    <row r="16" spans="1:11">
      <c r="C16">
        <f>C14-C15</f>
        <v>0.28949535124977821</v>
      </c>
      <c r="D16">
        <f t="shared" ref="D16:H16" si="3">D14-D15</f>
        <v>0.28949535124977821</v>
      </c>
      <c r="E16">
        <f t="shared" si="3"/>
        <v>0.80375482633644513</v>
      </c>
      <c r="F16">
        <f t="shared" si="3"/>
        <v>0.80375482633644513</v>
      </c>
      <c r="G16">
        <f t="shared" si="3"/>
        <v>0.10600317296997286</v>
      </c>
      <c r="H16">
        <f t="shared" si="3"/>
        <v>0.10600317296997286</v>
      </c>
    </row>
    <row r="17" spans="2:8">
      <c r="C17">
        <f>C16*60</f>
        <v>17.369721074986693</v>
      </c>
      <c r="D17">
        <f t="shared" ref="D17:H17" si="4">D16*60</f>
        <v>17.369721074986693</v>
      </c>
      <c r="E17">
        <f t="shared" si="4"/>
        <v>48.225289580186711</v>
      </c>
      <c r="F17">
        <f t="shared" si="4"/>
        <v>48.225289580186711</v>
      </c>
      <c r="G17">
        <f t="shared" si="4"/>
        <v>6.3601903781983715</v>
      </c>
      <c r="H17">
        <f t="shared" si="4"/>
        <v>6.3601903781983715</v>
      </c>
    </row>
    <row r="18" spans="2:8">
      <c r="B18" t="s">
        <v>238</v>
      </c>
      <c r="C18">
        <f>ROUND(C17,0)</f>
        <v>17</v>
      </c>
      <c r="D18">
        <f t="shared" ref="D18:H18" si="5">ROUND(D17,0)</f>
        <v>17</v>
      </c>
      <c r="E18">
        <f t="shared" si="5"/>
        <v>48</v>
      </c>
      <c r="F18">
        <f t="shared" si="5"/>
        <v>48</v>
      </c>
      <c r="G18">
        <f t="shared" si="5"/>
        <v>6</v>
      </c>
      <c r="H18">
        <f t="shared" si="5"/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KokInside</cp:lastModifiedBy>
  <dcterms:created xsi:type="dcterms:W3CDTF">2015-06-05T18:19:34Z</dcterms:created>
  <dcterms:modified xsi:type="dcterms:W3CDTF">2025-05-27T23:43:33Z</dcterms:modified>
</cp:coreProperties>
</file>