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in\МГТУ\6 сем\ДетМаш Курсач\"/>
    </mc:Choice>
  </mc:AlternateContent>
  <xr:revisionPtr revIDLastSave="0" documentId="13_ncr:1_{8EAE1F44-F836-4167-BEB8-92013634E1EC}" xr6:coauthVersionLast="47" xr6:coauthVersionMax="47" xr10:uidLastSave="{00000000-0000-0000-0000-000000000000}"/>
  <bookViews>
    <workbookView xWindow="-108" yWindow="-108" windowWidth="23256" windowHeight="12720" activeTab="3" xr2:uid="{E5478BC1-EE0B-4EFC-A17C-29CF6589B284}"/>
  </bookViews>
  <sheets>
    <sheet name="Входной" sheetId="1" r:id="rId1"/>
    <sheet name="Промежуточный 1" sheetId="2" r:id="rId2"/>
    <sheet name="Промежуточный 2" sheetId="3" r:id="rId3"/>
    <sheet name="Выходной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" i="2" l="1"/>
  <c r="H11" i="2" s="1"/>
  <c r="H13" i="2" s="1"/>
  <c r="H7" i="2"/>
  <c r="H13" i="1"/>
  <c r="H11" i="1"/>
  <c r="H13" i="4"/>
  <c r="H13" i="3"/>
  <c r="H11" i="4"/>
  <c r="H11" i="3"/>
  <c r="B17" i="4"/>
  <c r="H8" i="4" s="1"/>
  <c r="B9" i="4"/>
  <c r="B8" i="4"/>
  <c r="E4" i="4"/>
  <c r="H3" i="4"/>
  <c r="E3" i="4"/>
  <c r="E5" i="4" s="1"/>
  <c r="E2" i="4"/>
  <c r="H1" i="4"/>
  <c r="E1" i="4"/>
  <c r="B17" i="3"/>
  <c r="H8" i="3" s="1"/>
  <c r="B9" i="3"/>
  <c r="B8" i="3"/>
  <c r="E4" i="3"/>
  <c r="H3" i="3"/>
  <c r="E3" i="3"/>
  <c r="E5" i="3" s="1"/>
  <c r="E2" i="3"/>
  <c r="H1" i="3"/>
  <c r="E1" i="3"/>
  <c r="B17" i="2"/>
  <c r="H8" i="2"/>
  <c r="B9" i="2"/>
  <c r="B8" i="2"/>
  <c r="E5" i="2"/>
  <c r="E4" i="2"/>
  <c r="H3" i="2"/>
  <c r="E3" i="2"/>
  <c r="E2" i="2"/>
  <c r="H1" i="2"/>
  <c r="H2" i="2" s="1"/>
  <c r="H4" i="2" s="1"/>
  <c r="I4" i="2" s="1"/>
  <c r="E1" i="2"/>
  <c r="H8" i="1"/>
  <c r="B17" i="1"/>
  <c r="H5" i="1"/>
  <c r="E3" i="1"/>
  <c r="E5" i="1" s="1"/>
  <c r="E4" i="1"/>
  <c r="H3" i="1"/>
  <c r="H7" i="1" s="1"/>
  <c r="H9" i="1" s="1"/>
  <c r="E1" i="1"/>
  <c r="E2" i="1"/>
  <c r="H2" i="1" s="1"/>
  <c r="B9" i="1"/>
  <c r="B8" i="1"/>
  <c r="H1" i="1"/>
  <c r="H2" i="4" l="1"/>
  <c r="H4" i="4" s="1"/>
  <c r="I4" i="4" s="1"/>
  <c r="H2" i="3"/>
  <c r="H4" i="3" s="1"/>
  <c r="I4" i="3" s="1"/>
  <c r="H5" i="2"/>
  <c r="H6" i="2" s="1"/>
  <c r="I6" i="2" s="1"/>
  <c r="H6" i="1"/>
  <c r="I6" i="1" s="1"/>
  <c r="H4" i="1"/>
  <c r="I4" i="1" s="1"/>
  <c r="H7" i="4" l="1"/>
  <c r="H9" i="4" s="1"/>
  <c r="H5" i="4"/>
  <c r="H6" i="4" s="1"/>
  <c r="I6" i="4" s="1"/>
  <c r="H7" i="3"/>
  <c r="H9" i="3" s="1"/>
  <c r="H5" i="3"/>
  <c r="H6" i="3" s="1"/>
  <c r="I6" i="3" s="1"/>
</calcChain>
</file>

<file path=xl/sharedStrings.xml><?xml version="1.0" encoding="utf-8"?>
<sst xmlns="http://schemas.openxmlformats.org/spreadsheetml/2006/main" count="160" uniqueCount="40">
  <si>
    <t>T</t>
  </si>
  <si>
    <t>d</t>
  </si>
  <si>
    <t>d_1</t>
  </si>
  <si>
    <t xml:space="preserve">d_2 </t>
  </si>
  <si>
    <t>l</t>
  </si>
  <si>
    <t>K</t>
  </si>
  <si>
    <t>p</t>
  </si>
  <si>
    <t>f</t>
  </si>
  <si>
    <t>вращающий момент, Н*м</t>
  </si>
  <si>
    <t>δ</t>
  </si>
  <si>
    <t>C_1</t>
  </si>
  <si>
    <t>C_2</t>
  </si>
  <si>
    <t>E_1</t>
  </si>
  <si>
    <t>E_2</t>
  </si>
  <si>
    <r>
      <rPr>
        <sz val="11"/>
        <color theme="1"/>
        <rFont val="Aptos Narrow"/>
        <family val="2"/>
      </rPr>
      <t>μ</t>
    </r>
    <r>
      <rPr>
        <sz val="11"/>
        <color theme="1"/>
        <rFont val="Aptos Narrow"/>
        <family val="2"/>
        <charset val="204"/>
      </rPr>
      <t>_1</t>
    </r>
  </si>
  <si>
    <r>
      <rPr>
        <sz val="11"/>
        <color theme="1"/>
        <rFont val="Aptos Narrow"/>
        <family val="2"/>
      </rPr>
      <t>μ</t>
    </r>
    <r>
      <rPr>
        <sz val="11"/>
        <color theme="1"/>
        <rFont val="Aptos Narrow"/>
        <family val="2"/>
        <charset val="204"/>
      </rPr>
      <t>_2</t>
    </r>
  </si>
  <si>
    <t>u</t>
  </si>
  <si>
    <t>Ra_1</t>
  </si>
  <si>
    <t>Ra_2</t>
  </si>
  <si>
    <t>[N_min]</t>
  </si>
  <si>
    <t>[p_max2]</t>
  </si>
  <si>
    <t>[p_max1]</t>
  </si>
  <si>
    <r>
      <rPr>
        <sz val="11"/>
        <color theme="1"/>
        <rFont val="Aptos Narrow"/>
        <family val="2"/>
      </rPr>
      <t>σ</t>
    </r>
    <r>
      <rPr>
        <sz val="11"/>
        <color theme="1"/>
        <rFont val="Aptos Narrow"/>
        <family val="2"/>
        <charset val="204"/>
      </rPr>
      <t>_т1</t>
    </r>
  </si>
  <si>
    <r>
      <rPr>
        <sz val="11"/>
        <color theme="1"/>
        <rFont val="Aptos Narrow"/>
        <family val="2"/>
      </rPr>
      <t>σ</t>
    </r>
    <r>
      <rPr>
        <sz val="11"/>
        <color theme="1"/>
        <rFont val="Aptos Narrow"/>
        <family val="2"/>
        <charset val="204"/>
      </rPr>
      <t>_т2</t>
    </r>
    <r>
      <rPr>
        <sz val="11"/>
        <color theme="1"/>
        <rFont val="Aptos Narrow"/>
        <family val="2"/>
        <charset val="204"/>
        <scheme val="minor"/>
      </rPr>
      <t/>
    </r>
  </si>
  <si>
    <t>[p_max]</t>
  </si>
  <si>
    <t>[δ_max]</t>
  </si>
  <si>
    <t>[N_max]</t>
  </si>
  <si>
    <t>H7s6</t>
  </si>
  <si>
    <t>p_max</t>
  </si>
  <si>
    <t>F_п</t>
  </si>
  <si>
    <t>f_п</t>
  </si>
  <si>
    <r>
      <t>α</t>
    </r>
    <r>
      <rPr>
        <sz val="11"/>
        <color theme="1"/>
        <rFont val="Aptos Narrow"/>
        <family val="2"/>
        <charset val="204"/>
      </rPr>
      <t>_2</t>
    </r>
  </si>
  <si>
    <t>t</t>
  </si>
  <si>
    <t>Z_сб</t>
  </si>
  <si>
    <t>[t] = 230</t>
  </si>
  <si>
    <t>m</t>
  </si>
  <si>
    <t>H7u7</t>
  </si>
  <si>
    <t>т</t>
  </si>
  <si>
    <t>&lt;</t>
  </si>
  <si>
    <t>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</si>
</sst>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04"/>
      <scheme val="minor"/>
    </font>
    <font>
      <sz val="11"/>
      <color theme="1"/>
      <name val="Calibri"/>
      <family val="2"/>
    </font>
    <font>
      <sz val="11"/>
      <color theme="1"/>
      <name val="Aptos Narrow"/>
      <family val="2"/>
    </font>
    <font>
      <sz val="11"/>
      <color theme="1"/>
      <name val="Aptos Narrow"/>
      <family val="2"/>
      <charset val="204"/>
    </font>
    <font>
      <sz val="8"/>
      <name val="Aptos Narrow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0" xfId="0" applyFont="1"/>
    <xf numFmtId="0" fontId="1" fillId="0" borderId="0" xfId="0" applyFont="1" applyBorder="1"/>
    <xf numFmtId="0" fontId="0" fillId="0" borderId="0" xfId="0" quotePrefix="1" applyAlignment="1">
      <alignment horizontal="center"/>
    </xf>
    <xf numFmtId="0" fontId="0" fillId="2" borderId="0" xfId="0" applyFill="1"/>
    <xf numFmtId="0" fontId="0" fillId="3" borderId="0" xfId="0" applyFill="1"/>
    <xf numFmtId="0" fontId="2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437E-0358-4478-9EFC-E3AD36B392DF}">
  <dimension ref="A1:Q18"/>
  <sheetViews>
    <sheetView workbookViewId="0">
      <selection activeCell="D29" sqref="D29"/>
    </sheetView>
  </sheetViews>
  <sheetFormatPr defaultRowHeight="14.4" x14ac:dyDescent="0.3"/>
  <cols>
    <col min="7" max="7" width="12" bestFit="1" customWidth="1"/>
    <col min="10" max="10" width="23.44140625" bestFit="1" customWidth="1"/>
  </cols>
  <sheetData>
    <row r="1" spans="1:17" x14ac:dyDescent="0.3">
      <c r="A1" t="s">
        <v>0</v>
      </c>
      <c r="B1" s="6">
        <v>13.263888888888889</v>
      </c>
      <c r="D1" t="s">
        <v>10</v>
      </c>
      <c r="E1">
        <f>(1+(B3/B2)^2)/(1-(B3/B2)^2)-B10</f>
        <v>0.7</v>
      </c>
      <c r="G1" t="s">
        <v>6</v>
      </c>
      <c r="H1">
        <f>2*1000*B6*B1/(PI()*B2^2*B5*B7)</f>
        <v>0.41752640057126855</v>
      </c>
    </row>
    <row r="2" spans="1:17" x14ac:dyDescent="0.3">
      <c r="A2" t="s">
        <v>1</v>
      </c>
      <c r="B2">
        <v>80</v>
      </c>
      <c r="D2" t="s">
        <v>11</v>
      </c>
      <c r="E2">
        <f>(1+(B2/B4)^2)/(1-(B2/B4)^2)+B11</f>
        <v>3.1140589569161001</v>
      </c>
      <c r="G2" s="5" t="s">
        <v>9</v>
      </c>
      <c r="H2">
        <f>1000*H1*B2*(E1/B8+E2/B9)</f>
        <v>0.60665535537058524</v>
      </c>
    </row>
    <row r="3" spans="1:17" x14ac:dyDescent="0.3">
      <c r="A3" t="s">
        <v>2</v>
      </c>
      <c r="B3">
        <v>0</v>
      </c>
      <c r="D3" t="s">
        <v>20</v>
      </c>
      <c r="E3">
        <f>0.5*B15*(1-(B2/B4)^2)</f>
        <v>243.83472057074908</v>
      </c>
      <c r="G3" t="s">
        <v>16</v>
      </c>
      <c r="H3">
        <f>5.5*(B12+B13)</f>
        <v>8.8000000000000007</v>
      </c>
    </row>
    <row r="4" spans="1:17" x14ac:dyDescent="0.3">
      <c r="A4" t="s">
        <v>3</v>
      </c>
      <c r="B4">
        <v>116</v>
      </c>
      <c r="D4" t="s">
        <v>21</v>
      </c>
      <c r="E4">
        <f>B14</f>
        <v>930</v>
      </c>
      <c r="G4" t="s">
        <v>19</v>
      </c>
      <c r="H4">
        <f>H2+H3</f>
        <v>9.4066553553705852</v>
      </c>
      <c r="I4">
        <f>CEILING(H4,1)</f>
        <v>10</v>
      </c>
      <c r="J4" s="7" t="s">
        <v>38</v>
      </c>
      <c r="K4" s="8">
        <v>36</v>
      </c>
    </row>
    <row r="5" spans="1:17" x14ac:dyDescent="0.3">
      <c r="A5" t="s">
        <v>4</v>
      </c>
      <c r="B5">
        <v>79</v>
      </c>
      <c r="D5" t="s">
        <v>24</v>
      </c>
      <c r="E5">
        <f>MIN(E3:E4)</f>
        <v>243.83472057074908</v>
      </c>
      <c r="G5" s="5" t="s">
        <v>25</v>
      </c>
      <c r="H5">
        <f>E5*H2/H1</f>
        <v>354.28571428571428</v>
      </c>
      <c r="J5" t="s">
        <v>27</v>
      </c>
    </row>
    <row r="6" spans="1:17" x14ac:dyDescent="0.3">
      <c r="A6" t="s">
        <v>5</v>
      </c>
      <c r="B6">
        <v>2</v>
      </c>
      <c r="G6" t="s">
        <v>26</v>
      </c>
      <c r="H6">
        <f>H5+H3</f>
        <v>363.08571428571429</v>
      </c>
      <c r="I6">
        <f>FLOOR(H6,1)</f>
        <v>363</v>
      </c>
      <c r="J6" s="7" t="s">
        <v>39</v>
      </c>
      <c r="K6" s="8">
        <v>71</v>
      </c>
    </row>
    <row r="7" spans="1:17" x14ac:dyDescent="0.3">
      <c r="A7" t="s">
        <v>7</v>
      </c>
      <c r="B7">
        <v>0.08</v>
      </c>
      <c r="G7" t="s">
        <v>28</v>
      </c>
      <c r="H7">
        <f>(K6-H3)*H1/H2</f>
        <v>42.808724732461357</v>
      </c>
    </row>
    <row r="8" spans="1:17" x14ac:dyDescent="0.3">
      <c r="A8" t="s">
        <v>12</v>
      </c>
      <c r="B8">
        <f>2.1*10^5</f>
        <v>210000</v>
      </c>
      <c r="G8" t="s">
        <v>32</v>
      </c>
      <c r="H8">
        <f>20+(K6+B18)/(1000*B2*B17)</f>
        <v>104.375</v>
      </c>
      <c r="J8" t="s">
        <v>34</v>
      </c>
    </row>
    <row r="9" spans="1:17" x14ac:dyDescent="0.3">
      <c r="A9" t="s">
        <v>13</v>
      </c>
      <c r="B9">
        <f>2.1*10^5</f>
        <v>210000</v>
      </c>
      <c r="G9" s="9" t="s">
        <v>29</v>
      </c>
      <c r="H9">
        <f>PI()*B2*B5*H7*B16</f>
        <v>169992.29496311705</v>
      </c>
    </row>
    <row r="10" spans="1:17" x14ac:dyDescent="0.3">
      <c r="A10" s="5" t="s">
        <v>14</v>
      </c>
      <c r="B10">
        <v>0.3</v>
      </c>
    </row>
    <row r="11" spans="1:17" x14ac:dyDescent="0.3">
      <c r="A11" s="5" t="s">
        <v>15</v>
      </c>
      <c r="B11">
        <v>0.3</v>
      </c>
      <c r="G11" t="s">
        <v>35</v>
      </c>
      <c r="H11">
        <f>H9/9.81</f>
        <v>17328.470434568506</v>
      </c>
    </row>
    <row r="12" spans="1:17" x14ac:dyDescent="0.3">
      <c r="A12" t="s">
        <v>17</v>
      </c>
      <c r="B12">
        <v>0.8</v>
      </c>
    </row>
    <row r="13" spans="1:17" x14ac:dyDescent="0.3">
      <c r="A13" t="s">
        <v>18</v>
      </c>
      <c r="B13">
        <v>0.8</v>
      </c>
      <c r="G13" t="s">
        <v>37</v>
      </c>
      <c r="H13">
        <f>H11/1000</f>
        <v>17.328470434568505</v>
      </c>
    </row>
    <row r="14" spans="1:17" x14ac:dyDescent="0.3">
      <c r="A14" s="5" t="s">
        <v>22</v>
      </c>
      <c r="B14">
        <v>930</v>
      </c>
      <c r="J14" s="1" t="s">
        <v>8</v>
      </c>
      <c r="K14" s="1" t="s">
        <v>0</v>
      </c>
      <c r="L14" s="2">
        <v>13.263888888888889</v>
      </c>
      <c r="M14" s="3">
        <v>81.891249999999999</v>
      </c>
      <c r="N14" s="4">
        <v>81.891249999999999</v>
      </c>
      <c r="O14" s="3">
        <v>557.02094928057284</v>
      </c>
      <c r="P14" s="4">
        <v>557.02094928057284</v>
      </c>
      <c r="Q14" s="2">
        <v>1438.141376</v>
      </c>
    </row>
    <row r="15" spans="1:17" x14ac:dyDescent="0.3">
      <c r="A15" s="5" t="s">
        <v>23</v>
      </c>
      <c r="B15">
        <v>930</v>
      </c>
    </row>
    <row r="16" spans="1:17" x14ac:dyDescent="0.3">
      <c r="A16" s="5" t="s">
        <v>30</v>
      </c>
      <c r="B16">
        <v>0.2</v>
      </c>
    </row>
    <row r="17" spans="1:2" x14ac:dyDescent="0.3">
      <c r="A17" s="5" t="s">
        <v>31</v>
      </c>
      <c r="B17">
        <f>12*10^(-6)</f>
        <v>1.2E-5</v>
      </c>
    </row>
    <row r="18" spans="1:2" x14ac:dyDescent="0.3">
      <c r="A18" s="10" t="s">
        <v>33</v>
      </c>
      <c r="B18">
        <v>10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C7B11-E0A3-4679-A72E-4AEB61B9DAFC}">
  <dimension ref="A1:Q18"/>
  <sheetViews>
    <sheetView workbookViewId="0">
      <selection activeCell="J5" sqref="J5"/>
    </sheetView>
  </sheetViews>
  <sheetFormatPr defaultRowHeight="14.4" x14ac:dyDescent="0.3"/>
  <cols>
    <col min="7" max="7" width="12" bestFit="1" customWidth="1"/>
    <col min="10" max="10" width="23.44140625" bestFit="1" customWidth="1"/>
  </cols>
  <sheetData>
    <row r="1" spans="1:17" x14ac:dyDescent="0.3">
      <c r="A1" t="s">
        <v>0</v>
      </c>
      <c r="B1" s="6">
        <v>81.891249999999999</v>
      </c>
      <c r="D1" t="s">
        <v>10</v>
      </c>
      <c r="E1">
        <f>(1+(B3/B2)^2)/(1-(B3/B2)^2)-B10</f>
        <v>0.7</v>
      </c>
      <c r="G1" t="s">
        <v>6</v>
      </c>
      <c r="H1">
        <f>2*1000*B6*B1/(PI()*B2^2*B5*B7)</f>
        <v>6.838886141631737</v>
      </c>
    </row>
    <row r="2" spans="1:17" x14ac:dyDescent="0.3">
      <c r="A2" t="s">
        <v>1</v>
      </c>
      <c r="B2">
        <v>80</v>
      </c>
      <c r="D2" t="s">
        <v>11</v>
      </c>
      <c r="E2">
        <f>(1+(B2/B4)^2)/(1-(B2/B4)^2)+B11</f>
        <v>3.1140589569161001</v>
      </c>
      <c r="G2" s="5" t="s">
        <v>9</v>
      </c>
      <c r="H2">
        <f>1000*H1*B2*(E1/B8+E2/B9)</f>
        <v>9.9367295024075855</v>
      </c>
    </row>
    <row r="3" spans="1:17" x14ac:dyDescent="0.3">
      <c r="A3" t="s">
        <v>2</v>
      </c>
      <c r="B3">
        <v>0</v>
      </c>
      <c r="D3" t="s">
        <v>20</v>
      </c>
      <c r="E3">
        <f>0.5*B15*(1-(B2/B4)^2)</f>
        <v>243.83472057074908</v>
      </c>
      <c r="G3" t="s">
        <v>16</v>
      </c>
      <c r="H3">
        <f>5.5*(B12+B13)</f>
        <v>8.8000000000000007</v>
      </c>
    </row>
    <row r="4" spans="1:17" x14ac:dyDescent="0.3">
      <c r="A4" t="s">
        <v>3</v>
      </c>
      <c r="B4">
        <v>116</v>
      </c>
      <c r="D4" t="s">
        <v>21</v>
      </c>
      <c r="E4">
        <f>B14</f>
        <v>930</v>
      </c>
      <c r="G4" t="s">
        <v>19</v>
      </c>
      <c r="H4">
        <f>H2+H3</f>
        <v>18.736729502407584</v>
      </c>
      <c r="I4">
        <f>CEILING(H4,1)</f>
        <v>19</v>
      </c>
      <c r="J4" s="7" t="s">
        <v>38</v>
      </c>
      <c r="K4" s="8">
        <v>36</v>
      </c>
    </row>
    <row r="5" spans="1:17" x14ac:dyDescent="0.3">
      <c r="A5" t="s">
        <v>4</v>
      </c>
      <c r="B5">
        <v>67</v>
      </c>
      <c r="D5" t="s">
        <v>24</v>
      </c>
      <c r="E5">
        <f>MIN(E3:E4)</f>
        <v>243.83472057074908</v>
      </c>
      <c r="G5" s="5" t="s">
        <v>25</v>
      </c>
      <c r="H5">
        <f>E5*H2/H1</f>
        <v>354.28571428571422</v>
      </c>
      <c r="J5" t="s">
        <v>27</v>
      </c>
    </row>
    <row r="6" spans="1:17" x14ac:dyDescent="0.3">
      <c r="A6" t="s">
        <v>5</v>
      </c>
      <c r="B6">
        <v>4.5</v>
      </c>
      <c r="G6" t="s">
        <v>26</v>
      </c>
      <c r="H6">
        <f>H5+H3</f>
        <v>363.08571428571423</v>
      </c>
      <c r="I6">
        <f>FLOOR(H6,1)</f>
        <v>363</v>
      </c>
      <c r="J6" s="7" t="s">
        <v>39</v>
      </c>
      <c r="K6" s="8">
        <v>71</v>
      </c>
    </row>
    <row r="7" spans="1:17" x14ac:dyDescent="0.3">
      <c r="A7" t="s">
        <v>7</v>
      </c>
      <c r="B7">
        <v>0.08</v>
      </c>
      <c r="G7" t="s">
        <v>28</v>
      </c>
      <c r="H7">
        <f>(K6-H3)*H1/H2</f>
        <v>42.808724732461357</v>
      </c>
    </row>
    <row r="8" spans="1:17" x14ac:dyDescent="0.3">
      <c r="A8" t="s">
        <v>12</v>
      </c>
      <c r="B8">
        <f>2.1*10^5</f>
        <v>210000</v>
      </c>
      <c r="G8" t="s">
        <v>32</v>
      </c>
      <c r="H8">
        <f>20+(K6+B18)/(1000*B2*B17)</f>
        <v>104.375</v>
      </c>
      <c r="J8" t="s">
        <v>34</v>
      </c>
    </row>
    <row r="9" spans="1:17" x14ac:dyDescent="0.3">
      <c r="A9" t="s">
        <v>13</v>
      </c>
      <c r="B9">
        <f>2.1*10^5</f>
        <v>210000</v>
      </c>
      <c r="G9" s="9" t="s">
        <v>29</v>
      </c>
      <c r="H9">
        <f>PI()*B2*B5*H7*B16</f>
        <v>144170.68053833974</v>
      </c>
    </row>
    <row r="10" spans="1:17" x14ac:dyDescent="0.3">
      <c r="A10" s="5" t="s">
        <v>14</v>
      </c>
      <c r="B10">
        <v>0.3</v>
      </c>
    </row>
    <row r="11" spans="1:17" x14ac:dyDescent="0.3">
      <c r="A11" s="5" t="s">
        <v>15</v>
      </c>
      <c r="B11">
        <v>0.3</v>
      </c>
      <c r="G11" t="s">
        <v>35</v>
      </c>
      <c r="H11">
        <f>H9/9.81</f>
        <v>14696.297710330249</v>
      </c>
    </row>
    <row r="12" spans="1:17" x14ac:dyDescent="0.3">
      <c r="A12" t="s">
        <v>17</v>
      </c>
      <c r="B12">
        <v>0.8</v>
      </c>
    </row>
    <row r="13" spans="1:17" x14ac:dyDescent="0.3">
      <c r="A13" t="s">
        <v>18</v>
      </c>
      <c r="B13">
        <v>0.8</v>
      </c>
      <c r="G13" t="s">
        <v>37</v>
      </c>
      <c r="H13">
        <f>H11/1000</f>
        <v>14.696297710330249</v>
      </c>
    </row>
    <row r="14" spans="1:17" x14ac:dyDescent="0.3">
      <c r="A14" s="5" t="s">
        <v>22</v>
      </c>
      <c r="B14">
        <v>930</v>
      </c>
      <c r="J14" s="1" t="s">
        <v>8</v>
      </c>
      <c r="K14" s="1" t="s">
        <v>0</v>
      </c>
      <c r="L14" s="2">
        <v>13.263888888888889</v>
      </c>
      <c r="M14" s="3">
        <v>81.891249999999999</v>
      </c>
      <c r="N14" s="4">
        <v>81.891249999999999</v>
      </c>
      <c r="O14" s="3">
        <v>557.02094928057284</v>
      </c>
      <c r="P14" s="4">
        <v>557.02094928057284</v>
      </c>
      <c r="Q14" s="2">
        <v>1438.141376</v>
      </c>
    </row>
    <row r="15" spans="1:17" x14ac:dyDescent="0.3">
      <c r="A15" s="5" t="s">
        <v>23</v>
      </c>
      <c r="B15">
        <v>930</v>
      </c>
    </row>
    <row r="16" spans="1:17" x14ac:dyDescent="0.3">
      <c r="A16" s="5" t="s">
        <v>30</v>
      </c>
      <c r="B16">
        <v>0.2</v>
      </c>
    </row>
    <row r="17" spans="1:2" x14ac:dyDescent="0.3">
      <c r="A17" s="5" t="s">
        <v>31</v>
      </c>
      <c r="B17">
        <f>12*10^(-6)</f>
        <v>1.2E-5</v>
      </c>
    </row>
    <row r="18" spans="1:2" x14ac:dyDescent="0.3">
      <c r="A18" s="10" t="s">
        <v>33</v>
      </c>
      <c r="B18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7489B-55CD-4424-8899-0AED81F7F2E7}">
  <dimension ref="A1:Q18"/>
  <sheetViews>
    <sheetView workbookViewId="0">
      <selection activeCell="J6" sqref="J6"/>
    </sheetView>
  </sheetViews>
  <sheetFormatPr defaultRowHeight="14.4" x14ac:dyDescent="0.3"/>
  <cols>
    <col min="7" max="7" width="12" bestFit="1" customWidth="1"/>
    <col min="10" max="10" width="23.44140625" bestFit="1" customWidth="1"/>
  </cols>
  <sheetData>
    <row r="1" spans="1:17" x14ac:dyDescent="0.3">
      <c r="A1" t="s">
        <v>0</v>
      </c>
      <c r="B1" s="6">
        <v>557.02094928057295</v>
      </c>
      <c r="D1" t="s">
        <v>10</v>
      </c>
      <c r="E1">
        <f>(1+(B3/B2)^2)/(1-(B3/B2)^2)-B10</f>
        <v>0.7</v>
      </c>
      <c r="G1" t="s">
        <v>6</v>
      </c>
      <c r="H1">
        <f>2*1000*B6*B1/(PI()*B2^2*B5*B7)</f>
        <v>9.1684332753457429</v>
      </c>
    </row>
    <row r="2" spans="1:17" x14ac:dyDescent="0.3">
      <c r="A2" t="s">
        <v>1</v>
      </c>
      <c r="B2">
        <v>140</v>
      </c>
      <c r="D2" t="s">
        <v>11</v>
      </c>
      <c r="E2">
        <f>(1+(B2/B4)^2)/(1-(B2/B4)^2)+B11</f>
        <v>3.0805232558139535</v>
      </c>
      <c r="G2" s="5" t="s">
        <v>9</v>
      </c>
      <c r="H2">
        <f>1000*H1*B2*(E1/B8+E2/B9)</f>
        <v>23.107650144548721</v>
      </c>
    </row>
    <row r="3" spans="1:17" x14ac:dyDescent="0.3">
      <c r="A3" t="s">
        <v>2</v>
      </c>
      <c r="B3">
        <v>0</v>
      </c>
      <c r="D3" t="s">
        <v>20</v>
      </c>
      <c r="E3">
        <f>0.5*B15*(1-(B2/B4)^2)</f>
        <v>245.99769319492503</v>
      </c>
      <c r="G3" t="s">
        <v>16</v>
      </c>
      <c r="H3">
        <f>5.5*(B12+B13)</f>
        <v>8.8000000000000007</v>
      </c>
    </row>
    <row r="4" spans="1:17" x14ac:dyDescent="0.3">
      <c r="A4" t="s">
        <v>3</v>
      </c>
      <c r="B4">
        <v>204</v>
      </c>
      <c r="D4" t="s">
        <v>21</v>
      </c>
      <c r="E4">
        <f>B14</f>
        <v>930</v>
      </c>
      <c r="G4" t="s">
        <v>19</v>
      </c>
      <c r="H4">
        <f>H2+H3</f>
        <v>31.907650144548722</v>
      </c>
      <c r="I4">
        <f>CEILING(H4,1)</f>
        <v>32</v>
      </c>
      <c r="J4" s="7" t="s">
        <v>38</v>
      </c>
      <c r="K4" s="8">
        <v>61</v>
      </c>
    </row>
    <row r="5" spans="1:17" x14ac:dyDescent="0.3">
      <c r="A5" t="s">
        <v>4</v>
      </c>
      <c r="B5">
        <v>111</v>
      </c>
      <c r="D5" t="s">
        <v>24</v>
      </c>
      <c r="E5">
        <f>MIN(E3:E4)</f>
        <v>245.99769319492503</v>
      </c>
      <c r="G5" s="5" t="s">
        <v>25</v>
      </c>
      <c r="H5">
        <f>E5*H2/H1</f>
        <v>620</v>
      </c>
      <c r="J5" t="s">
        <v>27</v>
      </c>
    </row>
    <row r="6" spans="1:17" x14ac:dyDescent="0.3">
      <c r="A6" t="s">
        <v>5</v>
      </c>
      <c r="B6">
        <v>4.5</v>
      </c>
      <c r="G6" t="s">
        <v>26</v>
      </c>
      <c r="H6">
        <f>H5+H3</f>
        <v>628.79999999999995</v>
      </c>
      <c r="I6">
        <f>FLOOR(H6,1)</f>
        <v>628</v>
      </c>
      <c r="J6" s="7" t="s">
        <v>39</v>
      </c>
      <c r="K6" s="8">
        <v>108</v>
      </c>
    </row>
    <row r="7" spans="1:17" x14ac:dyDescent="0.3">
      <c r="A7" t="s">
        <v>7</v>
      </c>
      <c r="B7">
        <v>0.08</v>
      </c>
      <c r="G7" t="s">
        <v>28</v>
      </c>
      <c r="H7">
        <f>(K6-H3)*H1/H2</f>
        <v>39.359630911187999</v>
      </c>
    </row>
    <row r="8" spans="1:17" x14ac:dyDescent="0.3">
      <c r="A8" t="s">
        <v>12</v>
      </c>
      <c r="B8">
        <f>2.1*10^5</f>
        <v>210000</v>
      </c>
      <c r="G8" t="s">
        <v>32</v>
      </c>
      <c r="H8">
        <f>20+(K6+B18)/(1000*B2*B17)</f>
        <v>93.214285714285722</v>
      </c>
      <c r="J8" t="s">
        <v>34</v>
      </c>
    </row>
    <row r="9" spans="1:17" x14ac:dyDescent="0.3">
      <c r="A9" t="s">
        <v>13</v>
      </c>
      <c r="B9">
        <f>2.1*10^5</f>
        <v>210000</v>
      </c>
      <c r="G9" s="9" t="s">
        <v>29</v>
      </c>
      <c r="H9">
        <f>PI()*B2*B5*H7*B16</f>
        <v>384310.19010619004</v>
      </c>
    </row>
    <row r="10" spans="1:17" x14ac:dyDescent="0.3">
      <c r="A10" s="5" t="s">
        <v>14</v>
      </c>
      <c r="B10">
        <v>0.3</v>
      </c>
    </row>
    <row r="11" spans="1:17" x14ac:dyDescent="0.3">
      <c r="A11" s="5" t="s">
        <v>15</v>
      </c>
      <c r="B11">
        <v>0.3</v>
      </c>
      <c r="G11" t="s">
        <v>35</v>
      </c>
      <c r="H11">
        <f>H9/9.81</f>
        <v>39175.350673413865</v>
      </c>
    </row>
    <row r="12" spans="1:17" x14ac:dyDescent="0.3">
      <c r="A12" t="s">
        <v>17</v>
      </c>
      <c r="B12">
        <v>0.8</v>
      </c>
    </row>
    <row r="13" spans="1:17" x14ac:dyDescent="0.3">
      <c r="A13" t="s">
        <v>18</v>
      </c>
      <c r="B13">
        <v>0.8</v>
      </c>
      <c r="G13" t="s">
        <v>37</v>
      </c>
      <c r="H13">
        <f>H11/1000</f>
        <v>39.175350673413867</v>
      </c>
    </row>
    <row r="14" spans="1:17" x14ac:dyDescent="0.3">
      <c r="A14" s="5" t="s">
        <v>22</v>
      </c>
      <c r="B14">
        <v>930</v>
      </c>
      <c r="J14" s="1" t="s">
        <v>8</v>
      </c>
      <c r="K14" s="1" t="s">
        <v>0</v>
      </c>
      <c r="L14" s="2">
        <v>13.263888888888889</v>
      </c>
      <c r="M14" s="3">
        <v>81.891249999999999</v>
      </c>
      <c r="N14" s="4">
        <v>81.891249999999999</v>
      </c>
      <c r="O14" s="3">
        <v>557.02094928057295</v>
      </c>
      <c r="P14" s="4">
        <v>557.02094928057284</v>
      </c>
      <c r="Q14" s="2">
        <v>1438.141376</v>
      </c>
    </row>
    <row r="15" spans="1:17" x14ac:dyDescent="0.3">
      <c r="A15" s="5" t="s">
        <v>23</v>
      </c>
      <c r="B15">
        <v>930</v>
      </c>
    </row>
    <row r="16" spans="1:17" x14ac:dyDescent="0.3">
      <c r="A16" s="5" t="s">
        <v>30</v>
      </c>
      <c r="B16">
        <v>0.2</v>
      </c>
    </row>
    <row r="17" spans="1:2" x14ac:dyDescent="0.3">
      <c r="A17" s="5" t="s">
        <v>31</v>
      </c>
      <c r="B17">
        <f>12*10^(-6)</f>
        <v>1.2E-5</v>
      </c>
    </row>
    <row r="18" spans="1:2" x14ac:dyDescent="0.3">
      <c r="A18" s="10" t="s">
        <v>33</v>
      </c>
      <c r="B1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87FA6-6147-45C7-9498-1AD47005864D}">
  <dimension ref="A1:Q18"/>
  <sheetViews>
    <sheetView tabSelected="1" workbookViewId="0">
      <selection activeCell="J5" sqref="J5"/>
    </sheetView>
  </sheetViews>
  <sheetFormatPr defaultRowHeight="14.4" x14ac:dyDescent="0.3"/>
  <cols>
    <col min="7" max="7" width="12" bestFit="1" customWidth="1"/>
    <col min="10" max="10" width="23.44140625" bestFit="1" customWidth="1"/>
  </cols>
  <sheetData>
    <row r="1" spans="1:17" x14ac:dyDescent="0.3">
      <c r="A1" t="s">
        <v>0</v>
      </c>
      <c r="B1" s="6">
        <v>1438.141376</v>
      </c>
      <c r="D1" t="s">
        <v>10</v>
      </c>
      <c r="E1">
        <f>(1+(B3/B2)^2)/(1-(B3/B2)^2)-B10</f>
        <v>0.7</v>
      </c>
      <c r="G1" t="s">
        <v>6</v>
      </c>
      <c r="H1">
        <f>2*1000*B6*B1/(PI()*B2^2*B5*B7)</f>
        <v>23.119930187412127</v>
      </c>
    </row>
    <row r="2" spans="1:17" x14ac:dyDescent="0.3">
      <c r="A2" t="s">
        <v>1</v>
      </c>
      <c r="B2">
        <v>100</v>
      </c>
      <c r="D2" t="s">
        <v>11</v>
      </c>
      <c r="E2">
        <f>(1+(B2/B4)^2)/(1-(B2/B4)^2)+B11</f>
        <v>3.1140589569161001</v>
      </c>
      <c r="G2" s="5" t="s">
        <v>9</v>
      </c>
      <c r="H2">
        <f>1000*H1*B2*(E1/B8+E2/B9)</f>
        <v>41.990846102178168</v>
      </c>
    </row>
    <row r="3" spans="1:17" x14ac:dyDescent="0.3">
      <c r="A3" t="s">
        <v>2</v>
      </c>
      <c r="B3">
        <v>0</v>
      </c>
      <c r="D3" t="s">
        <v>20</v>
      </c>
      <c r="E3">
        <f>0.5*B15*(1-(B2/B4)^2)</f>
        <v>243.83472057074908</v>
      </c>
      <c r="G3" t="s">
        <v>16</v>
      </c>
      <c r="H3">
        <f>5.5*(B12+B13)</f>
        <v>8.8000000000000007</v>
      </c>
    </row>
    <row r="4" spans="1:17" x14ac:dyDescent="0.3">
      <c r="A4" t="s">
        <v>3</v>
      </c>
      <c r="B4">
        <v>145</v>
      </c>
      <c r="D4" t="s">
        <v>21</v>
      </c>
      <c r="E4">
        <f>B14</f>
        <v>930</v>
      </c>
      <c r="G4" t="s">
        <v>19</v>
      </c>
      <c r="H4">
        <f>H2+H3</f>
        <v>50.790846102178165</v>
      </c>
      <c r="I4">
        <f>CEILING(H4,1)</f>
        <v>51</v>
      </c>
      <c r="J4" s="7" t="s">
        <v>38</v>
      </c>
      <c r="K4" s="8">
        <v>99</v>
      </c>
    </row>
    <row r="5" spans="1:17" x14ac:dyDescent="0.3">
      <c r="A5" t="s">
        <v>4</v>
      </c>
      <c r="B5">
        <v>99</v>
      </c>
      <c r="D5" t="s">
        <v>24</v>
      </c>
      <c r="E5">
        <f>MIN(E3:E4)</f>
        <v>243.83472057074908</v>
      </c>
      <c r="G5" s="5" t="s">
        <v>25</v>
      </c>
      <c r="H5">
        <f>E5*H2/H1</f>
        <v>442.85714285714283</v>
      </c>
      <c r="J5" t="s">
        <v>36</v>
      </c>
    </row>
    <row r="6" spans="1:17" x14ac:dyDescent="0.3">
      <c r="A6" t="s">
        <v>5</v>
      </c>
      <c r="B6">
        <v>2</v>
      </c>
      <c r="G6" t="s">
        <v>26</v>
      </c>
      <c r="H6">
        <f>H5+H3</f>
        <v>451.65714285714284</v>
      </c>
      <c r="I6">
        <f>FLOOR(H6,1)</f>
        <v>451</v>
      </c>
      <c r="J6" s="7" t="s">
        <v>39</v>
      </c>
      <c r="K6" s="8">
        <v>149</v>
      </c>
    </row>
    <row r="7" spans="1:17" x14ac:dyDescent="0.3">
      <c r="A7" t="s">
        <v>7</v>
      </c>
      <c r="B7">
        <v>0.08</v>
      </c>
      <c r="G7" t="s">
        <v>28</v>
      </c>
      <c r="H7">
        <f>(K6-H3)*H1/H2</f>
        <v>77.193353151010697</v>
      </c>
    </row>
    <row r="8" spans="1:17" x14ac:dyDescent="0.3">
      <c r="A8" t="s">
        <v>12</v>
      </c>
      <c r="B8">
        <f>2.1*10^5</f>
        <v>210000</v>
      </c>
      <c r="G8" t="s">
        <v>32</v>
      </c>
      <c r="H8">
        <f>20+(K6+B18)/(1000*B2*B17)</f>
        <v>156.66666666666669</v>
      </c>
      <c r="J8" t="s">
        <v>34</v>
      </c>
    </row>
    <row r="9" spans="1:17" x14ac:dyDescent="0.3">
      <c r="A9" t="s">
        <v>13</v>
      </c>
      <c r="B9">
        <f>2.1*10^5</f>
        <v>210000</v>
      </c>
      <c r="G9" s="9" t="s">
        <v>29</v>
      </c>
      <c r="H9">
        <f>PI()*B2*B5*H7*B16</f>
        <v>480169.9409070519</v>
      </c>
    </row>
    <row r="10" spans="1:17" x14ac:dyDescent="0.3">
      <c r="A10" s="5" t="s">
        <v>14</v>
      </c>
      <c r="B10">
        <v>0.3</v>
      </c>
    </row>
    <row r="11" spans="1:17" x14ac:dyDescent="0.3">
      <c r="A11" s="5" t="s">
        <v>15</v>
      </c>
      <c r="B11">
        <v>0.3</v>
      </c>
      <c r="G11" t="s">
        <v>35</v>
      </c>
      <c r="H11">
        <f>H9/9.81</f>
        <v>48946.986840678073</v>
      </c>
    </row>
    <row r="12" spans="1:17" x14ac:dyDescent="0.3">
      <c r="A12" t="s">
        <v>17</v>
      </c>
      <c r="B12">
        <v>0.8</v>
      </c>
    </row>
    <row r="13" spans="1:17" x14ac:dyDescent="0.3">
      <c r="A13" t="s">
        <v>18</v>
      </c>
      <c r="B13">
        <v>0.8</v>
      </c>
      <c r="G13" t="s">
        <v>37</v>
      </c>
      <c r="H13">
        <f>H11/1000</f>
        <v>48.946986840678072</v>
      </c>
    </row>
    <row r="14" spans="1:17" x14ac:dyDescent="0.3">
      <c r="A14" s="5" t="s">
        <v>22</v>
      </c>
      <c r="B14">
        <v>930</v>
      </c>
      <c r="J14" s="1" t="s">
        <v>8</v>
      </c>
      <c r="K14" s="1" t="s">
        <v>0</v>
      </c>
      <c r="L14" s="2">
        <v>13.263888888888889</v>
      </c>
      <c r="M14" s="3">
        <v>81.891249999999999</v>
      </c>
      <c r="N14" s="4">
        <v>81.891249999999999</v>
      </c>
      <c r="O14" s="3">
        <v>557.02094928057284</v>
      </c>
      <c r="P14" s="4">
        <v>557.02094928057284</v>
      </c>
      <c r="Q14" s="2">
        <v>1438.141376</v>
      </c>
    </row>
    <row r="15" spans="1:17" x14ac:dyDescent="0.3">
      <c r="A15" s="5" t="s">
        <v>23</v>
      </c>
      <c r="B15">
        <v>930</v>
      </c>
    </row>
    <row r="16" spans="1:17" x14ac:dyDescent="0.3">
      <c r="A16" s="5" t="s">
        <v>30</v>
      </c>
      <c r="B16">
        <v>0.2</v>
      </c>
    </row>
    <row r="17" spans="1:2" x14ac:dyDescent="0.3">
      <c r="A17" s="5" t="s">
        <v>31</v>
      </c>
      <c r="B17">
        <f>12*10^(-6)</f>
        <v>1.2E-5</v>
      </c>
    </row>
    <row r="18" spans="1:2" x14ac:dyDescent="0.3">
      <c r="A18" s="10" t="s">
        <v>33</v>
      </c>
      <c r="B1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Входной</vt:lpstr>
      <vt:lpstr>Промежуточный 1</vt:lpstr>
      <vt:lpstr>Промежуточный 2</vt:lpstr>
      <vt:lpstr>Выходной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Хвостов</dc:creator>
  <cp:lastModifiedBy>Иван Хвостов</cp:lastModifiedBy>
  <dcterms:created xsi:type="dcterms:W3CDTF">2025-05-02T18:31:53Z</dcterms:created>
  <dcterms:modified xsi:type="dcterms:W3CDTF">2025-05-03T19:55:13Z</dcterms:modified>
</cp:coreProperties>
</file>