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マイドライブ\講義資料\後期\機能工学システム専門実験\システム最適化\第4週\"/>
    </mc:Choice>
  </mc:AlternateContent>
  <xr:revisionPtr revIDLastSave="0" documentId="13_ncr:1_{ACB317D4-8B72-4E58-B567-498D09FFD794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Face to Face" sheetId="1" r:id="rId1"/>
    <sheet name="エースバーン" sheetId="2" r:id="rId2"/>
    <sheet name="オボンランドロス" sheetId="3" r:id="rId3"/>
    <sheet name="スカーフランドロス" sheetId="4" r:id="rId4"/>
    <sheet name="カプ・レヒレ" sheetId="5" r:id="rId5"/>
    <sheet name="ミミッキュ" sheetId="6" r:id="rId6"/>
    <sheet name="サンダー" sheetId="7" r:id="rId7"/>
    <sheet name="珠テッカグヤ" sheetId="8" r:id="rId8"/>
    <sheet name="残飯テッカグヤ" sheetId="9" r:id="rId9"/>
    <sheet name="ポリゴン2" sheetId="10" r:id="rId10"/>
    <sheet name="ゴリランダー" sheetId="11" r:id="rId11"/>
    <sheet name="ウツロイド" sheetId="12" r:id="rId12"/>
    <sheet name="カバルドン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7" i="13" l="1"/>
  <c r="M37" i="13"/>
  <c r="L37" i="13"/>
  <c r="I37" i="13"/>
  <c r="F37" i="13"/>
  <c r="M36" i="13"/>
  <c r="O36" i="13"/>
  <c r="L36" i="13"/>
  <c r="I36" i="13"/>
  <c r="F36" i="13"/>
  <c r="O35" i="13"/>
  <c r="I35" i="13"/>
  <c r="M35" i="13"/>
  <c r="L35" i="13"/>
  <c r="F35" i="13"/>
  <c r="G35" i="13" s="1"/>
  <c r="S35" i="13" s="1"/>
  <c r="F33" i="13"/>
  <c r="J31" i="13"/>
  <c r="D31" i="13"/>
  <c r="L31" i="13"/>
  <c r="F31" i="13"/>
  <c r="G31" i="13" s="1"/>
  <c r="M31" i="13" s="1"/>
  <c r="S31" i="13" s="1"/>
  <c r="F30" i="13"/>
  <c r="L29" i="13"/>
  <c r="P29" i="13"/>
  <c r="O29" i="13"/>
  <c r="M29" i="13"/>
  <c r="S29" i="13" s="1"/>
  <c r="L28" i="13"/>
  <c r="I28" i="13"/>
  <c r="L27" i="13"/>
  <c r="G27" i="13"/>
  <c r="F27" i="13"/>
  <c r="L26" i="13"/>
  <c r="G26" i="13"/>
  <c r="F26" i="13"/>
  <c r="M26" i="13" s="1"/>
  <c r="S26" i="13" s="1"/>
  <c r="M25" i="13"/>
  <c r="L25" i="13"/>
  <c r="F25" i="13"/>
  <c r="G24" i="13"/>
  <c r="F24" i="13"/>
  <c r="M24" i="13"/>
  <c r="S24" i="13" s="1"/>
  <c r="O23" i="13"/>
  <c r="M23" i="13"/>
  <c r="S23" i="13"/>
  <c r="L23" i="13"/>
  <c r="F23" i="13"/>
  <c r="M22" i="13"/>
  <c r="O22" i="13"/>
  <c r="L22" i="13"/>
  <c r="I22" i="13"/>
  <c r="M21" i="13"/>
  <c r="F22" i="13"/>
  <c r="O21" i="13"/>
  <c r="I21" i="13"/>
  <c r="L21" i="13"/>
  <c r="O19" i="13"/>
  <c r="L19" i="13"/>
  <c r="G19" i="13"/>
  <c r="M19" i="13" s="1"/>
  <c r="S19" i="13" s="1"/>
  <c r="F19" i="13"/>
  <c r="J18" i="13"/>
  <c r="J17" i="13"/>
  <c r="D18" i="13"/>
  <c r="D17" i="13"/>
  <c r="G18" i="13"/>
  <c r="F18" i="13"/>
  <c r="L17" i="13"/>
  <c r="G17" i="13"/>
  <c r="F17" i="13"/>
  <c r="O16" i="13"/>
  <c r="P16" i="13" s="1"/>
  <c r="M16" i="13"/>
  <c r="J16" i="13"/>
  <c r="D16" i="13"/>
  <c r="L16" i="13"/>
  <c r="F16" i="13"/>
  <c r="D33" i="13"/>
  <c r="J33" i="13" s="1"/>
  <c r="P33" i="13" s="1"/>
  <c r="G33" i="13"/>
  <c r="M33" i="13" s="1"/>
  <c r="S33" i="13" s="1"/>
  <c r="D34" i="13"/>
  <c r="G34" i="13"/>
  <c r="M34" i="13" s="1"/>
  <c r="S34" i="13" s="1"/>
  <c r="J34" i="13"/>
  <c r="P34" i="13" s="1"/>
  <c r="D35" i="13"/>
  <c r="J35" i="13" s="1"/>
  <c r="P35" i="13" s="1"/>
  <c r="D36" i="13"/>
  <c r="G36" i="13"/>
  <c r="J36" i="13"/>
  <c r="P36" i="13" s="1"/>
  <c r="D37" i="13"/>
  <c r="J37" i="13" s="1"/>
  <c r="P37" i="13" s="1"/>
  <c r="G37" i="13"/>
  <c r="S37" i="13" s="1"/>
  <c r="M17" i="13"/>
  <c r="S17" i="13" s="1"/>
  <c r="P17" i="13"/>
  <c r="P18" i="13"/>
  <c r="M18" i="13"/>
  <c r="S18" i="13" s="1"/>
  <c r="D19" i="13"/>
  <c r="J19" i="13" s="1"/>
  <c r="P19" i="13" s="1"/>
  <c r="D20" i="13"/>
  <c r="G20" i="13"/>
  <c r="M20" i="13" s="1"/>
  <c r="S20" i="13" s="1"/>
  <c r="J20" i="13"/>
  <c r="P20" i="13" s="1"/>
  <c r="D21" i="13"/>
  <c r="G21" i="13"/>
  <c r="S21" i="13" s="1"/>
  <c r="J21" i="13"/>
  <c r="P21" i="13" s="1"/>
  <c r="D22" i="13"/>
  <c r="G22" i="13"/>
  <c r="S22" i="13" s="1"/>
  <c r="D23" i="13"/>
  <c r="J23" i="13" s="1"/>
  <c r="P23" i="13" s="1"/>
  <c r="G23" i="13"/>
  <c r="D24" i="13"/>
  <c r="J24" i="13"/>
  <c r="P24" i="13" s="1"/>
  <c r="D25" i="13"/>
  <c r="J25" i="13" s="1"/>
  <c r="P25" i="13" s="1"/>
  <c r="G25" i="13"/>
  <c r="S25" i="13" s="1"/>
  <c r="D26" i="13"/>
  <c r="J26" i="13"/>
  <c r="P26" i="13" s="1"/>
  <c r="D27" i="13"/>
  <c r="J27" i="13"/>
  <c r="P27" i="13" s="1"/>
  <c r="D28" i="13"/>
  <c r="J28" i="13" s="1"/>
  <c r="P28" i="13" s="1"/>
  <c r="G28" i="13"/>
  <c r="M28" i="13" s="1"/>
  <c r="S28" i="13" s="1"/>
  <c r="D29" i="13"/>
  <c r="G29" i="13"/>
  <c r="J29" i="13"/>
  <c r="D30" i="13"/>
  <c r="J30" i="13" s="1"/>
  <c r="P30" i="13" s="1"/>
  <c r="G30" i="13"/>
  <c r="M30" i="13" s="1"/>
  <c r="S30" i="13" s="1"/>
  <c r="P31" i="13"/>
  <c r="D32" i="13"/>
  <c r="G32" i="13"/>
  <c r="M32" i="13" s="1"/>
  <c r="S32" i="13" s="1"/>
  <c r="J32" i="13"/>
  <c r="P32" i="13"/>
  <c r="G16" i="13"/>
  <c r="C37" i="12"/>
  <c r="C36" i="12"/>
  <c r="D36" i="12" s="1"/>
  <c r="J36" i="12" s="1"/>
  <c r="P36" i="12" s="1"/>
  <c r="C35" i="12"/>
  <c r="F30" i="12"/>
  <c r="G30" i="12" s="1"/>
  <c r="M30" i="12" s="1"/>
  <c r="S30" i="12" s="1"/>
  <c r="D29" i="12"/>
  <c r="C29" i="12"/>
  <c r="C28" i="12"/>
  <c r="D28" i="12" s="1"/>
  <c r="J28" i="12" s="1"/>
  <c r="P28" i="12" s="1"/>
  <c r="C26" i="12"/>
  <c r="D26" i="12" s="1"/>
  <c r="J26" i="12" s="1"/>
  <c r="P26" i="12" s="1"/>
  <c r="C25" i="12"/>
  <c r="F24" i="12"/>
  <c r="C24" i="12"/>
  <c r="P23" i="12"/>
  <c r="O23" i="12"/>
  <c r="J23" i="12"/>
  <c r="I23" i="12"/>
  <c r="C23" i="12"/>
  <c r="C22" i="12"/>
  <c r="F21" i="12"/>
  <c r="G21" i="12" s="1"/>
  <c r="M21" i="12" s="1"/>
  <c r="S21" i="12" s="1"/>
  <c r="F20" i="12"/>
  <c r="G20" i="12" s="1"/>
  <c r="M20" i="12" s="1"/>
  <c r="S20" i="12" s="1"/>
  <c r="F18" i="12"/>
  <c r="F17" i="12"/>
  <c r="C15" i="12"/>
  <c r="D16" i="12"/>
  <c r="J16" i="12" s="1"/>
  <c r="P16" i="12" s="1"/>
  <c r="G16" i="12"/>
  <c r="M16" i="12" s="1"/>
  <c r="S16" i="12" s="1"/>
  <c r="T16" i="12" s="1"/>
  <c r="U16" i="12" s="1"/>
  <c r="D17" i="12"/>
  <c r="G17" i="12"/>
  <c r="J17" i="12"/>
  <c r="P17" i="12" s="1"/>
  <c r="M17" i="12"/>
  <c r="S17" i="12" s="1"/>
  <c r="D18" i="12"/>
  <c r="J18" i="12" s="1"/>
  <c r="P18" i="12" s="1"/>
  <c r="G18" i="12"/>
  <c r="M18" i="12" s="1"/>
  <c r="S18" i="12" s="1"/>
  <c r="D19" i="12"/>
  <c r="G19" i="12"/>
  <c r="M19" i="12" s="1"/>
  <c r="S19" i="12" s="1"/>
  <c r="T19" i="12" s="1"/>
  <c r="U19" i="12" s="1"/>
  <c r="J19" i="12"/>
  <c r="P19" i="12"/>
  <c r="D20" i="12"/>
  <c r="J20" i="12" s="1"/>
  <c r="P20" i="12" s="1"/>
  <c r="D21" i="12"/>
  <c r="J21" i="12" s="1"/>
  <c r="P21" i="12" s="1"/>
  <c r="D22" i="12"/>
  <c r="J22" i="12" s="1"/>
  <c r="P22" i="12" s="1"/>
  <c r="G22" i="12"/>
  <c r="M22" i="12" s="1"/>
  <c r="S22" i="12" s="1"/>
  <c r="D23" i="12"/>
  <c r="G23" i="12"/>
  <c r="M23" i="12" s="1"/>
  <c r="S23" i="12" s="1"/>
  <c r="D24" i="12"/>
  <c r="J24" i="12" s="1"/>
  <c r="P24" i="12" s="1"/>
  <c r="G24" i="12"/>
  <c r="M24" i="12" s="1"/>
  <c r="S24" i="12" s="1"/>
  <c r="D25" i="12"/>
  <c r="J25" i="12" s="1"/>
  <c r="P25" i="12" s="1"/>
  <c r="G25" i="12"/>
  <c r="M25" i="12" s="1"/>
  <c r="S25" i="12" s="1"/>
  <c r="G26" i="12"/>
  <c r="M26" i="12" s="1"/>
  <c r="S26" i="12" s="1"/>
  <c r="D27" i="12"/>
  <c r="J27" i="12" s="1"/>
  <c r="P27" i="12" s="1"/>
  <c r="G27" i="12"/>
  <c r="M27" i="12" s="1"/>
  <c r="S27" i="12" s="1"/>
  <c r="G28" i="12"/>
  <c r="M28" i="12" s="1"/>
  <c r="S28" i="12" s="1"/>
  <c r="G29" i="12"/>
  <c r="M29" i="12" s="1"/>
  <c r="S29" i="12" s="1"/>
  <c r="D30" i="12"/>
  <c r="J30" i="12" s="1"/>
  <c r="P30" i="12" s="1"/>
  <c r="D31" i="12"/>
  <c r="G31" i="12"/>
  <c r="M31" i="12" s="1"/>
  <c r="S31" i="12" s="1"/>
  <c r="J31" i="12"/>
  <c r="P31" i="12" s="1"/>
  <c r="D32" i="12"/>
  <c r="G32" i="12"/>
  <c r="J32" i="12"/>
  <c r="P32" i="12" s="1"/>
  <c r="M32" i="12"/>
  <c r="S32" i="12" s="1"/>
  <c r="D33" i="12"/>
  <c r="J33" i="12" s="1"/>
  <c r="P33" i="12" s="1"/>
  <c r="G33" i="12"/>
  <c r="M33" i="12" s="1"/>
  <c r="S33" i="12" s="1"/>
  <c r="D34" i="12"/>
  <c r="J34" i="12" s="1"/>
  <c r="P34" i="12" s="1"/>
  <c r="G34" i="12"/>
  <c r="M34" i="12" s="1"/>
  <c r="S34" i="12" s="1"/>
  <c r="T34" i="12" s="1"/>
  <c r="U34" i="12" s="1"/>
  <c r="D35" i="12"/>
  <c r="G35" i="12"/>
  <c r="J35" i="12"/>
  <c r="P35" i="12" s="1"/>
  <c r="M35" i="12"/>
  <c r="S35" i="12" s="1"/>
  <c r="G36" i="12"/>
  <c r="M36" i="12" s="1"/>
  <c r="S36" i="12" s="1"/>
  <c r="D37" i="12"/>
  <c r="J37" i="12" s="1"/>
  <c r="P37" i="12" s="1"/>
  <c r="G37" i="12"/>
  <c r="M37" i="12" s="1"/>
  <c r="S37" i="12" s="1"/>
  <c r="T37" i="12" s="1"/>
  <c r="U37" i="12" s="1"/>
  <c r="S15" i="12"/>
  <c r="M15" i="12"/>
  <c r="G15" i="12"/>
  <c r="D15" i="12"/>
  <c r="J15" i="12" s="1"/>
  <c r="P15" i="12" s="1"/>
  <c r="I37" i="11"/>
  <c r="J37" i="11" s="1"/>
  <c r="P37" i="11" s="1"/>
  <c r="F37" i="11"/>
  <c r="G37" i="11" s="1"/>
  <c r="M37" i="11" s="1"/>
  <c r="D37" i="11"/>
  <c r="C37" i="11"/>
  <c r="M36" i="11"/>
  <c r="G36" i="11"/>
  <c r="D36" i="11"/>
  <c r="I36" i="11"/>
  <c r="F36" i="11"/>
  <c r="C36" i="11"/>
  <c r="D34" i="11"/>
  <c r="I34" i="11"/>
  <c r="F34" i="11"/>
  <c r="C34" i="11"/>
  <c r="C32" i="11"/>
  <c r="C31" i="11"/>
  <c r="C30" i="11"/>
  <c r="J29" i="11"/>
  <c r="L29" i="11"/>
  <c r="I29" i="11"/>
  <c r="G29" i="11"/>
  <c r="F29" i="11"/>
  <c r="D29" i="11"/>
  <c r="C29" i="11"/>
  <c r="D27" i="11"/>
  <c r="D23" i="11"/>
  <c r="C27" i="11"/>
  <c r="L26" i="11"/>
  <c r="F26" i="11"/>
  <c r="D26" i="11"/>
  <c r="C25" i="11"/>
  <c r="F15" i="11"/>
  <c r="G15" i="11"/>
  <c r="M15" i="11" s="1"/>
  <c r="S15" i="11" s="1"/>
  <c r="M23" i="11"/>
  <c r="G23" i="11"/>
  <c r="F23" i="11"/>
  <c r="I23" i="11"/>
  <c r="C23" i="11"/>
  <c r="D22" i="11"/>
  <c r="C22" i="11"/>
  <c r="C20" i="11"/>
  <c r="C19" i="11"/>
  <c r="F19" i="11"/>
  <c r="D17" i="11"/>
  <c r="J17" i="11" s="1"/>
  <c r="P17" i="11" s="1"/>
  <c r="D18" i="11"/>
  <c r="J18" i="11" s="1"/>
  <c r="P18" i="11" s="1"/>
  <c r="S18" i="11" s="1"/>
  <c r="C18" i="11"/>
  <c r="C17" i="11"/>
  <c r="S14" i="11"/>
  <c r="S21" i="11"/>
  <c r="S35" i="11"/>
  <c r="T35" i="11" s="1"/>
  <c r="U35" i="11" s="1"/>
  <c r="S16" i="11"/>
  <c r="L16" i="11"/>
  <c r="I16" i="11"/>
  <c r="D16" i="11"/>
  <c r="J16" i="11" s="1"/>
  <c r="P16" i="11" s="1"/>
  <c r="M16" i="11"/>
  <c r="M18" i="11"/>
  <c r="M19" i="11"/>
  <c r="M21" i="11"/>
  <c r="M24" i="11"/>
  <c r="M25" i="11"/>
  <c r="M28" i="11"/>
  <c r="M33" i="11"/>
  <c r="M35" i="11"/>
  <c r="G16" i="11"/>
  <c r="G17" i="11"/>
  <c r="M17" i="11" s="1"/>
  <c r="G18" i="11"/>
  <c r="G19" i="11"/>
  <c r="G20" i="11"/>
  <c r="M20" i="11" s="1"/>
  <c r="G21" i="11"/>
  <c r="G22" i="11"/>
  <c r="M22" i="11" s="1"/>
  <c r="G24" i="11"/>
  <c r="G25" i="11"/>
  <c r="G26" i="11"/>
  <c r="G27" i="11"/>
  <c r="M27" i="11" s="1"/>
  <c r="G28" i="11"/>
  <c r="M29" i="11"/>
  <c r="G30" i="11"/>
  <c r="M30" i="11" s="1"/>
  <c r="G31" i="11"/>
  <c r="M31" i="11" s="1"/>
  <c r="G32" i="11"/>
  <c r="M32" i="11" s="1"/>
  <c r="G33" i="11"/>
  <c r="G34" i="11"/>
  <c r="M34" i="11" s="1"/>
  <c r="G35" i="11"/>
  <c r="G14" i="11"/>
  <c r="M14" i="11"/>
  <c r="C16" i="11"/>
  <c r="C15" i="11"/>
  <c r="C14" i="11"/>
  <c r="D15" i="11"/>
  <c r="J15" i="11" s="1"/>
  <c r="P15" i="11" s="1"/>
  <c r="D19" i="11"/>
  <c r="J19" i="11"/>
  <c r="P19" i="11" s="1"/>
  <c r="D20" i="11"/>
  <c r="J20" i="11" s="1"/>
  <c r="P20" i="11" s="1"/>
  <c r="D21" i="11"/>
  <c r="J21" i="11" s="1"/>
  <c r="P21" i="11" s="1"/>
  <c r="J22" i="11"/>
  <c r="P22" i="11" s="1"/>
  <c r="J23" i="11"/>
  <c r="P23" i="11" s="1"/>
  <c r="D24" i="11"/>
  <c r="J24" i="11" s="1"/>
  <c r="P24" i="11" s="1"/>
  <c r="S24" i="11" s="1"/>
  <c r="D25" i="11"/>
  <c r="J25" i="11"/>
  <c r="P25" i="11" s="1"/>
  <c r="J26" i="11"/>
  <c r="P26" i="11" s="1"/>
  <c r="J27" i="11"/>
  <c r="P27" i="11" s="1"/>
  <c r="D28" i="11"/>
  <c r="J28" i="11" s="1"/>
  <c r="P28" i="11" s="1"/>
  <c r="S28" i="11" s="1"/>
  <c r="T28" i="11" s="1"/>
  <c r="U28" i="11" s="1"/>
  <c r="D30" i="11"/>
  <c r="J30" i="11" s="1"/>
  <c r="P30" i="11" s="1"/>
  <c r="D31" i="11"/>
  <c r="J31" i="11" s="1"/>
  <c r="P31" i="11" s="1"/>
  <c r="D32" i="11"/>
  <c r="J32" i="11" s="1"/>
  <c r="P32" i="11" s="1"/>
  <c r="D33" i="11"/>
  <c r="J33" i="11" s="1"/>
  <c r="P33" i="11" s="1"/>
  <c r="S33" i="11" s="1"/>
  <c r="J34" i="11"/>
  <c r="P34" i="11" s="1"/>
  <c r="D35" i="11"/>
  <c r="J35" i="11" s="1"/>
  <c r="P35" i="11" s="1"/>
  <c r="J36" i="11"/>
  <c r="P36" i="11" s="1"/>
  <c r="D14" i="11"/>
  <c r="J14" i="11" s="1"/>
  <c r="P14" i="11" s="1"/>
  <c r="D37" i="10"/>
  <c r="L37" i="10"/>
  <c r="D26" i="10"/>
  <c r="J26" i="10" s="1"/>
  <c r="P26" i="10" s="1"/>
  <c r="C37" i="10"/>
  <c r="F37" i="10"/>
  <c r="L36" i="10"/>
  <c r="R35" i="10"/>
  <c r="L35" i="10"/>
  <c r="F35" i="10"/>
  <c r="G35" i="10" s="1"/>
  <c r="D36" i="10"/>
  <c r="O35" i="10"/>
  <c r="C35" i="10"/>
  <c r="L34" i="10"/>
  <c r="C34" i="10"/>
  <c r="F34" i="10"/>
  <c r="P33" i="10"/>
  <c r="R33" i="10"/>
  <c r="O33" i="10"/>
  <c r="M33" i="10"/>
  <c r="L33" i="10"/>
  <c r="C33" i="10"/>
  <c r="F33" i="10"/>
  <c r="F32" i="10"/>
  <c r="G32" i="10" s="1"/>
  <c r="M32" i="10" s="1"/>
  <c r="S32" i="10" s="1"/>
  <c r="F31" i="10"/>
  <c r="G31" i="10" s="1"/>
  <c r="M31" i="10" s="1"/>
  <c r="S31" i="10" s="1"/>
  <c r="R30" i="10"/>
  <c r="O30" i="10"/>
  <c r="M30" i="10"/>
  <c r="S30" i="10" s="1"/>
  <c r="L30" i="10"/>
  <c r="C30" i="10"/>
  <c r="F30" i="10"/>
  <c r="R29" i="10"/>
  <c r="P29" i="10"/>
  <c r="O29" i="10"/>
  <c r="D29" i="10"/>
  <c r="C29" i="10"/>
  <c r="R28" i="10"/>
  <c r="L28" i="10"/>
  <c r="J28" i="10"/>
  <c r="I28" i="10"/>
  <c r="C28" i="10"/>
  <c r="O27" i="10"/>
  <c r="L27" i="10"/>
  <c r="I27" i="10"/>
  <c r="F27" i="10"/>
  <c r="C27" i="10"/>
  <c r="L26" i="10"/>
  <c r="F26" i="10"/>
  <c r="O25" i="10"/>
  <c r="R25" i="10"/>
  <c r="M25" i="10"/>
  <c r="L25" i="10"/>
  <c r="S25" i="10" s="1"/>
  <c r="C25" i="10"/>
  <c r="F25" i="10"/>
  <c r="S24" i="10"/>
  <c r="R24" i="10"/>
  <c r="M24" i="10"/>
  <c r="L24" i="10"/>
  <c r="C24" i="10"/>
  <c r="D24" i="10" s="1"/>
  <c r="J24" i="10" s="1"/>
  <c r="P24" i="10" s="1"/>
  <c r="F24" i="10"/>
  <c r="R23" i="10"/>
  <c r="O23" i="10"/>
  <c r="I23" i="10"/>
  <c r="C23" i="10"/>
  <c r="R22" i="10"/>
  <c r="O22" i="10"/>
  <c r="M22" i="10"/>
  <c r="L22" i="10"/>
  <c r="C22" i="10"/>
  <c r="D22" i="10" s="1"/>
  <c r="J22" i="10" s="1"/>
  <c r="P22" i="10" s="1"/>
  <c r="F22" i="10"/>
  <c r="G22" i="10" s="1"/>
  <c r="L21" i="10"/>
  <c r="I21" i="10"/>
  <c r="C21" i="10"/>
  <c r="F21" i="10"/>
  <c r="G21" i="10" s="1"/>
  <c r="M21" i="10" s="1"/>
  <c r="S21" i="10" s="1"/>
  <c r="R20" i="10"/>
  <c r="L20" i="10"/>
  <c r="I20" i="10"/>
  <c r="C20" i="10"/>
  <c r="L19" i="10"/>
  <c r="D19" i="10"/>
  <c r="C19" i="10"/>
  <c r="F19" i="10"/>
  <c r="O18" i="10"/>
  <c r="R18" i="10"/>
  <c r="J18" i="10"/>
  <c r="M18" i="10"/>
  <c r="L18" i="10"/>
  <c r="C18" i="10"/>
  <c r="D18" i="10"/>
  <c r="P18" i="10" s="1"/>
  <c r="F18" i="10"/>
  <c r="R17" i="10"/>
  <c r="O17" i="10"/>
  <c r="M17" i="10"/>
  <c r="L17" i="10"/>
  <c r="J17" i="10"/>
  <c r="F17" i="10"/>
  <c r="G17" i="10" s="1"/>
  <c r="D17" i="10"/>
  <c r="C17" i="10"/>
  <c r="O16" i="10"/>
  <c r="R16" i="10"/>
  <c r="M16" i="10"/>
  <c r="J16" i="10"/>
  <c r="L16" i="10"/>
  <c r="F16" i="10"/>
  <c r="D16" i="10"/>
  <c r="C16" i="10"/>
  <c r="I15" i="10"/>
  <c r="C15" i="10"/>
  <c r="D15" i="10"/>
  <c r="J15" i="10" s="1"/>
  <c r="P15" i="10" s="1"/>
  <c r="S14" i="10"/>
  <c r="R14" i="10"/>
  <c r="M14" i="10"/>
  <c r="L14" i="10"/>
  <c r="G14" i="10"/>
  <c r="F14" i="10"/>
  <c r="G15" i="10"/>
  <c r="M15" i="10"/>
  <c r="S15" i="10" s="1"/>
  <c r="G16" i="10"/>
  <c r="G18" i="10"/>
  <c r="G19" i="10"/>
  <c r="D20" i="10"/>
  <c r="J20" i="10" s="1"/>
  <c r="P20" i="10" s="1"/>
  <c r="G20" i="10"/>
  <c r="M20" i="10" s="1"/>
  <c r="D21" i="10"/>
  <c r="J21" i="10" s="1"/>
  <c r="P21" i="10" s="1"/>
  <c r="D23" i="10"/>
  <c r="G23" i="10"/>
  <c r="M23" i="10" s="1"/>
  <c r="S23" i="10" s="1"/>
  <c r="G24" i="10"/>
  <c r="D25" i="10"/>
  <c r="J25" i="10" s="1"/>
  <c r="P25" i="10" s="1"/>
  <c r="G25" i="10"/>
  <c r="G26" i="10"/>
  <c r="M26" i="10" s="1"/>
  <c r="S26" i="10" s="1"/>
  <c r="D27" i="10"/>
  <c r="G27" i="10"/>
  <c r="J27" i="10"/>
  <c r="P27" i="10" s="1"/>
  <c r="D28" i="10"/>
  <c r="P28" i="10" s="1"/>
  <c r="G28" i="10"/>
  <c r="M28" i="10" s="1"/>
  <c r="G29" i="10"/>
  <c r="M29" i="10" s="1"/>
  <c r="D30" i="10"/>
  <c r="G30" i="10"/>
  <c r="J30" i="10"/>
  <c r="D31" i="10"/>
  <c r="J31" i="10" s="1"/>
  <c r="P31" i="10" s="1"/>
  <c r="D32" i="10"/>
  <c r="J32" i="10" s="1"/>
  <c r="P32" i="10" s="1"/>
  <c r="D33" i="10"/>
  <c r="J33" i="10" s="1"/>
  <c r="G33" i="10"/>
  <c r="D34" i="10"/>
  <c r="J34" i="10" s="1"/>
  <c r="P34" i="10" s="1"/>
  <c r="G34" i="10"/>
  <c r="M34" i="10" s="1"/>
  <c r="S34" i="10" s="1"/>
  <c r="D35" i="10"/>
  <c r="J35" i="10" s="1"/>
  <c r="P35" i="10" s="1"/>
  <c r="J36" i="10"/>
  <c r="P36" i="10" s="1"/>
  <c r="G36" i="10"/>
  <c r="M36" i="10" s="1"/>
  <c r="S36" i="10" s="1"/>
  <c r="G37" i="10"/>
  <c r="J37" i="10"/>
  <c r="P37" i="10" s="1"/>
  <c r="M37" i="10"/>
  <c r="S37" i="10" s="1"/>
  <c r="D14" i="10"/>
  <c r="J14" i="10" s="1"/>
  <c r="P14" i="10" s="1"/>
  <c r="S13" i="10"/>
  <c r="P13" i="10"/>
  <c r="R13" i="10"/>
  <c r="M13" i="10"/>
  <c r="J13" i="10"/>
  <c r="L13" i="10"/>
  <c r="D13" i="10"/>
  <c r="C13" i="10"/>
  <c r="F13" i="10"/>
  <c r="G13" i="10"/>
  <c r="T37" i="9"/>
  <c r="S37" i="9"/>
  <c r="P37" i="9"/>
  <c r="N37" i="9"/>
  <c r="H37" i="9"/>
  <c r="G37" i="9"/>
  <c r="T36" i="9"/>
  <c r="T32" i="9"/>
  <c r="T33" i="9"/>
  <c r="T34" i="9"/>
  <c r="T35" i="9"/>
  <c r="H35" i="9"/>
  <c r="H36" i="9"/>
  <c r="N36" i="9" s="1"/>
  <c r="P36" i="9"/>
  <c r="S36" i="9"/>
  <c r="N35" i="9"/>
  <c r="S35" i="9"/>
  <c r="P35" i="9"/>
  <c r="G35" i="9"/>
  <c r="P34" i="9"/>
  <c r="N34" i="9"/>
  <c r="H34" i="9"/>
  <c r="S34" i="9"/>
  <c r="G34" i="9"/>
  <c r="Q33" i="9"/>
  <c r="S33" i="9"/>
  <c r="P33" i="9"/>
  <c r="T31" i="9"/>
  <c r="N32" i="9"/>
  <c r="N33" i="9"/>
  <c r="H33" i="9"/>
  <c r="G33" i="9"/>
  <c r="S32" i="9"/>
  <c r="Q31" i="9"/>
  <c r="H32" i="9"/>
  <c r="G32" i="9"/>
  <c r="S31" i="9"/>
  <c r="P31" i="9"/>
  <c r="N31" i="9"/>
  <c r="H31" i="9"/>
  <c r="N30" i="9"/>
  <c r="H30" i="9"/>
  <c r="P29" i="9"/>
  <c r="K29" i="9"/>
  <c r="G29" i="9"/>
  <c r="E29" i="9"/>
  <c r="Q29" i="9" s="1"/>
  <c r="D29" i="9"/>
  <c r="S28" i="9"/>
  <c r="T28" i="9"/>
  <c r="N28" i="9"/>
  <c r="H28" i="9"/>
  <c r="T27" i="9"/>
  <c r="S27" i="9"/>
  <c r="N27" i="9"/>
  <c r="G27" i="9"/>
  <c r="H27" i="9" s="1"/>
  <c r="T26" i="9"/>
  <c r="T25" i="9"/>
  <c r="N26" i="9"/>
  <c r="N25" i="9"/>
  <c r="H25" i="9"/>
  <c r="H26" i="9"/>
  <c r="S26" i="9"/>
  <c r="P26" i="9"/>
  <c r="M26" i="9"/>
  <c r="J26" i="9"/>
  <c r="G26" i="9"/>
  <c r="P25" i="9"/>
  <c r="S25" i="9"/>
  <c r="G25" i="9"/>
  <c r="S24" i="9"/>
  <c r="N24" i="9"/>
  <c r="N23" i="9"/>
  <c r="T23" i="9" s="1"/>
  <c r="T24" i="9"/>
  <c r="H24" i="9"/>
  <c r="G24" i="9"/>
  <c r="S23" i="9"/>
  <c r="P23" i="9"/>
  <c r="J23" i="9"/>
  <c r="H23" i="9"/>
  <c r="T22" i="9"/>
  <c r="N22" i="9"/>
  <c r="P22" i="9"/>
  <c r="S22" i="9"/>
  <c r="H22" i="9"/>
  <c r="G22" i="9"/>
  <c r="S21" i="9"/>
  <c r="T21" i="9" s="1"/>
  <c r="T17" i="9"/>
  <c r="P17" i="9"/>
  <c r="Q17" i="9" s="1"/>
  <c r="T16" i="9"/>
  <c r="N16" i="9"/>
  <c r="N17" i="9"/>
  <c r="N18" i="9"/>
  <c r="N19" i="9"/>
  <c r="N20" i="9"/>
  <c r="N21" i="9"/>
  <c r="H16" i="9"/>
  <c r="H17" i="9"/>
  <c r="H18" i="9"/>
  <c r="H19" i="9"/>
  <c r="T19" i="9" s="1"/>
  <c r="H20" i="9"/>
  <c r="T20" i="9" s="1"/>
  <c r="H21" i="9"/>
  <c r="N15" i="9"/>
  <c r="T15" i="9" s="1"/>
  <c r="G21" i="9"/>
  <c r="M20" i="9"/>
  <c r="J20" i="9"/>
  <c r="Q19" i="9"/>
  <c r="S19" i="9"/>
  <c r="P19" i="9"/>
  <c r="G19" i="9"/>
  <c r="H15" i="9"/>
  <c r="T18" i="9"/>
  <c r="E19" i="9"/>
  <c r="S18" i="9"/>
  <c r="G18" i="9"/>
  <c r="E18" i="9"/>
  <c r="K18" i="9" s="1"/>
  <c r="Q18" i="9" s="1"/>
  <c r="S17" i="9"/>
  <c r="K16" i="9"/>
  <c r="K17" i="9"/>
  <c r="E17" i="9"/>
  <c r="E16" i="9"/>
  <c r="G17" i="9"/>
  <c r="G16" i="9"/>
  <c r="J15" i="9"/>
  <c r="T13" i="9"/>
  <c r="N13" i="9"/>
  <c r="H13" i="9"/>
  <c r="E13" i="9"/>
  <c r="K13" i="9" s="1"/>
  <c r="Q13" i="9" s="1"/>
  <c r="P12" i="9"/>
  <c r="Q12" i="9" s="1"/>
  <c r="N12" i="9"/>
  <c r="T12" i="9"/>
  <c r="H12" i="9"/>
  <c r="E14" i="9"/>
  <c r="K14" i="9" s="1"/>
  <c r="Q14" i="9" s="1"/>
  <c r="H14" i="9"/>
  <c r="N14" i="9" s="1"/>
  <c r="T14" i="9" s="1"/>
  <c r="E15" i="9"/>
  <c r="Q16" i="9"/>
  <c r="K19" i="9"/>
  <c r="E20" i="9"/>
  <c r="K20" i="9" s="1"/>
  <c r="Q20" i="9" s="1"/>
  <c r="E21" i="9"/>
  <c r="K21" i="9" s="1"/>
  <c r="Q21" i="9" s="1"/>
  <c r="E22" i="9"/>
  <c r="K22" i="9" s="1"/>
  <c r="E23" i="9"/>
  <c r="K23" i="9" s="1"/>
  <c r="E24" i="9"/>
  <c r="K24" i="9" s="1"/>
  <c r="Q24" i="9" s="1"/>
  <c r="E25" i="9"/>
  <c r="K25" i="9" s="1"/>
  <c r="E26" i="9"/>
  <c r="K26" i="9"/>
  <c r="E27" i="9"/>
  <c r="K27" i="9" s="1"/>
  <c r="Q27" i="9" s="1"/>
  <c r="E28" i="9"/>
  <c r="K28" i="9" s="1"/>
  <c r="Q28" i="9" s="1"/>
  <c r="H29" i="9"/>
  <c r="N29" i="9" s="1"/>
  <c r="T29" i="9" s="1"/>
  <c r="E30" i="9"/>
  <c r="K30" i="9" s="1"/>
  <c r="Q30" i="9" s="1"/>
  <c r="T30" i="9"/>
  <c r="E31" i="9"/>
  <c r="K31" i="9" s="1"/>
  <c r="E32" i="9"/>
  <c r="K32" i="9" s="1"/>
  <c r="E33" i="9"/>
  <c r="K33" i="9" s="1"/>
  <c r="E34" i="9"/>
  <c r="K34" i="9" s="1"/>
  <c r="Q34" i="9" s="1"/>
  <c r="E35" i="9"/>
  <c r="K35" i="9" s="1"/>
  <c r="Q35" i="9" s="1"/>
  <c r="E36" i="9"/>
  <c r="K36" i="9" s="1"/>
  <c r="Q36" i="9" s="1"/>
  <c r="E37" i="9"/>
  <c r="K37" i="9" s="1"/>
  <c r="K12" i="9"/>
  <c r="E12" i="9"/>
  <c r="M31" i="8"/>
  <c r="M28" i="8"/>
  <c r="J28" i="8"/>
  <c r="P28" i="8" s="1"/>
  <c r="S23" i="8"/>
  <c r="M23" i="8"/>
  <c r="J23" i="8"/>
  <c r="M20" i="8"/>
  <c r="G20" i="8"/>
  <c r="J17" i="8"/>
  <c r="D17" i="8"/>
  <c r="J16" i="8"/>
  <c r="P16" i="8" s="1"/>
  <c r="D16" i="8"/>
  <c r="S11" i="8"/>
  <c r="M15" i="8"/>
  <c r="D15" i="8"/>
  <c r="J15" i="8" s="1"/>
  <c r="P15" i="8" s="1"/>
  <c r="G13" i="8"/>
  <c r="J11" i="8"/>
  <c r="D11" i="8"/>
  <c r="D12" i="8"/>
  <c r="J12" i="8" s="1"/>
  <c r="P12" i="8" s="1"/>
  <c r="G12" i="8"/>
  <c r="M12" i="8"/>
  <c r="S12" i="8" s="1"/>
  <c r="D13" i="8"/>
  <c r="J13" i="8" s="1"/>
  <c r="P13" i="8" s="1"/>
  <c r="M13" i="8"/>
  <c r="S13" i="8" s="1"/>
  <c r="D14" i="8"/>
  <c r="J14" i="8" s="1"/>
  <c r="P14" i="8" s="1"/>
  <c r="G14" i="8"/>
  <c r="M14" i="8" s="1"/>
  <c r="S14" i="8" s="1"/>
  <c r="T14" i="8" s="1"/>
  <c r="U14" i="8" s="1"/>
  <c r="G15" i="8"/>
  <c r="S15" i="8"/>
  <c r="G16" i="8"/>
  <c r="M16" i="8" s="1"/>
  <c r="S16" i="8" s="1"/>
  <c r="P17" i="8"/>
  <c r="G17" i="8"/>
  <c r="M17" i="8" s="1"/>
  <c r="S17" i="8" s="1"/>
  <c r="D18" i="8"/>
  <c r="J18" i="8" s="1"/>
  <c r="P18" i="8" s="1"/>
  <c r="G18" i="8"/>
  <c r="M18" i="8"/>
  <c r="S18" i="8" s="1"/>
  <c r="J19" i="8"/>
  <c r="P19" i="8" s="1"/>
  <c r="G19" i="8"/>
  <c r="M19" i="8" s="1"/>
  <c r="S19" i="8" s="1"/>
  <c r="D20" i="8"/>
  <c r="J20" i="8" s="1"/>
  <c r="P20" i="8" s="1"/>
  <c r="S20" i="8"/>
  <c r="D21" i="8"/>
  <c r="J21" i="8" s="1"/>
  <c r="P21" i="8" s="1"/>
  <c r="G21" i="8"/>
  <c r="M21" i="8" s="1"/>
  <c r="S21" i="8" s="1"/>
  <c r="D22" i="8"/>
  <c r="J22" i="8" s="1"/>
  <c r="P22" i="8" s="1"/>
  <c r="G22" i="8"/>
  <c r="M22" i="8" s="1"/>
  <c r="S22" i="8" s="1"/>
  <c r="D23" i="8"/>
  <c r="P23" i="8" s="1"/>
  <c r="G23" i="8"/>
  <c r="D24" i="8"/>
  <c r="J24" i="8" s="1"/>
  <c r="P24" i="8" s="1"/>
  <c r="G24" i="8"/>
  <c r="M24" i="8" s="1"/>
  <c r="S24" i="8" s="1"/>
  <c r="D25" i="8"/>
  <c r="J25" i="8" s="1"/>
  <c r="P25" i="8" s="1"/>
  <c r="G25" i="8"/>
  <c r="M25" i="8"/>
  <c r="S25" i="8" s="1"/>
  <c r="J26" i="8"/>
  <c r="P26" i="8" s="1"/>
  <c r="G26" i="8"/>
  <c r="M26" i="8" s="1"/>
  <c r="S26" i="8" s="1"/>
  <c r="D27" i="8"/>
  <c r="J27" i="8" s="1"/>
  <c r="P27" i="8" s="1"/>
  <c r="G27" i="8"/>
  <c r="M27" i="8"/>
  <c r="S27" i="8" s="1"/>
  <c r="D28" i="8"/>
  <c r="G28" i="8"/>
  <c r="S28" i="8" s="1"/>
  <c r="D29" i="8"/>
  <c r="J29" i="8" s="1"/>
  <c r="P29" i="8" s="1"/>
  <c r="G29" i="8"/>
  <c r="M29" i="8" s="1"/>
  <c r="S29" i="8" s="1"/>
  <c r="T29" i="8" s="1"/>
  <c r="U29" i="8" s="1"/>
  <c r="D30" i="8"/>
  <c r="J30" i="8" s="1"/>
  <c r="P30" i="8" s="1"/>
  <c r="G30" i="8"/>
  <c r="M30" i="8" s="1"/>
  <c r="S30" i="8" s="1"/>
  <c r="D31" i="8"/>
  <c r="J31" i="8" s="1"/>
  <c r="P31" i="8" s="1"/>
  <c r="G31" i="8"/>
  <c r="S31" i="8" s="1"/>
  <c r="D32" i="8"/>
  <c r="J32" i="8" s="1"/>
  <c r="P32" i="8" s="1"/>
  <c r="G32" i="8"/>
  <c r="M32" i="8" s="1"/>
  <c r="S32" i="8" s="1"/>
  <c r="T32" i="8" s="1"/>
  <c r="U32" i="8" s="1"/>
  <c r="D33" i="8"/>
  <c r="J33" i="8" s="1"/>
  <c r="P33" i="8" s="1"/>
  <c r="G33" i="8"/>
  <c r="M33" i="8" s="1"/>
  <c r="S33" i="8" s="1"/>
  <c r="D34" i="8"/>
  <c r="G34" i="8"/>
  <c r="M34" i="8" s="1"/>
  <c r="S34" i="8" s="1"/>
  <c r="T34" i="8" s="1"/>
  <c r="U34" i="8" s="1"/>
  <c r="J34" i="8"/>
  <c r="P34" i="8" s="1"/>
  <c r="D35" i="8"/>
  <c r="J35" i="8" s="1"/>
  <c r="P35" i="8" s="1"/>
  <c r="G35" i="8"/>
  <c r="M35" i="8" s="1"/>
  <c r="S35" i="8" s="1"/>
  <c r="D36" i="8"/>
  <c r="J36" i="8" s="1"/>
  <c r="P36" i="8" s="1"/>
  <c r="G36" i="8"/>
  <c r="M36" i="8"/>
  <c r="S36" i="8"/>
  <c r="G37" i="8"/>
  <c r="J37" i="8"/>
  <c r="P37" i="8" s="1"/>
  <c r="M37" i="8"/>
  <c r="S37" i="8" s="1"/>
  <c r="M11" i="8"/>
  <c r="G11" i="8"/>
  <c r="P11" i="8"/>
  <c r="D28" i="7"/>
  <c r="L24" i="7"/>
  <c r="F24" i="7"/>
  <c r="S23" i="7"/>
  <c r="M23" i="7"/>
  <c r="P23" i="7"/>
  <c r="J23" i="7"/>
  <c r="M22" i="7"/>
  <c r="L21" i="7"/>
  <c r="F21" i="7"/>
  <c r="D17" i="7"/>
  <c r="D16" i="7"/>
  <c r="D18" i="7"/>
  <c r="D15" i="7"/>
  <c r="G11" i="7"/>
  <c r="G12" i="7"/>
  <c r="G13" i="7"/>
  <c r="M13" i="7" s="1"/>
  <c r="S13" i="7" s="1"/>
  <c r="G14" i="7"/>
  <c r="M14" i="7" s="1"/>
  <c r="S14" i="7" s="1"/>
  <c r="T14" i="7" s="1"/>
  <c r="U14" i="7" s="1"/>
  <c r="G15" i="7"/>
  <c r="M15" i="7" s="1"/>
  <c r="S15" i="7" s="1"/>
  <c r="G16" i="7"/>
  <c r="G17" i="7"/>
  <c r="G18" i="7"/>
  <c r="M18" i="7" s="1"/>
  <c r="S18" i="7" s="1"/>
  <c r="G19" i="7"/>
  <c r="G20" i="7"/>
  <c r="M20" i="7" s="1"/>
  <c r="S20" i="7" s="1"/>
  <c r="G21" i="7"/>
  <c r="M21" i="7" s="1"/>
  <c r="S21" i="7" s="1"/>
  <c r="G22" i="7"/>
  <c r="G23" i="7"/>
  <c r="G24" i="7"/>
  <c r="M24" i="7" s="1"/>
  <c r="S24" i="7" s="1"/>
  <c r="G25" i="7"/>
  <c r="G26" i="7"/>
  <c r="M26" i="7" s="1"/>
  <c r="S26" i="7" s="1"/>
  <c r="G27" i="7"/>
  <c r="M27" i="7" s="1"/>
  <c r="S27" i="7" s="1"/>
  <c r="G28" i="7"/>
  <c r="G29" i="7"/>
  <c r="G30" i="7"/>
  <c r="M30" i="7" s="1"/>
  <c r="S30" i="7" s="1"/>
  <c r="G31" i="7"/>
  <c r="M31" i="7" s="1"/>
  <c r="S31" i="7" s="1"/>
  <c r="G32" i="7"/>
  <c r="M32" i="7" s="1"/>
  <c r="S32" i="7" s="1"/>
  <c r="G33" i="7"/>
  <c r="M33" i="7" s="1"/>
  <c r="S33" i="7" s="1"/>
  <c r="G34" i="7"/>
  <c r="G35" i="7"/>
  <c r="M35" i="7" s="1"/>
  <c r="S35" i="7" s="1"/>
  <c r="T35" i="7" s="1"/>
  <c r="U35" i="7" s="1"/>
  <c r="G36" i="7"/>
  <c r="G37" i="7"/>
  <c r="M37" i="7" s="1"/>
  <c r="S37" i="7" s="1"/>
  <c r="G10" i="7"/>
  <c r="M10" i="7" s="1"/>
  <c r="S10" i="7" s="1"/>
  <c r="D10" i="7"/>
  <c r="J10" i="7" s="1"/>
  <c r="P10" i="7" s="1"/>
  <c r="D11" i="7"/>
  <c r="M11" i="7"/>
  <c r="S11" i="7" s="1"/>
  <c r="J11" i="7"/>
  <c r="P11" i="7" s="1"/>
  <c r="D12" i="7"/>
  <c r="M12" i="7"/>
  <c r="S12" i="7" s="1"/>
  <c r="J12" i="7"/>
  <c r="P12" i="7" s="1"/>
  <c r="D13" i="7"/>
  <c r="J13" i="7" s="1"/>
  <c r="P13" i="7" s="1"/>
  <c r="D14" i="7"/>
  <c r="J14" i="7"/>
  <c r="P14" i="7"/>
  <c r="J15" i="7"/>
  <c r="P15" i="7" s="1"/>
  <c r="J16" i="7"/>
  <c r="P16" i="7" s="1"/>
  <c r="M16" i="7"/>
  <c r="S16" i="7" s="1"/>
  <c r="J17" i="7"/>
  <c r="P17" i="7" s="1"/>
  <c r="M17" i="7"/>
  <c r="S17" i="7" s="1"/>
  <c r="J18" i="7"/>
  <c r="P18" i="7" s="1"/>
  <c r="D19" i="7"/>
  <c r="J19" i="7" s="1"/>
  <c r="P19" i="7" s="1"/>
  <c r="M19" i="7"/>
  <c r="S19" i="7" s="1"/>
  <c r="D20" i="7"/>
  <c r="J20" i="7" s="1"/>
  <c r="P20" i="7" s="1"/>
  <c r="D21" i="7"/>
  <c r="J21" i="7" s="1"/>
  <c r="P21" i="7" s="1"/>
  <c r="D22" i="7"/>
  <c r="J22" i="7" s="1"/>
  <c r="P22" i="7" s="1"/>
  <c r="S22" i="7"/>
  <c r="D23" i="7"/>
  <c r="D24" i="7"/>
  <c r="J24" i="7" s="1"/>
  <c r="P24" i="7" s="1"/>
  <c r="D25" i="7"/>
  <c r="J25" i="7" s="1"/>
  <c r="P25" i="7" s="1"/>
  <c r="M25" i="7"/>
  <c r="S25" i="7" s="1"/>
  <c r="J26" i="7"/>
  <c r="P26" i="7"/>
  <c r="D27" i="7"/>
  <c r="J27" i="7" s="1"/>
  <c r="P27" i="7" s="1"/>
  <c r="J28" i="7"/>
  <c r="P28" i="7" s="1"/>
  <c r="M28" i="7"/>
  <c r="S28" i="7" s="1"/>
  <c r="D29" i="7"/>
  <c r="J29" i="7" s="1"/>
  <c r="P29" i="7" s="1"/>
  <c r="M29" i="7"/>
  <c r="S29" i="7" s="1"/>
  <c r="D30" i="7"/>
  <c r="J30" i="7"/>
  <c r="P30" i="7" s="1"/>
  <c r="D31" i="7"/>
  <c r="J31" i="7" s="1"/>
  <c r="P31" i="7" s="1"/>
  <c r="D32" i="7"/>
  <c r="J32" i="7" s="1"/>
  <c r="P32" i="7" s="1"/>
  <c r="D33" i="7"/>
  <c r="J33" i="7" s="1"/>
  <c r="P33" i="7" s="1"/>
  <c r="D34" i="7"/>
  <c r="J34" i="7" s="1"/>
  <c r="P34" i="7" s="1"/>
  <c r="M34" i="7"/>
  <c r="S34" i="7" s="1"/>
  <c r="D35" i="7"/>
  <c r="J35" i="7"/>
  <c r="P35" i="7"/>
  <c r="D36" i="7"/>
  <c r="M36" i="7"/>
  <c r="S36" i="7" s="1"/>
  <c r="J36" i="7"/>
  <c r="P36" i="7" s="1"/>
  <c r="J37" i="7"/>
  <c r="P37" i="7" s="1"/>
  <c r="AI34" i="1"/>
  <c r="AI33" i="1"/>
  <c r="AH33" i="1"/>
  <c r="AI32" i="1"/>
  <c r="AH32" i="1"/>
  <c r="AG32" i="1"/>
  <c r="AI31" i="1"/>
  <c r="AH31" i="1"/>
  <c r="AG31" i="1"/>
  <c r="AF31" i="1"/>
  <c r="AI30" i="1"/>
  <c r="AH30" i="1"/>
  <c r="AG30" i="1"/>
  <c r="AF30" i="1"/>
  <c r="AE30" i="1"/>
  <c r="AI29" i="1"/>
  <c r="AH29" i="1"/>
  <c r="AG29" i="1"/>
  <c r="AF29" i="1"/>
  <c r="AE29" i="1"/>
  <c r="AD29" i="1"/>
  <c r="AI28" i="1"/>
  <c r="AH28" i="1"/>
  <c r="AG28" i="1"/>
  <c r="AF28" i="1"/>
  <c r="AE28" i="1"/>
  <c r="AD28" i="1"/>
  <c r="AC28" i="1"/>
  <c r="AI27" i="1"/>
  <c r="AH27" i="1"/>
  <c r="AG27" i="1"/>
  <c r="AF27" i="1"/>
  <c r="AE27" i="1"/>
  <c r="AD27" i="1"/>
  <c r="AC27" i="1"/>
  <c r="AB27" i="1"/>
  <c r="AI26" i="1"/>
  <c r="AH26" i="1"/>
  <c r="AG26" i="1"/>
  <c r="AF26" i="1"/>
  <c r="AE26" i="1"/>
  <c r="AD26" i="1"/>
  <c r="AC26" i="1"/>
  <c r="AB26" i="1"/>
  <c r="AA26" i="1"/>
  <c r="AI25" i="1"/>
  <c r="AH25" i="1"/>
  <c r="AG25" i="1"/>
  <c r="AF25" i="1"/>
  <c r="AE25" i="1"/>
  <c r="AD25" i="1"/>
  <c r="AC25" i="1"/>
  <c r="AB25" i="1"/>
  <c r="AA25" i="1"/>
  <c r="Z25" i="1"/>
  <c r="AI24" i="1"/>
  <c r="AH24" i="1"/>
  <c r="AG24" i="1"/>
  <c r="AF24" i="1"/>
  <c r="AE24" i="1"/>
  <c r="AD24" i="1"/>
  <c r="AC24" i="1"/>
  <c r="AB24" i="1"/>
  <c r="AA24" i="1"/>
  <c r="Z24" i="1"/>
  <c r="Y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AI17" i="1"/>
  <c r="AH17" i="1"/>
  <c r="AG17" i="1"/>
  <c r="AF17" i="1"/>
  <c r="AE17" i="1"/>
  <c r="AD17" i="1"/>
  <c r="AC17" i="1"/>
  <c r="AB17" i="1"/>
  <c r="AA16" i="1"/>
  <c r="AA17" i="1"/>
  <c r="Z17" i="1"/>
  <c r="Y17" i="1"/>
  <c r="X17" i="1"/>
  <c r="W17" i="1"/>
  <c r="V17" i="1"/>
  <c r="U17" i="1"/>
  <c r="T17" i="1"/>
  <c r="S17" i="1"/>
  <c r="R17" i="1"/>
  <c r="AI16" i="1"/>
  <c r="AH16" i="1"/>
  <c r="AG16" i="1"/>
  <c r="AF16" i="1"/>
  <c r="AE16" i="1"/>
  <c r="AD16" i="1"/>
  <c r="AC16" i="1"/>
  <c r="AB16" i="1"/>
  <c r="Z16" i="1"/>
  <c r="Y16" i="1"/>
  <c r="X16" i="1"/>
  <c r="W16" i="1"/>
  <c r="V16" i="1"/>
  <c r="U16" i="1"/>
  <c r="T16" i="1"/>
  <c r="S16" i="1"/>
  <c r="R16" i="1"/>
  <c r="Q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M36" i="6"/>
  <c r="P33" i="6"/>
  <c r="L33" i="6"/>
  <c r="J31" i="6"/>
  <c r="D31" i="6"/>
  <c r="F31" i="6"/>
  <c r="G31" i="6" s="1"/>
  <c r="M31" i="6" s="1"/>
  <c r="S31" i="6" s="1"/>
  <c r="S29" i="6"/>
  <c r="R29" i="6"/>
  <c r="L29" i="6"/>
  <c r="F26" i="6"/>
  <c r="G26" i="6" s="1"/>
  <c r="M26" i="6" s="1"/>
  <c r="S26" i="6" s="1"/>
  <c r="F25" i="6"/>
  <c r="G25" i="6" s="1"/>
  <c r="M25" i="6" s="1"/>
  <c r="S25" i="6" s="1"/>
  <c r="P23" i="6"/>
  <c r="J23" i="6"/>
  <c r="L21" i="6"/>
  <c r="F19" i="6"/>
  <c r="L17" i="6"/>
  <c r="R16" i="6"/>
  <c r="L16" i="6"/>
  <c r="J13" i="6"/>
  <c r="D13" i="6"/>
  <c r="P12" i="6"/>
  <c r="L11" i="6"/>
  <c r="P10" i="6"/>
  <c r="S10" i="6"/>
  <c r="P18" i="6"/>
  <c r="S18" i="6"/>
  <c r="S21" i="6"/>
  <c r="P22" i="6"/>
  <c r="S22" i="6"/>
  <c r="S28" i="6"/>
  <c r="P29" i="6"/>
  <c r="P30" i="6"/>
  <c r="S30" i="6"/>
  <c r="S34" i="6"/>
  <c r="S35" i="6"/>
  <c r="S9" i="6"/>
  <c r="P9" i="6"/>
  <c r="D9" i="6"/>
  <c r="D10" i="6"/>
  <c r="J10" i="6" s="1"/>
  <c r="G10" i="6"/>
  <c r="M10" i="6" s="1"/>
  <c r="T10" i="6" s="1"/>
  <c r="U10" i="6" s="1"/>
  <c r="D11" i="6"/>
  <c r="J11" i="6" s="1"/>
  <c r="P11" i="6" s="1"/>
  <c r="G11" i="6"/>
  <c r="M11" i="6"/>
  <c r="S11" i="6" s="1"/>
  <c r="D12" i="6"/>
  <c r="J12" i="6" s="1"/>
  <c r="G12" i="6"/>
  <c r="M12" i="6" s="1"/>
  <c r="S12" i="6" s="1"/>
  <c r="P13" i="6"/>
  <c r="G13" i="6"/>
  <c r="M13" i="6" s="1"/>
  <c r="S13" i="6" s="1"/>
  <c r="D14" i="6"/>
  <c r="J14" i="6" s="1"/>
  <c r="P14" i="6" s="1"/>
  <c r="G14" i="6"/>
  <c r="M14" i="6"/>
  <c r="S14" i="6" s="1"/>
  <c r="D15" i="6"/>
  <c r="J15" i="6" s="1"/>
  <c r="P15" i="6" s="1"/>
  <c r="G15" i="6"/>
  <c r="M15" i="6" s="1"/>
  <c r="S15" i="6" s="1"/>
  <c r="D16" i="6"/>
  <c r="J16" i="6" s="1"/>
  <c r="P16" i="6" s="1"/>
  <c r="G16" i="6"/>
  <c r="M16" i="6" s="1"/>
  <c r="D17" i="6"/>
  <c r="G17" i="6"/>
  <c r="M17" i="6" s="1"/>
  <c r="S17" i="6" s="1"/>
  <c r="J17" i="6"/>
  <c r="P17" i="6" s="1"/>
  <c r="D18" i="6"/>
  <c r="J18" i="6" s="1"/>
  <c r="G18" i="6"/>
  <c r="M18" i="6" s="1"/>
  <c r="J19" i="6"/>
  <c r="P19" i="6" s="1"/>
  <c r="G19" i="6"/>
  <c r="M19" i="6" s="1"/>
  <c r="D20" i="6"/>
  <c r="G20" i="6"/>
  <c r="J20" i="6"/>
  <c r="P20" i="6" s="1"/>
  <c r="M20" i="6"/>
  <c r="S20" i="6" s="1"/>
  <c r="D21" i="6"/>
  <c r="J21" i="6" s="1"/>
  <c r="P21" i="6" s="1"/>
  <c r="G21" i="6"/>
  <c r="M21" i="6" s="1"/>
  <c r="D22" i="6"/>
  <c r="J22" i="6" s="1"/>
  <c r="G22" i="6"/>
  <c r="M22" i="6" s="1"/>
  <c r="D23" i="6"/>
  <c r="G23" i="6"/>
  <c r="M23" i="6" s="1"/>
  <c r="S23" i="6" s="1"/>
  <c r="D24" i="6"/>
  <c r="J24" i="6" s="1"/>
  <c r="P24" i="6" s="1"/>
  <c r="G24" i="6"/>
  <c r="M24" i="6" s="1"/>
  <c r="S24" i="6" s="1"/>
  <c r="D25" i="6"/>
  <c r="J25" i="6" s="1"/>
  <c r="P25" i="6" s="1"/>
  <c r="D26" i="6"/>
  <c r="J26" i="6" s="1"/>
  <c r="P26" i="6" s="1"/>
  <c r="D27" i="6"/>
  <c r="J27" i="6" s="1"/>
  <c r="P27" i="6" s="1"/>
  <c r="G27" i="6"/>
  <c r="M27" i="6" s="1"/>
  <c r="S27" i="6" s="1"/>
  <c r="D28" i="6"/>
  <c r="J28" i="6" s="1"/>
  <c r="P28" i="6" s="1"/>
  <c r="G28" i="6"/>
  <c r="M28" i="6" s="1"/>
  <c r="D29" i="6"/>
  <c r="G29" i="6"/>
  <c r="J29" i="6"/>
  <c r="M29" i="6"/>
  <c r="D30" i="6"/>
  <c r="J30" i="6" s="1"/>
  <c r="G30" i="6"/>
  <c r="M30" i="6" s="1"/>
  <c r="P31" i="6"/>
  <c r="D32" i="6"/>
  <c r="J32" i="6" s="1"/>
  <c r="P32" i="6" s="1"/>
  <c r="G32" i="6"/>
  <c r="M32" i="6"/>
  <c r="S32" i="6" s="1"/>
  <c r="D33" i="6"/>
  <c r="J33" i="6" s="1"/>
  <c r="G33" i="6"/>
  <c r="M33" i="6" s="1"/>
  <c r="S33" i="6" s="1"/>
  <c r="D34" i="6"/>
  <c r="J34" i="6" s="1"/>
  <c r="P34" i="6" s="1"/>
  <c r="G34" i="6"/>
  <c r="M34" i="6" s="1"/>
  <c r="D35" i="6"/>
  <c r="G35" i="6"/>
  <c r="J35" i="6"/>
  <c r="P35" i="6" s="1"/>
  <c r="M35" i="6"/>
  <c r="D36" i="6"/>
  <c r="J36" i="6" s="1"/>
  <c r="P36" i="6" s="1"/>
  <c r="G36" i="6"/>
  <c r="S36" i="6" s="1"/>
  <c r="G37" i="6"/>
  <c r="M37" i="6" s="1"/>
  <c r="S37" i="6" s="1"/>
  <c r="J37" i="6"/>
  <c r="P37" i="6" s="1"/>
  <c r="M9" i="6"/>
  <c r="G9" i="6"/>
  <c r="J9" i="6"/>
  <c r="R35" i="5"/>
  <c r="L35" i="5"/>
  <c r="F35" i="5"/>
  <c r="G35" i="5" s="1"/>
  <c r="M35" i="5" s="1"/>
  <c r="S35" i="5" s="1"/>
  <c r="J31" i="5"/>
  <c r="D31" i="5"/>
  <c r="F21" i="5"/>
  <c r="D17" i="5"/>
  <c r="D18" i="5"/>
  <c r="J18" i="5" s="1"/>
  <c r="P18" i="5" s="1"/>
  <c r="L15" i="5"/>
  <c r="J15" i="5"/>
  <c r="F15" i="5"/>
  <c r="S8" i="5"/>
  <c r="S9" i="5"/>
  <c r="S10" i="5"/>
  <c r="S11" i="5"/>
  <c r="S12" i="5"/>
  <c r="S13" i="5"/>
  <c r="P11" i="5"/>
  <c r="J10" i="5"/>
  <c r="P10" i="5" s="1"/>
  <c r="D10" i="5"/>
  <c r="G10" i="5"/>
  <c r="G11" i="5"/>
  <c r="M11" i="5" s="1"/>
  <c r="G12" i="5"/>
  <c r="G13" i="5"/>
  <c r="M13" i="5" s="1"/>
  <c r="G14" i="5"/>
  <c r="M14" i="5" s="1"/>
  <c r="S14" i="5" s="1"/>
  <c r="G15" i="5"/>
  <c r="M15" i="5" s="1"/>
  <c r="S15" i="5" s="1"/>
  <c r="G16" i="5"/>
  <c r="M16" i="5" s="1"/>
  <c r="S16" i="5" s="1"/>
  <c r="G17" i="5"/>
  <c r="M17" i="5" s="1"/>
  <c r="S17" i="5" s="1"/>
  <c r="G18" i="5"/>
  <c r="M18" i="5" s="1"/>
  <c r="S18" i="5" s="1"/>
  <c r="G19" i="5"/>
  <c r="M19" i="5" s="1"/>
  <c r="S19" i="5" s="1"/>
  <c r="G20" i="5"/>
  <c r="G21" i="5"/>
  <c r="M21" i="5" s="1"/>
  <c r="S21" i="5" s="1"/>
  <c r="G22" i="5"/>
  <c r="G23" i="5"/>
  <c r="G24" i="5"/>
  <c r="G25" i="5"/>
  <c r="G26" i="5"/>
  <c r="M26" i="5" s="1"/>
  <c r="S26" i="5" s="1"/>
  <c r="G27" i="5"/>
  <c r="M27" i="5" s="1"/>
  <c r="S27" i="5" s="1"/>
  <c r="G28" i="5"/>
  <c r="M28" i="5" s="1"/>
  <c r="S28" i="5" s="1"/>
  <c r="G29" i="5"/>
  <c r="G30" i="5"/>
  <c r="G31" i="5"/>
  <c r="G32" i="5"/>
  <c r="M32" i="5" s="1"/>
  <c r="S32" i="5" s="1"/>
  <c r="G33" i="5"/>
  <c r="M33" i="5" s="1"/>
  <c r="S33" i="5" s="1"/>
  <c r="G34" i="5"/>
  <c r="M34" i="5" s="1"/>
  <c r="S34" i="5" s="1"/>
  <c r="G36" i="5"/>
  <c r="G37" i="5"/>
  <c r="G8" i="5"/>
  <c r="G9" i="5"/>
  <c r="M9" i="5" s="1"/>
  <c r="M10" i="5"/>
  <c r="M12" i="5"/>
  <c r="M20" i="5"/>
  <c r="S20" i="5" s="1"/>
  <c r="M22" i="5"/>
  <c r="S22" i="5" s="1"/>
  <c r="M23" i="5"/>
  <c r="S23" i="5" s="1"/>
  <c r="M24" i="5"/>
  <c r="S24" i="5" s="1"/>
  <c r="M25" i="5"/>
  <c r="S25" i="5" s="1"/>
  <c r="M29" i="5"/>
  <c r="S29" i="5" s="1"/>
  <c r="M30" i="5"/>
  <c r="S30" i="5" s="1"/>
  <c r="M31" i="5"/>
  <c r="S31" i="5" s="1"/>
  <c r="M36" i="5"/>
  <c r="S36" i="5" s="1"/>
  <c r="M37" i="5"/>
  <c r="S37" i="5" s="1"/>
  <c r="M8" i="5"/>
  <c r="D11" i="5"/>
  <c r="J11" i="5" s="1"/>
  <c r="D12" i="5"/>
  <c r="J12" i="5" s="1"/>
  <c r="P12" i="5" s="1"/>
  <c r="D13" i="5"/>
  <c r="J13" i="5" s="1"/>
  <c r="P13" i="5" s="1"/>
  <c r="D14" i="5"/>
  <c r="J14" i="5" s="1"/>
  <c r="P14" i="5" s="1"/>
  <c r="D15" i="5"/>
  <c r="D16" i="5"/>
  <c r="J16" i="5" s="1"/>
  <c r="P16" i="5" s="1"/>
  <c r="J17" i="5"/>
  <c r="P17" i="5" s="1"/>
  <c r="J19" i="5"/>
  <c r="P19" i="5" s="1"/>
  <c r="D20" i="5"/>
  <c r="J20" i="5" s="1"/>
  <c r="P20" i="5" s="1"/>
  <c r="D21" i="5"/>
  <c r="J21" i="5" s="1"/>
  <c r="P21" i="5" s="1"/>
  <c r="D22" i="5"/>
  <c r="J22" i="5" s="1"/>
  <c r="P22" i="5" s="1"/>
  <c r="D23" i="5"/>
  <c r="J23" i="5" s="1"/>
  <c r="P23" i="5" s="1"/>
  <c r="D24" i="5"/>
  <c r="J24" i="5" s="1"/>
  <c r="P24" i="5" s="1"/>
  <c r="D25" i="5"/>
  <c r="J25" i="5" s="1"/>
  <c r="P25" i="5" s="1"/>
  <c r="D26" i="5"/>
  <c r="J26" i="5" s="1"/>
  <c r="P26" i="5" s="1"/>
  <c r="D27" i="5"/>
  <c r="J27" i="5" s="1"/>
  <c r="P27" i="5" s="1"/>
  <c r="D28" i="5"/>
  <c r="J28" i="5" s="1"/>
  <c r="P28" i="5" s="1"/>
  <c r="D29" i="5"/>
  <c r="J29" i="5" s="1"/>
  <c r="P29" i="5" s="1"/>
  <c r="D30" i="5"/>
  <c r="J30" i="5" s="1"/>
  <c r="P30" i="5" s="1"/>
  <c r="P31" i="5"/>
  <c r="D32" i="5"/>
  <c r="J32" i="5" s="1"/>
  <c r="P32" i="5" s="1"/>
  <c r="D33" i="5"/>
  <c r="J33" i="5" s="1"/>
  <c r="P33" i="5" s="1"/>
  <c r="D34" i="5"/>
  <c r="J34" i="5" s="1"/>
  <c r="P34" i="5" s="1"/>
  <c r="D35" i="5"/>
  <c r="J35" i="5" s="1"/>
  <c r="P35" i="5" s="1"/>
  <c r="D36" i="5"/>
  <c r="J36" i="5" s="1"/>
  <c r="P36" i="5" s="1"/>
  <c r="J37" i="5"/>
  <c r="P37" i="5" s="1"/>
  <c r="P9" i="5"/>
  <c r="J9" i="5"/>
  <c r="D9" i="5"/>
  <c r="J8" i="5"/>
  <c r="P8" i="5" s="1"/>
  <c r="D8" i="5"/>
  <c r="D34" i="4"/>
  <c r="R30" i="4"/>
  <c r="D30" i="4"/>
  <c r="D29" i="3"/>
  <c r="J29" i="4"/>
  <c r="J17" i="4"/>
  <c r="M16" i="3"/>
  <c r="P12" i="4"/>
  <c r="R12" i="4"/>
  <c r="D11" i="4"/>
  <c r="D10" i="4"/>
  <c r="J10" i="4" s="1"/>
  <c r="P10" i="4" s="1"/>
  <c r="J8" i="4"/>
  <c r="D8" i="4"/>
  <c r="M15" i="4"/>
  <c r="S15" i="4" s="1"/>
  <c r="M24" i="4"/>
  <c r="S24" i="4" s="1"/>
  <c r="M29" i="4"/>
  <c r="S29" i="4" s="1"/>
  <c r="M30" i="4"/>
  <c r="S30" i="4" s="1"/>
  <c r="J18" i="4"/>
  <c r="P18" i="4" s="1"/>
  <c r="P30" i="4"/>
  <c r="G9" i="4"/>
  <c r="M9" i="4" s="1"/>
  <c r="S9" i="4" s="1"/>
  <c r="G10" i="4"/>
  <c r="M10" i="4" s="1"/>
  <c r="S10" i="4" s="1"/>
  <c r="G11" i="4"/>
  <c r="M11" i="4" s="1"/>
  <c r="S11" i="4" s="1"/>
  <c r="G12" i="4"/>
  <c r="M12" i="4" s="1"/>
  <c r="S12" i="4" s="1"/>
  <c r="G13" i="4"/>
  <c r="M13" i="4" s="1"/>
  <c r="S13" i="4" s="1"/>
  <c r="G14" i="4"/>
  <c r="M14" i="4" s="1"/>
  <c r="S14" i="4" s="1"/>
  <c r="G15" i="4"/>
  <c r="G16" i="4"/>
  <c r="M16" i="4" s="1"/>
  <c r="S16" i="4" s="1"/>
  <c r="G17" i="4"/>
  <c r="M17" i="4" s="1"/>
  <c r="S17" i="4" s="1"/>
  <c r="G18" i="4"/>
  <c r="M18" i="4" s="1"/>
  <c r="S18" i="4" s="1"/>
  <c r="G19" i="4"/>
  <c r="M19" i="4" s="1"/>
  <c r="S19" i="4" s="1"/>
  <c r="G20" i="4"/>
  <c r="M20" i="4" s="1"/>
  <c r="S20" i="4" s="1"/>
  <c r="G21" i="4"/>
  <c r="M21" i="4" s="1"/>
  <c r="S21" i="4" s="1"/>
  <c r="G22" i="4"/>
  <c r="M22" i="4" s="1"/>
  <c r="S22" i="4" s="1"/>
  <c r="G23" i="4"/>
  <c r="M23" i="4" s="1"/>
  <c r="S23" i="4" s="1"/>
  <c r="G24" i="4"/>
  <c r="G25" i="4"/>
  <c r="M25" i="4" s="1"/>
  <c r="S25" i="4" s="1"/>
  <c r="G26" i="4"/>
  <c r="M26" i="4" s="1"/>
  <c r="S26" i="4" s="1"/>
  <c r="G27" i="4"/>
  <c r="M27" i="4" s="1"/>
  <c r="S27" i="4" s="1"/>
  <c r="T27" i="4" s="1"/>
  <c r="U27" i="4" s="1"/>
  <c r="G28" i="4"/>
  <c r="M28" i="4" s="1"/>
  <c r="S28" i="4" s="1"/>
  <c r="G29" i="4"/>
  <c r="G30" i="4"/>
  <c r="G31" i="4"/>
  <c r="M31" i="4" s="1"/>
  <c r="S31" i="4" s="1"/>
  <c r="G32" i="4"/>
  <c r="M32" i="4" s="1"/>
  <c r="S32" i="4" s="1"/>
  <c r="G33" i="4"/>
  <c r="M33" i="4" s="1"/>
  <c r="S33" i="4" s="1"/>
  <c r="T33" i="4" s="1"/>
  <c r="U33" i="4" s="1"/>
  <c r="G34" i="4"/>
  <c r="M34" i="4" s="1"/>
  <c r="S34" i="4" s="1"/>
  <c r="G35" i="4"/>
  <c r="M35" i="4" s="1"/>
  <c r="S35" i="4" s="1"/>
  <c r="G36" i="4"/>
  <c r="M36" i="4" s="1"/>
  <c r="S36" i="4" s="1"/>
  <c r="G37" i="4"/>
  <c r="M37" i="4" s="1"/>
  <c r="S37" i="4" s="1"/>
  <c r="G38" i="4"/>
  <c r="M38" i="4" s="1"/>
  <c r="S38" i="4" s="1"/>
  <c r="D9" i="4"/>
  <c r="J9" i="4" s="1"/>
  <c r="P9" i="4" s="1"/>
  <c r="J12" i="4"/>
  <c r="D13" i="4"/>
  <c r="J13" i="4" s="1"/>
  <c r="P13" i="4" s="1"/>
  <c r="D14" i="4"/>
  <c r="J14" i="4" s="1"/>
  <c r="P14" i="4" s="1"/>
  <c r="D15" i="4"/>
  <c r="J15" i="4" s="1"/>
  <c r="P15" i="4" s="1"/>
  <c r="D16" i="4"/>
  <c r="J16" i="4" s="1"/>
  <c r="P16" i="4" s="1"/>
  <c r="D17" i="4"/>
  <c r="D18" i="4"/>
  <c r="D19" i="4"/>
  <c r="J19" i="4" s="1"/>
  <c r="P19" i="4" s="1"/>
  <c r="J20" i="4"/>
  <c r="P20" i="4" s="1"/>
  <c r="D21" i="4"/>
  <c r="J21" i="4" s="1"/>
  <c r="P21" i="4" s="1"/>
  <c r="D22" i="4"/>
  <c r="J22" i="4" s="1"/>
  <c r="P22" i="4" s="1"/>
  <c r="D23" i="4"/>
  <c r="J23" i="4" s="1"/>
  <c r="P23" i="4" s="1"/>
  <c r="D24" i="4"/>
  <c r="J24" i="4" s="1"/>
  <c r="P24" i="4" s="1"/>
  <c r="D25" i="4"/>
  <c r="J25" i="4" s="1"/>
  <c r="P25" i="4" s="1"/>
  <c r="D26" i="4"/>
  <c r="J26" i="4" s="1"/>
  <c r="P26" i="4" s="1"/>
  <c r="D27" i="4"/>
  <c r="J27" i="4" s="1"/>
  <c r="P27" i="4" s="1"/>
  <c r="D28" i="4"/>
  <c r="J28" i="4" s="1"/>
  <c r="P28" i="4" s="1"/>
  <c r="D29" i="4"/>
  <c r="D31" i="4"/>
  <c r="J31" i="4" s="1"/>
  <c r="P31" i="4" s="1"/>
  <c r="D32" i="4"/>
  <c r="J32" i="4" s="1"/>
  <c r="P32" i="4" s="1"/>
  <c r="D33" i="4"/>
  <c r="J33" i="4" s="1"/>
  <c r="P33" i="4" s="1"/>
  <c r="J34" i="4"/>
  <c r="P34" i="4" s="1"/>
  <c r="D35" i="4"/>
  <c r="J35" i="4" s="1"/>
  <c r="P35" i="4" s="1"/>
  <c r="D36" i="4"/>
  <c r="J36" i="4" s="1"/>
  <c r="P36" i="4" s="1"/>
  <c r="D37" i="4"/>
  <c r="J37" i="4" s="1"/>
  <c r="P37" i="4" s="1"/>
  <c r="D38" i="4"/>
  <c r="J38" i="4" s="1"/>
  <c r="P38" i="4" s="1"/>
  <c r="P8" i="4"/>
  <c r="G8" i="4"/>
  <c r="M8" i="4" s="1"/>
  <c r="S8" i="4" s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AI5" i="1"/>
  <c r="O5" i="1"/>
  <c r="N5" i="1"/>
  <c r="M5" i="1"/>
  <c r="L5" i="1"/>
  <c r="K5" i="1"/>
  <c r="J5" i="1"/>
  <c r="I5" i="1"/>
  <c r="H5" i="1"/>
  <c r="G5" i="1"/>
  <c r="F5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AH3" i="1"/>
  <c r="AG3" i="1"/>
  <c r="AF3" i="1"/>
  <c r="AE3" i="1"/>
  <c r="AB3" i="1"/>
  <c r="AA3" i="1"/>
  <c r="Z3" i="1"/>
  <c r="Y3" i="1"/>
  <c r="V3" i="1"/>
  <c r="U3" i="1"/>
  <c r="T3" i="1"/>
  <c r="S3" i="1"/>
  <c r="P3" i="1"/>
  <c r="O3" i="1"/>
  <c r="N3" i="1"/>
  <c r="M3" i="1"/>
  <c r="J3" i="1"/>
  <c r="I3" i="1"/>
  <c r="H3" i="1"/>
  <c r="G3" i="1"/>
  <c r="M31" i="3"/>
  <c r="J31" i="3"/>
  <c r="R29" i="3"/>
  <c r="S29" i="3" s="1"/>
  <c r="P29" i="3"/>
  <c r="J29" i="3"/>
  <c r="S28" i="3"/>
  <c r="J28" i="3"/>
  <c r="G22" i="3"/>
  <c r="M22" i="3" s="1"/>
  <c r="S22" i="3" s="1"/>
  <c r="G23" i="3"/>
  <c r="G24" i="3"/>
  <c r="G25" i="3"/>
  <c r="M25" i="3" s="1"/>
  <c r="S25" i="3" s="1"/>
  <c r="G26" i="3"/>
  <c r="M26" i="3" s="1"/>
  <c r="S26" i="3" s="1"/>
  <c r="G27" i="3"/>
  <c r="M27" i="3" s="1"/>
  <c r="S27" i="3" s="1"/>
  <c r="G28" i="3"/>
  <c r="M28" i="3" s="1"/>
  <c r="G29" i="3"/>
  <c r="M29" i="3" s="1"/>
  <c r="G30" i="3"/>
  <c r="M30" i="3" s="1"/>
  <c r="S30" i="3" s="1"/>
  <c r="G31" i="3"/>
  <c r="G32" i="3"/>
  <c r="M32" i="3" s="1"/>
  <c r="S32" i="3" s="1"/>
  <c r="G33" i="3"/>
  <c r="M33" i="3" s="1"/>
  <c r="S33" i="3" s="1"/>
  <c r="G34" i="3"/>
  <c r="M34" i="3" s="1"/>
  <c r="S34" i="3" s="1"/>
  <c r="G35" i="3"/>
  <c r="M35" i="3" s="1"/>
  <c r="S35" i="3" s="1"/>
  <c r="G36" i="3"/>
  <c r="M36" i="3" s="1"/>
  <c r="S36" i="3" s="1"/>
  <c r="G37" i="3"/>
  <c r="G11" i="3"/>
  <c r="M11" i="3" s="1"/>
  <c r="G12" i="3"/>
  <c r="M12" i="3" s="1"/>
  <c r="S12" i="3" s="1"/>
  <c r="G13" i="3"/>
  <c r="M13" i="3" s="1"/>
  <c r="S13" i="3" s="1"/>
  <c r="G14" i="3"/>
  <c r="M14" i="3" s="1"/>
  <c r="S14" i="3" s="1"/>
  <c r="G15" i="3"/>
  <c r="M15" i="3" s="1"/>
  <c r="S15" i="3" s="1"/>
  <c r="G16" i="3"/>
  <c r="G17" i="3"/>
  <c r="M17" i="3" s="1"/>
  <c r="S17" i="3" s="1"/>
  <c r="G18" i="3"/>
  <c r="M18" i="3" s="1"/>
  <c r="S18" i="3" s="1"/>
  <c r="G19" i="3"/>
  <c r="M19" i="3" s="1"/>
  <c r="S19" i="3" s="1"/>
  <c r="G20" i="3"/>
  <c r="M20" i="3" s="1"/>
  <c r="S20" i="3" s="1"/>
  <c r="G21" i="3"/>
  <c r="M21" i="3" s="1"/>
  <c r="S21" i="3" s="1"/>
  <c r="G6" i="3"/>
  <c r="M6" i="3" s="1"/>
  <c r="S6" i="3" s="1"/>
  <c r="G7" i="3"/>
  <c r="M7" i="3" s="1"/>
  <c r="S7" i="3" s="1"/>
  <c r="G8" i="3"/>
  <c r="M8" i="3" s="1"/>
  <c r="S8" i="3" s="1"/>
  <c r="G9" i="3"/>
  <c r="M9" i="3" s="1"/>
  <c r="S9" i="3" s="1"/>
  <c r="G10" i="3"/>
  <c r="M10" i="3" s="1"/>
  <c r="S10" i="3" s="1"/>
  <c r="D18" i="3"/>
  <c r="M37" i="3"/>
  <c r="S37" i="3" s="1"/>
  <c r="D14" i="3"/>
  <c r="R11" i="3"/>
  <c r="D11" i="3"/>
  <c r="J11" i="3" s="1"/>
  <c r="D10" i="3"/>
  <c r="J10" i="3" s="1"/>
  <c r="D9" i="3"/>
  <c r="J9" i="3" s="1"/>
  <c r="P9" i="3" s="1"/>
  <c r="D7" i="3"/>
  <c r="J7" i="3" s="1"/>
  <c r="P7" i="3" s="1"/>
  <c r="M23" i="3"/>
  <c r="S23" i="3" s="1"/>
  <c r="M24" i="3"/>
  <c r="S24" i="3" s="1"/>
  <c r="D8" i="3"/>
  <c r="J8" i="3" s="1"/>
  <c r="P8" i="3" s="1"/>
  <c r="D12" i="3"/>
  <c r="J12" i="3" s="1"/>
  <c r="P12" i="3" s="1"/>
  <c r="D13" i="3"/>
  <c r="J13" i="3" s="1"/>
  <c r="P13" i="3" s="1"/>
  <c r="J14" i="3"/>
  <c r="P14" i="3" s="1"/>
  <c r="D15" i="3"/>
  <c r="D16" i="3"/>
  <c r="J16" i="3" s="1"/>
  <c r="P16" i="3" s="1"/>
  <c r="D17" i="3"/>
  <c r="J17" i="3" s="1"/>
  <c r="P17" i="3" s="1"/>
  <c r="J18" i="3"/>
  <c r="P18" i="3" s="1"/>
  <c r="D19" i="3"/>
  <c r="J19" i="3" s="1"/>
  <c r="P19" i="3" s="1"/>
  <c r="D20" i="3"/>
  <c r="J20" i="3" s="1"/>
  <c r="P20" i="3" s="1"/>
  <c r="D21" i="3"/>
  <c r="J21" i="3" s="1"/>
  <c r="P21" i="3" s="1"/>
  <c r="D22" i="3"/>
  <c r="J22" i="3" s="1"/>
  <c r="P22" i="3" s="1"/>
  <c r="D23" i="3"/>
  <c r="J23" i="3" s="1"/>
  <c r="P23" i="3" s="1"/>
  <c r="D24" i="3"/>
  <c r="J24" i="3" s="1"/>
  <c r="P24" i="3" s="1"/>
  <c r="D25" i="3"/>
  <c r="J25" i="3" s="1"/>
  <c r="P25" i="3" s="1"/>
  <c r="D26" i="3"/>
  <c r="J26" i="3" s="1"/>
  <c r="P26" i="3" s="1"/>
  <c r="D27" i="3"/>
  <c r="J27" i="3" s="1"/>
  <c r="P27" i="3" s="1"/>
  <c r="D28" i="3"/>
  <c r="P28" i="3" s="1"/>
  <c r="D30" i="3"/>
  <c r="J30" i="3" s="1"/>
  <c r="P30" i="3" s="1"/>
  <c r="D31" i="3"/>
  <c r="D32" i="3"/>
  <c r="J32" i="3" s="1"/>
  <c r="P32" i="3" s="1"/>
  <c r="D33" i="3"/>
  <c r="J33" i="3" s="1"/>
  <c r="P33" i="3" s="1"/>
  <c r="D34" i="3"/>
  <c r="J34" i="3" s="1"/>
  <c r="P34" i="3" s="1"/>
  <c r="D35" i="3"/>
  <c r="J35" i="3" s="1"/>
  <c r="P35" i="3" s="1"/>
  <c r="D36" i="3"/>
  <c r="J36" i="3" s="1"/>
  <c r="P36" i="3" s="1"/>
  <c r="D37" i="3"/>
  <c r="J37" i="3" s="1"/>
  <c r="P37" i="3" s="1"/>
  <c r="D6" i="3"/>
  <c r="J6" i="3" s="1"/>
  <c r="P6" i="3" s="1"/>
  <c r="F4" i="1"/>
  <c r="E4" i="1"/>
  <c r="AI3" i="1"/>
  <c r="AD3" i="1"/>
  <c r="AC3" i="1"/>
  <c r="X3" i="1"/>
  <c r="W3" i="1"/>
  <c r="R3" i="1"/>
  <c r="Q3" i="1"/>
  <c r="L3" i="1"/>
  <c r="K3" i="1"/>
  <c r="F3" i="1"/>
  <c r="E3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D3" i="1"/>
  <c r="I2" i="1"/>
  <c r="H2" i="1"/>
  <c r="G2" i="1"/>
  <c r="F2" i="1"/>
  <c r="E2" i="1"/>
  <c r="D2" i="1"/>
  <c r="C2" i="1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5" i="2"/>
  <c r="M15" i="2"/>
  <c r="G15" i="2"/>
  <c r="G35" i="2"/>
  <c r="D28" i="2"/>
  <c r="J28" i="2" s="1"/>
  <c r="J15" i="2"/>
  <c r="P15" i="2" s="1"/>
  <c r="D11" i="2"/>
  <c r="J11" i="2" s="1"/>
  <c r="M11" i="2" s="1"/>
  <c r="M10" i="2"/>
  <c r="M12" i="2"/>
  <c r="M13" i="2"/>
  <c r="M14" i="2"/>
  <c r="M16" i="2"/>
  <c r="M17" i="2"/>
  <c r="M18" i="2"/>
  <c r="M19" i="2"/>
  <c r="S19" i="2" s="1"/>
  <c r="M20" i="2"/>
  <c r="S20" i="2" s="1"/>
  <c r="M21" i="2"/>
  <c r="M22" i="2"/>
  <c r="S22" i="2" s="1"/>
  <c r="M23" i="2"/>
  <c r="S23" i="2" s="1"/>
  <c r="M24" i="2"/>
  <c r="M25" i="2"/>
  <c r="S25" i="2" s="1"/>
  <c r="M27" i="2"/>
  <c r="M29" i="2"/>
  <c r="S29" i="2" s="1"/>
  <c r="M30" i="2"/>
  <c r="M31" i="2"/>
  <c r="S31" i="2" s="1"/>
  <c r="M32" i="2"/>
  <c r="S32" i="2" s="1"/>
  <c r="M33" i="2"/>
  <c r="M5" i="2"/>
  <c r="M6" i="2"/>
  <c r="M7" i="2"/>
  <c r="M8" i="2"/>
  <c r="M9" i="2"/>
  <c r="J7" i="2"/>
  <c r="D7" i="2"/>
  <c r="D9" i="2"/>
  <c r="D8" i="2"/>
  <c r="J8" i="2" s="1"/>
  <c r="J5" i="2"/>
  <c r="P5" i="2" s="1"/>
  <c r="D5" i="2"/>
  <c r="S16" i="2"/>
  <c r="S17" i="2"/>
  <c r="S21" i="2"/>
  <c r="S24" i="2"/>
  <c r="S27" i="2"/>
  <c r="S30" i="2"/>
  <c r="S33" i="2"/>
  <c r="P16" i="2"/>
  <c r="J6" i="2"/>
  <c r="P6" i="2" s="1"/>
  <c r="J9" i="2"/>
  <c r="P9" i="2" s="1"/>
  <c r="J10" i="2"/>
  <c r="P10" i="2" s="1"/>
  <c r="J12" i="2"/>
  <c r="P12" i="2" s="1"/>
  <c r="G5" i="2"/>
  <c r="G6" i="2"/>
  <c r="G7" i="2"/>
  <c r="G8" i="2"/>
  <c r="G9" i="2"/>
  <c r="D6" i="2"/>
  <c r="D10" i="2"/>
  <c r="D12" i="2"/>
  <c r="D13" i="2"/>
  <c r="J13" i="2" s="1"/>
  <c r="D14" i="2"/>
  <c r="J14" i="2" s="1"/>
  <c r="D15" i="2"/>
  <c r="S18" i="2"/>
  <c r="D18" i="2"/>
  <c r="P19" i="2"/>
  <c r="P20" i="2"/>
  <c r="P21" i="2"/>
  <c r="P22" i="2"/>
  <c r="P23" i="2"/>
  <c r="P24" i="2"/>
  <c r="P25" i="2"/>
  <c r="P27" i="2"/>
  <c r="P29" i="2"/>
  <c r="P30" i="2"/>
  <c r="P31" i="2"/>
  <c r="J17" i="2"/>
  <c r="P17" i="2" s="1"/>
  <c r="J18" i="2"/>
  <c r="P18" i="2" s="1"/>
  <c r="J19" i="2"/>
  <c r="J20" i="2"/>
  <c r="J21" i="2"/>
  <c r="J22" i="2"/>
  <c r="J23" i="2"/>
  <c r="J24" i="2"/>
  <c r="J25" i="2"/>
  <c r="J26" i="2"/>
  <c r="P26" i="2" s="1"/>
  <c r="J27" i="2"/>
  <c r="J29" i="2"/>
  <c r="J30" i="2"/>
  <c r="J31" i="2"/>
  <c r="J32" i="2"/>
  <c r="D16" i="2"/>
  <c r="J16" i="2" s="1"/>
  <c r="D17" i="2"/>
  <c r="D19" i="2"/>
  <c r="D20" i="2"/>
  <c r="D21" i="2"/>
  <c r="D22" i="2"/>
  <c r="D23" i="2"/>
  <c r="D25" i="2"/>
  <c r="D27" i="2"/>
  <c r="D29" i="2"/>
  <c r="D30" i="2"/>
  <c r="D31" i="2"/>
  <c r="D32" i="2"/>
  <c r="D33" i="2"/>
  <c r="J33" i="2" s="1"/>
  <c r="D34" i="2"/>
  <c r="J34" i="2" s="1"/>
  <c r="D35" i="2"/>
  <c r="J35" i="2" s="1"/>
  <c r="M35" i="2" s="1"/>
  <c r="D36" i="2"/>
  <c r="G16" i="2"/>
  <c r="G17" i="2"/>
  <c r="G18" i="2"/>
  <c r="G19" i="2"/>
  <c r="G20" i="2"/>
  <c r="G21" i="2"/>
  <c r="G22" i="2"/>
  <c r="J36" i="2"/>
  <c r="P36" i="2" s="1"/>
  <c r="J37" i="2"/>
  <c r="P37" i="2" s="1"/>
  <c r="D24" i="2"/>
  <c r="G13" i="2"/>
  <c r="G14" i="2"/>
  <c r="G25" i="2"/>
  <c r="G26" i="2"/>
  <c r="M26" i="2" s="1"/>
  <c r="G27" i="2"/>
  <c r="G28" i="2"/>
  <c r="G29" i="2"/>
  <c r="G30" i="2"/>
  <c r="G31" i="2"/>
  <c r="G32" i="2"/>
  <c r="G33" i="2"/>
  <c r="G34" i="2"/>
  <c r="G36" i="2"/>
  <c r="G37" i="2"/>
  <c r="M37" i="2" s="1"/>
  <c r="S37" i="2" s="1"/>
  <c r="G24" i="2"/>
  <c r="G23" i="2"/>
  <c r="S36" i="13" l="1"/>
  <c r="T36" i="13"/>
  <c r="U36" i="13" s="1"/>
  <c r="T35" i="13"/>
  <c r="U35" i="13" s="1"/>
  <c r="T33" i="13"/>
  <c r="U33" i="13" s="1"/>
  <c r="T32" i="13"/>
  <c r="U32" i="13" s="1"/>
  <c r="T29" i="13"/>
  <c r="U29" i="13" s="1"/>
  <c r="M27" i="13"/>
  <c r="S27" i="13" s="1"/>
  <c r="T27" i="13"/>
  <c r="U27" i="13" s="1"/>
  <c r="T26" i="13"/>
  <c r="U26" i="13" s="1"/>
  <c r="T25" i="13"/>
  <c r="U25" i="13" s="1"/>
  <c r="T24" i="13"/>
  <c r="U24" i="13" s="1"/>
  <c r="T23" i="13"/>
  <c r="U23" i="13" s="1"/>
  <c r="J22" i="13"/>
  <c r="P22" i="13" s="1"/>
  <c r="T22" i="13" s="1"/>
  <c r="U22" i="13" s="1"/>
  <c r="T20" i="13"/>
  <c r="U20" i="13" s="1"/>
  <c r="T19" i="13"/>
  <c r="U19" i="13" s="1"/>
  <c r="T17" i="13"/>
  <c r="U17" i="13" s="1"/>
  <c r="S16" i="13"/>
  <c r="T16" i="13"/>
  <c r="U16" i="13" s="1"/>
  <c r="T34" i="13"/>
  <c r="U34" i="13" s="1"/>
  <c r="T37" i="13"/>
  <c r="U37" i="13" s="1"/>
  <c r="T28" i="13"/>
  <c r="U28" i="13" s="1"/>
  <c r="T31" i="13"/>
  <c r="U31" i="13" s="1"/>
  <c r="T30" i="13"/>
  <c r="U30" i="13" s="1"/>
  <c r="T21" i="13"/>
  <c r="U21" i="13" s="1"/>
  <c r="T18" i="13"/>
  <c r="U18" i="13" s="1"/>
  <c r="T36" i="12"/>
  <c r="U36" i="12" s="1"/>
  <c r="T32" i="12"/>
  <c r="U32" i="12" s="1"/>
  <c r="T31" i="12"/>
  <c r="U31" i="12" s="1"/>
  <c r="T30" i="12"/>
  <c r="U30" i="12" s="1"/>
  <c r="J29" i="12"/>
  <c r="P29" i="12" s="1"/>
  <c r="T29" i="12" s="1"/>
  <c r="U29" i="12" s="1"/>
  <c r="T28" i="12"/>
  <c r="U28" i="12" s="1"/>
  <c r="T26" i="12"/>
  <c r="U26" i="12" s="1"/>
  <c r="T24" i="12"/>
  <c r="U24" i="12" s="1"/>
  <c r="T23" i="12"/>
  <c r="U23" i="12" s="1"/>
  <c r="T22" i="12"/>
  <c r="U22" i="12" s="1"/>
  <c r="T20" i="12"/>
  <c r="U20" i="12" s="1"/>
  <c r="T18" i="12"/>
  <c r="U18" i="12" s="1"/>
  <c r="T35" i="12"/>
  <c r="U35" i="12" s="1"/>
  <c r="T33" i="12"/>
  <c r="U33" i="12" s="1"/>
  <c r="T27" i="12"/>
  <c r="U27" i="12" s="1"/>
  <c r="T25" i="12"/>
  <c r="U25" i="12" s="1"/>
  <c r="T21" i="12"/>
  <c r="U21" i="12" s="1"/>
  <c r="T17" i="12"/>
  <c r="U17" i="12" s="1"/>
  <c r="T15" i="12"/>
  <c r="U15" i="12" s="1"/>
  <c r="S37" i="11"/>
  <c r="S36" i="11"/>
  <c r="T36" i="11" s="1"/>
  <c r="U36" i="11" s="1"/>
  <c r="S34" i="11"/>
  <c r="T34" i="11" s="1"/>
  <c r="U34" i="11" s="1"/>
  <c r="S32" i="11"/>
  <c r="S31" i="11"/>
  <c r="T31" i="11" s="1"/>
  <c r="U31" i="11" s="1"/>
  <c r="S30" i="11"/>
  <c r="T30" i="11" s="1"/>
  <c r="U30" i="11" s="1"/>
  <c r="P29" i="11"/>
  <c r="S29" i="11" s="1"/>
  <c r="T29" i="11" s="1"/>
  <c r="U29" i="11" s="1"/>
  <c r="S27" i="11"/>
  <c r="M26" i="11"/>
  <c r="S26" i="11" s="1"/>
  <c r="T26" i="11" s="1"/>
  <c r="U26" i="11" s="1"/>
  <c r="S25" i="11"/>
  <c r="S23" i="11"/>
  <c r="T23" i="11" s="1"/>
  <c r="U23" i="11" s="1"/>
  <c r="S22" i="11"/>
  <c r="T22" i="11" s="1"/>
  <c r="U22" i="11" s="1"/>
  <c r="S20" i="11"/>
  <c r="S19" i="11"/>
  <c r="T19" i="11" s="1"/>
  <c r="U19" i="11" s="1"/>
  <c r="S17" i="11"/>
  <c r="T17" i="11"/>
  <c r="U17" i="11" s="1"/>
  <c r="T24" i="11"/>
  <c r="U24" i="11" s="1"/>
  <c r="T33" i="11"/>
  <c r="U33" i="11" s="1"/>
  <c r="T37" i="11"/>
  <c r="U37" i="11" s="1"/>
  <c r="T15" i="11"/>
  <c r="U15" i="11" s="1"/>
  <c r="T32" i="11"/>
  <c r="U32" i="11" s="1"/>
  <c r="T25" i="11"/>
  <c r="U25" i="11" s="1"/>
  <c r="T21" i="11"/>
  <c r="U21" i="11" s="1"/>
  <c r="T16" i="11"/>
  <c r="U16" i="11" s="1"/>
  <c r="T27" i="11"/>
  <c r="U27" i="11" s="1"/>
  <c r="T20" i="11"/>
  <c r="U20" i="11" s="1"/>
  <c r="T18" i="11"/>
  <c r="U18" i="11" s="1"/>
  <c r="T14" i="11"/>
  <c r="U14" i="11" s="1"/>
  <c r="T37" i="10"/>
  <c r="U37" i="10" s="1"/>
  <c r="M35" i="10"/>
  <c r="T36" i="10"/>
  <c r="U36" i="10" s="1"/>
  <c r="S35" i="10"/>
  <c r="T35" i="10" s="1"/>
  <c r="U35" i="10" s="1"/>
  <c r="T34" i="10"/>
  <c r="U34" i="10" s="1"/>
  <c r="S33" i="10"/>
  <c r="T33" i="10"/>
  <c r="U33" i="10" s="1"/>
  <c r="T32" i="10"/>
  <c r="U32" i="10" s="1"/>
  <c r="T31" i="10"/>
  <c r="U31" i="10" s="1"/>
  <c r="P30" i="10"/>
  <c r="T30" i="10"/>
  <c r="U30" i="10" s="1"/>
  <c r="S29" i="10"/>
  <c r="J29" i="10"/>
  <c r="S28" i="10"/>
  <c r="T28" i="10"/>
  <c r="U28" i="10" s="1"/>
  <c r="M27" i="10"/>
  <c r="S27" i="10" s="1"/>
  <c r="T27" i="10" s="1"/>
  <c r="U27" i="10" s="1"/>
  <c r="T26" i="10"/>
  <c r="U26" i="10" s="1"/>
  <c r="T25" i="10"/>
  <c r="U25" i="10" s="1"/>
  <c r="T24" i="10"/>
  <c r="U24" i="10" s="1"/>
  <c r="J23" i="10"/>
  <c r="P23" i="10" s="1"/>
  <c r="T23" i="10" s="1"/>
  <c r="U23" i="10" s="1"/>
  <c r="S22" i="10"/>
  <c r="T22" i="10"/>
  <c r="U22" i="10" s="1"/>
  <c r="T21" i="10"/>
  <c r="U21" i="10" s="1"/>
  <c r="S20" i="10"/>
  <c r="T20" i="10"/>
  <c r="U20" i="10" s="1"/>
  <c r="M19" i="10"/>
  <c r="S19" i="10" s="1"/>
  <c r="T19" i="10" s="1"/>
  <c r="U19" i="10" s="1"/>
  <c r="J19" i="10"/>
  <c r="P19" i="10" s="1"/>
  <c r="S18" i="10"/>
  <c r="T18" i="10" s="1"/>
  <c r="U18" i="10" s="1"/>
  <c r="S17" i="10"/>
  <c r="T17" i="10" s="1"/>
  <c r="U17" i="10" s="1"/>
  <c r="P17" i="10"/>
  <c r="S16" i="10"/>
  <c r="P16" i="10"/>
  <c r="T15" i="10"/>
  <c r="U15" i="10" s="1"/>
  <c r="T14" i="10"/>
  <c r="U14" i="10" s="1"/>
  <c r="T13" i="10"/>
  <c r="U13" i="10" s="1"/>
  <c r="Q37" i="9"/>
  <c r="U37" i="9" s="1"/>
  <c r="V37" i="9" s="1"/>
  <c r="U36" i="9"/>
  <c r="V36" i="9" s="1"/>
  <c r="U33" i="9"/>
  <c r="V33" i="9" s="1"/>
  <c r="Q32" i="9"/>
  <c r="U34" i="9"/>
  <c r="V34" i="9" s="1"/>
  <c r="U35" i="9"/>
  <c r="V35" i="9" s="1"/>
  <c r="U28" i="9"/>
  <c r="V28" i="9" s="1"/>
  <c r="U27" i="9"/>
  <c r="V27" i="9" s="1"/>
  <c r="U26" i="9"/>
  <c r="V26" i="9" s="1"/>
  <c r="Q26" i="9"/>
  <c r="Q25" i="9"/>
  <c r="Q23" i="9"/>
  <c r="Q22" i="9"/>
  <c r="U22" i="9" s="1"/>
  <c r="V22" i="9" s="1"/>
  <c r="U19" i="9"/>
  <c r="V19" i="9" s="1"/>
  <c r="U30" i="9"/>
  <c r="V30" i="9" s="1"/>
  <c r="U21" i="9"/>
  <c r="V21" i="9" s="1"/>
  <c r="U18" i="9"/>
  <c r="V18" i="9" s="1"/>
  <c r="U24" i="9"/>
  <c r="V24" i="9" s="1"/>
  <c r="U17" i="9"/>
  <c r="V17" i="9" s="1"/>
  <c r="U16" i="9"/>
  <c r="V16" i="9" s="1"/>
  <c r="K15" i="9"/>
  <c r="Q15" i="9" s="1"/>
  <c r="U15" i="9"/>
  <c r="V15" i="9" s="1"/>
  <c r="U14" i="9"/>
  <c r="V14" i="9" s="1"/>
  <c r="U29" i="9"/>
  <c r="V29" i="9" s="1"/>
  <c r="U25" i="9"/>
  <c r="V25" i="9" s="1"/>
  <c r="U20" i="9"/>
  <c r="V20" i="9" s="1"/>
  <c r="U31" i="9"/>
  <c r="V31" i="9" s="1"/>
  <c r="U13" i="9"/>
  <c r="V13" i="9" s="1"/>
  <c r="U12" i="9"/>
  <c r="V12" i="9" s="1"/>
  <c r="T37" i="8"/>
  <c r="U37" i="8" s="1"/>
  <c r="T36" i="8"/>
  <c r="U36" i="8" s="1"/>
  <c r="T28" i="8"/>
  <c r="U28" i="8" s="1"/>
  <c r="T27" i="8"/>
  <c r="U27" i="8" s="1"/>
  <c r="T25" i="8"/>
  <c r="U25" i="8" s="1"/>
  <c r="T23" i="8"/>
  <c r="U23" i="8" s="1"/>
  <c r="T20" i="8"/>
  <c r="U20" i="8" s="1"/>
  <c r="T19" i="8"/>
  <c r="U19" i="8" s="1"/>
  <c r="T18" i="8"/>
  <c r="U18" i="8" s="1"/>
  <c r="T16" i="8"/>
  <c r="U16" i="8" s="1"/>
  <c r="T30" i="8"/>
  <c r="U30" i="8" s="1"/>
  <c r="T21" i="8"/>
  <c r="U21" i="8" s="1"/>
  <c r="T12" i="8"/>
  <c r="U12" i="8" s="1"/>
  <c r="T35" i="8"/>
  <c r="U35" i="8" s="1"/>
  <c r="T33" i="8"/>
  <c r="U33" i="8" s="1"/>
  <c r="T31" i="8"/>
  <c r="U31" i="8" s="1"/>
  <c r="T26" i="8"/>
  <c r="U26" i="8" s="1"/>
  <c r="T24" i="8"/>
  <c r="U24" i="8" s="1"/>
  <c r="T22" i="8"/>
  <c r="U22" i="8" s="1"/>
  <c r="T17" i="8"/>
  <c r="U17" i="8" s="1"/>
  <c r="T15" i="8"/>
  <c r="U15" i="8" s="1"/>
  <c r="T13" i="8"/>
  <c r="U13" i="8" s="1"/>
  <c r="T11" i="8"/>
  <c r="U11" i="8" s="1"/>
  <c r="T32" i="7"/>
  <c r="U32" i="7" s="1"/>
  <c r="T29" i="7"/>
  <c r="U29" i="7" s="1"/>
  <c r="T26" i="7"/>
  <c r="U26" i="7" s="1"/>
  <c r="T23" i="7"/>
  <c r="U23" i="7" s="1"/>
  <c r="T20" i="7"/>
  <c r="U20" i="7" s="1"/>
  <c r="T17" i="7"/>
  <c r="U17" i="7" s="1"/>
  <c r="T31" i="7"/>
  <c r="U31" i="7" s="1"/>
  <c r="T22" i="7"/>
  <c r="U22" i="7" s="1"/>
  <c r="T13" i="7"/>
  <c r="U13" i="7" s="1"/>
  <c r="T34" i="7"/>
  <c r="U34" i="7" s="1"/>
  <c r="T16" i="7"/>
  <c r="U16" i="7" s="1"/>
  <c r="T25" i="7"/>
  <c r="U25" i="7" s="1"/>
  <c r="T37" i="7"/>
  <c r="U37" i="7" s="1"/>
  <c r="T28" i="7"/>
  <c r="U28" i="7" s="1"/>
  <c r="T19" i="7"/>
  <c r="U19" i="7" s="1"/>
  <c r="T11" i="7"/>
  <c r="U11" i="7" s="1"/>
  <c r="T36" i="7"/>
  <c r="U36" i="7" s="1"/>
  <c r="T33" i="7"/>
  <c r="U33" i="7" s="1"/>
  <c r="T30" i="7"/>
  <c r="U30" i="7" s="1"/>
  <c r="T27" i="7"/>
  <c r="U27" i="7" s="1"/>
  <c r="T24" i="7"/>
  <c r="U24" i="7" s="1"/>
  <c r="T21" i="7"/>
  <c r="U21" i="7" s="1"/>
  <c r="T18" i="7"/>
  <c r="U18" i="7" s="1"/>
  <c r="T15" i="7"/>
  <c r="U15" i="7" s="1"/>
  <c r="T12" i="7"/>
  <c r="U12" i="7" s="1"/>
  <c r="T10" i="7"/>
  <c r="U10" i="7" s="1"/>
  <c r="T35" i="6"/>
  <c r="U35" i="6" s="1"/>
  <c r="T29" i="6"/>
  <c r="U29" i="6" s="1"/>
  <c r="T28" i="6"/>
  <c r="U28" i="6" s="1"/>
  <c r="T23" i="6"/>
  <c r="U23" i="6" s="1"/>
  <c r="T21" i="6"/>
  <c r="U21" i="6" s="1"/>
  <c r="S19" i="6"/>
  <c r="T19" i="6" s="1"/>
  <c r="U19" i="6" s="1"/>
  <c r="S16" i="6"/>
  <c r="T14" i="6"/>
  <c r="U14" i="6" s="1"/>
  <c r="T12" i="6"/>
  <c r="U12" i="6" s="1"/>
  <c r="T31" i="6"/>
  <c r="U31" i="6" s="1"/>
  <c r="T33" i="6"/>
  <c r="U33" i="6" s="1"/>
  <c r="T37" i="6"/>
  <c r="U37" i="6" s="1"/>
  <c r="T9" i="6"/>
  <c r="U9" i="6" s="1"/>
  <c r="T32" i="6"/>
  <c r="U32" i="6" s="1"/>
  <c r="T27" i="6"/>
  <c r="U27" i="6" s="1"/>
  <c r="T25" i="6"/>
  <c r="U25" i="6" s="1"/>
  <c r="T20" i="6"/>
  <c r="U20" i="6" s="1"/>
  <c r="T18" i="6"/>
  <c r="U18" i="6" s="1"/>
  <c r="T16" i="6"/>
  <c r="U16" i="6" s="1"/>
  <c r="T11" i="6"/>
  <c r="U11" i="6" s="1"/>
  <c r="T36" i="6"/>
  <c r="U36" i="6" s="1"/>
  <c r="T34" i="6"/>
  <c r="U34" i="6" s="1"/>
  <c r="T30" i="6"/>
  <c r="U30" i="6" s="1"/>
  <c r="T26" i="6"/>
  <c r="U26" i="6" s="1"/>
  <c r="T24" i="6"/>
  <c r="U24" i="6" s="1"/>
  <c r="T22" i="6"/>
  <c r="U22" i="6" s="1"/>
  <c r="T17" i="6"/>
  <c r="U17" i="6" s="1"/>
  <c r="T15" i="6"/>
  <c r="U15" i="6" s="1"/>
  <c r="T13" i="6"/>
  <c r="U13" i="6" s="1"/>
  <c r="P15" i="5"/>
  <c r="T35" i="5"/>
  <c r="U35" i="5" s="1"/>
  <c r="T33" i="5"/>
  <c r="U33" i="5" s="1"/>
  <c r="T29" i="5"/>
  <c r="U29" i="5" s="1"/>
  <c r="T27" i="5"/>
  <c r="U27" i="5" s="1"/>
  <c r="T23" i="5"/>
  <c r="U23" i="5" s="1"/>
  <c r="T17" i="5"/>
  <c r="U17" i="5" s="1"/>
  <c r="T15" i="5"/>
  <c r="U15" i="5" s="1"/>
  <c r="T11" i="5"/>
  <c r="U11" i="5" s="1"/>
  <c r="T36" i="5"/>
  <c r="U36" i="5" s="1"/>
  <c r="T32" i="5"/>
  <c r="U32" i="5" s="1"/>
  <c r="T26" i="5"/>
  <c r="U26" i="5" s="1"/>
  <c r="T24" i="5"/>
  <c r="U24" i="5" s="1"/>
  <c r="T20" i="5"/>
  <c r="U20" i="5" s="1"/>
  <c r="T18" i="5"/>
  <c r="U18" i="5" s="1"/>
  <c r="T14" i="5"/>
  <c r="U14" i="5" s="1"/>
  <c r="T30" i="5"/>
  <c r="U30" i="5" s="1"/>
  <c r="T12" i="5"/>
  <c r="U12" i="5" s="1"/>
  <c r="T21" i="5"/>
  <c r="U21" i="5" s="1"/>
  <c r="T9" i="5"/>
  <c r="U9" i="5" s="1"/>
  <c r="T37" i="5"/>
  <c r="U37" i="5" s="1"/>
  <c r="T34" i="5"/>
  <c r="U34" i="5" s="1"/>
  <c r="T31" i="5"/>
  <c r="U31" i="5" s="1"/>
  <c r="T28" i="5"/>
  <c r="U28" i="5" s="1"/>
  <c r="T25" i="5"/>
  <c r="U25" i="5" s="1"/>
  <c r="T22" i="5"/>
  <c r="U22" i="5" s="1"/>
  <c r="T19" i="5"/>
  <c r="U19" i="5" s="1"/>
  <c r="T16" i="5"/>
  <c r="U16" i="5" s="1"/>
  <c r="T13" i="5"/>
  <c r="U13" i="5" s="1"/>
  <c r="T10" i="5"/>
  <c r="U10" i="5" s="1"/>
  <c r="T8" i="5"/>
  <c r="U8" i="5" s="1"/>
  <c r="T32" i="4"/>
  <c r="U32" i="4" s="1"/>
  <c r="T38" i="4"/>
  <c r="U38" i="4" s="1"/>
  <c r="T36" i="4"/>
  <c r="U36" i="4" s="1"/>
  <c r="P29" i="4"/>
  <c r="T29" i="4" s="1"/>
  <c r="U29" i="4" s="1"/>
  <c r="T26" i="4"/>
  <c r="U26" i="4" s="1"/>
  <c r="T21" i="4"/>
  <c r="U21" i="4" s="1"/>
  <c r="T20" i="4"/>
  <c r="U20" i="4" s="1"/>
  <c r="P17" i="4"/>
  <c r="T17" i="4" s="1"/>
  <c r="U17" i="4" s="1"/>
  <c r="T34" i="4"/>
  <c r="U34" i="4" s="1"/>
  <c r="T28" i="4"/>
  <c r="U28" i="4" s="1"/>
  <c r="T22" i="4"/>
  <c r="U22" i="4" s="1"/>
  <c r="J11" i="4"/>
  <c r="P11" i="4" s="1"/>
  <c r="T11" i="4" s="1"/>
  <c r="U11" i="4" s="1"/>
  <c r="T31" i="4"/>
  <c r="U31" i="4" s="1"/>
  <c r="T30" i="4"/>
  <c r="U30" i="4" s="1"/>
  <c r="T35" i="4"/>
  <c r="U35" i="4" s="1"/>
  <c r="T37" i="4"/>
  <c r="U37" i="4" s="1"/>
  <c r="T15" i="4"/>
  <c r="U15" i="4" s="1"/>
  <c r="T16" i="4"/>
  <c r="U16" i="4" s="1"/>
  <c r="T14" i="4"/>
  <c r="U14" i="4" s="1"/>
  <c r="T13" i="4"/>
  <c r="U13" i="4" s="1"/>
  <c r="T9" i="4"/>
  <c r="U9" i="4" s="1"/>
  <c r="T8" i="4"/>
  <c r="U8" i="4" s="1"/>
  <c r="T12" i="4"/>
  <c r="U12" i="4" s="1"/>
  <c r="T10" i="4"/>
  <c r="U10" i="4" s="1"/>
  <c r="T24" i="4"/>
  <c r="U24" i="4" s="1"/>
  <c r="T18" i="4"/>
  <c r="U18" i="4" s="1"/>
  <c r="T23" i="4"/>
  <c r="U23" i="4" s="1"/>
  <c r="T25" i="4"/>
  <c r="U25" i="4" s="1"/>
  <c r="T19" i="4"/>
  <c r="U19" i="4" s="1"/>
  <c r="S31" i="3"/>
  <c r="P31" i="3"/>
  <c r="T31" i="3" s="1"/>
  <c r="U31" i="3" s="1"/>
  <c r="S11" i="3"/>
  <c r="T11" i="3" s="1"/>
  <c r="U11" i="3" s="1"/>
  <c r="T6" i="3"/>
  <c r="U6" i="3" s="1"/>
  <c r="P10" i="3"/>
  <c r="T10" i="3" s="1"/>
  <c r="U10" i="3" s="1"/>
  <c r="J15" i="3"/>
  <c r="P15" i="3" s="1"/>
  <c r="T15" i="3" s="1"/>
  <c r="U15" i="3" s="1"/>
  <c r="T27" i="3"/>
  <c r="U27" i="3" s="1"/>
  <c r="T30" i="3"/>
  <c r="U30" i="3" s="1"/>
  <c r="T23" i="3"/>
  <c r="U23" i="3" s="1"/>
  <c r="T34" i="3"/>
  <c r="U34" i="3" s="1"/>
  <c r="T21" i="3"/>
  <c r="U21" i="3" s="1"/>
  <c r="T37" i="3"/>
  <c r="U37" i="3" s="1"/>
  <c r="T25" i="3"/>
  <c r="U25" i="3" s="1"/>
  <c r="T19" i="3"/>
  <c r="U19" i="3" s="1"/>
  <c r="T28" i="3"/>
  <c r="U28" i="3" s="1"/>
  <c r="T33" i="3"/>
  <c r="U33" i="3" s="1"/>
  <c r="T36" i="3"/>
  <c r="U36" i="3" s="1"/>
  <c r="T24" i="3"/>
  <c r="U24" i="3" s="1"/>
  <c r="T35" i="3"/>
  <c r="U35" i="3" s="1"/>
  <c r="T22" i="3"/>
  <c r="U22" i="3" s="1"/>
  <c r="T32" i="3"/>
  <c r="U32" i="3" s="1"/>
  <c r="T26" i="3"/>
  <c r="U26" i="3" s="1"/>
  <c r="T20" i="3"/>
  <c r="U20" i="3" s="1"/>
  <c r="T14" i="3"/>
  <c r="U14" i="3" s="1"/>
  <c r="T29" i="3"/>
  <c r="U29" i="3" s="1"/>
  <c r="T18" i="3"/>
  <c r="U18" i="3" s="1"/>
  <c r="T17" i="3"/>
  <c r="U17" i="3" s="1"/>
  <c r="S16" i="3"/>
  <c r="T16" i="3" s="1"/>
  <c r="U16" i="3" s="1"/>
  <c r="T13" i="3"/>
  <c r="U13" i="3" s="1"/>
  <c r="T12" i="3"/>
  <c r="U12" i="3" s="1"/>
  <c r="T9" i="3"/>
  <c r="U9" i="3" s="1"/>
  <c r="T8" i="3"/>
  <c r="U8" i="3" s="1"/>
  <c r="T7" i="3"/>
  <c r="U7" i="3" s="1"/>
  <c r="M36" i="2"/>
  <c r="S36" i="2" s="1"/>
  <c r="M34" i="2"/>
  <c r="M28" i="2"/>
  <c r="P28" i="2"/>
  <c r="T26" i="2"/>
  <c r="T15" i="2"/>
  <c r="S12" i="2"/>
  <c r="T12" i="2" s="1"/>
  <c r="P14" i="2"/>
  <c r="P8" i="2"/>
  <c r="P13" i="2"/>
  <c r="P7" i="2"/>
  <c r="S6" i="2"/>
  <c r="T6" i="2" s="1"/>
  <c r="P11" i="2"/>
  <c r="S11" i="2" s="1"/>
  <c r="T11" i="2" s="1"/>
  <c r="S10" i="2"/>
  <c r="S5" i="2"/>
  <c r="T5" i="2" s="1"/>
  <c r="T9" i="2"/>
  <c r="T18" i="2"/>
  <c r="T17" i="2"/>
  <c r="T20" i="2"/>
  <c r="P35" i="2"/>
  <c r="S35" i="2" s="1"/>
  <c r="P34" i="2"/>
  <c r="P33" i="2"/>
  <c r="T33" i="2" s="1"/>
  <c r="P32" i="2"/>
  <c r="T23" i="2"/>
  <c r="G10" i="2"/>
  <c r="G12" i="2"/>
  <c r="G11" i="2"/>
  <c r="T19" i="2"/>
  <c r="T21" i="2"/>
  <c r="T22" i="2"/>
  <c r="T24" i="2"/>
  <c r="T25" i="2"/>
  <c r="T29" i="10" l="1"/>
  <c r="U29" i="10" s="1"/>
  <c r="T16" i="10"/>
  <c r="U16" i="10" s="1"/>
  <c r="U32" i="9"/>
  <c r="V32" i="9" s="1"/>
  <c r="U23" i="9"/>
  <c r="V23" i="9" s="1"/>
  <c r="T35" i="2"/>
  <c r="S34" i="2"/>
  <c r="T34" i="2" s="1"/>
  <c r="S7" i="2"/>
  <c r="T7" i="2" s="1"/>
  <c r="T10" i="2"/>
  <c r="S8" i="2"/>
  <c r="T8" i="2" s="1"/>
  <c r="S13" i="2"/>
  <c r="T13" i="2" s="1"/>
  <c r="S14" i="2"/>
  <c r="T14" i="2" s="1"/>
  <c r="T16" i="2"/>
  <c r="T37" i="2"/>
  <c r="T36" i="2"/>
  <c r="T32" i="2"/>
  <c r="T31" i="2"/>
  <c r="T30" i="2"/>
  <c r="T29" i="2"/>
  <c r="T28" i="2"/>
  <c r="T27" i="2"/>
</calcChain>
</file>

<file path=xl/sharedStrings.xml><?xml version="1.0" encoding="utf-8"?>
<sst xmlns="http://schemas.openxmlformats.org/spreadsheetml/2006/main" count="2200" uniqueCount="226">
  <si>
    <t>エースバーン</t>
    <phoneticPr fontId="1"/>
  </si>
  <si>
    <t>ランドロス(霊獣)</t>
    <rPh sb="6" eb="8">
      <t>レイジュウ</t>
    </rPh>
    <phoneticPr fontId="1"/>
  </si>
  <si>
    <t>スカーフ霊獣ランド</t>
    <phoneticPr fontId="1"/>
  </si>
  <si>
    <t>カプ・レヒレ</t>
    <phoneticPr fontId="1"/>
  </si>
  <si>
    <t>ミミッキュ</t>
    <phoneticPr fontId="1"/>
  </si>
  <si>
    <t>サンダー</t>
    <phoneticPr fontId="1"/>
  </si>
  <si>
    <t>珠テッカグヤ</t>
    <rPh sb="0" eb="1">
      <t>タマ</t>
    </rPh>
    <phoneticPr fontId="1"/>
  </si>
  <si>
    <t>やどまもテッカグヤ</t>
    <phoneticPr fontId="1"/>
  </si>
  <si>
    <t>ポリゴン2</t>
    <phoneticPr fontId="1"/>
  </si>
  <si>
    <t>ゴリランダー</t>
    <phoneticPr fontId="1"/>
  </si>
  <si>
    <t>ウツロイド</t>
    <phoneticPr fontId="1"/>
  </si>
  <si>
    <t>カバルドン</t>
    <phoneticPr fontId="1"/>
  </si>
  <si>
    <t>物理ドラパルト</t>
    <rPh sb="0" eb="2">
      <t>ブツリ</t>
    </rPh>
    <phoneticPr fontId="1"/>
  </si>
  <si>
    <t>特殊ドラパルト</t>
    <rPh sb="0" eb="2">
      <t>トクシュ</t>
    </rPh>
    <phoneticPr fontId="1"/>
  </si>
  <si>
    <t>アーゴヨン</t>
    <phoneticPr fontId="1"/>
  </si>
  <si>
    <t>フェローチェ</t>
    <phoneticPr fontId="1"/>
  </si>
  <si>
    <t>ファイヤー(ガラル)</t>
    <phoneticPr fontId="1"/>
  </si>
  <si>
    <t>レジエレキ</t>
    <phoneticPr fontId="1"/>
  </si>
  <si>
    <t>メタグロス</t>
    <phoneticPr fontId="1"/>
  </si>
  <si>
    <t>クレセリア</t>
    <phoneticPr fontId="1"/>
  </si>
  <si>
    <t>ヒードラン</t>
    <phoneticPr fontId="1"/>
  </si>
  <si>
    <t>カイリュー</t>
    <phoneticPr fontId="1"/>
  </si>
  <si>
    <t>ウーラオス(連撃)</t>
    <rPh sb="6" eb="8">
      <t>レンゲキ</t>
    </rPh>
    <phoneticPr fontId="1"/>
  </si>
  <si>
    <t>ブリザポス</t>
    <phoneticPr fontId="1"/>
  </si>
  <si>
    <t>ラグラージ</t>
    <phoneticPr fontId="1"/>
  </si>
  <si>
    <t>ナットレイ</t>
    <phoneticPr fontId="1"/>
  </si>
  <si>
    <t>カプ・コケコ</t>
    <phoneticPr fontId="1"/>
  </si>
  <si>
    <t>物理ボーマンダ</t>
    <rPh sb="0" eb="2">
      <t>ブツリ</t>
    </rPh>
    <phoneticPr fontId="1"/>
  </si>
  <si>
    <t>特殊ボーマンダ</t>
    <rPh sb="0" eb="2">
      <t>トクシュ</t>
    </rPh>
    <phoneticPr fontId="1"/>
  </si>
  <si>
    <t>ウォッシュロトム</t>
    <phoneticPr fontId="1"/>
  </si>
  <si>
    <t>ウオノラゴン</t>
    <phoneticPr fontId="1"/>
  </si>
  <si>
    <t>バンギラス</t>
    <phoneticPr fontId="1"/>
  </si>
  <si>
    <t>ガブリアス</t>
    <phoneticPr fontId="1"/>
  </si>
  <si>
    <t>ウーラオス(一撃)</t>
    <rPh sb="6" eb="8">
      <t>イチゲキ</t>
    </rPh>
    <phoneticPr fontId="1"/>
  </si>
  <si>
    <t>ー</t>
    <phoneticPr fontId="1"/>
  </si>
  <si>
    <t>技</t>
    <rPh sb="0" eb="1">
      <t>ワザ</t>
    </rPh>
    <phoneticPr fontId="1"/>
  </si>
  <si>
    <t>与ダメ</t>
    <rPh sb="0" eb="1">
      <t>ヨ</t>
    </rPh>
    <phoneticPr fontId="1"/>
  </si>
  <si>
    <t>相手技</t>
    <rPh sb="0" eb="2">
      <t>アイテ</t>
    </rPh>
    <rPh sb="2" eb="3">
      <t>ワザ</t>
    </rPh>
    <phoneticPr fontId="1"/>
  </si>
  <si>
    <t>被ダメ</t>
    <rPh sb="0" eb="1">
      <t>ヒ</t>
    </rPh>
    <phoneticPr fontId="1"/>
  </si>
  <si>
    <t>じしん</t>
    <phoneticPr fontId="1"/>
  </si>
  <si>
    <t>かえんボール</t>
    <phoneticPr fontId="1"/>
  </si>
  <si>
    <t>残りHP</t>
    <rPh sb="0" eb="1">
      <t>ノコ</t>
    </rPh>
    <phoneticPr fontId="1"/>
  </si>
  <si>
    <t>相手HP</t>
    <rPh sb="0" eb="2">
      <t>アイテ</t>
    </rPh>
    <phoneticPr fontId="1"/>
  </si>
  <si>
    <t>とびはねる</t>
    <phoneticPr fontId="1"/>
  </si>
  <si>
    <t>がんせきふうじ</t>
    <phoneticPr fontId="1"/>
  </si>
  <si>
    <t>評価値</t>
    <rPh sb="0" eb="2">
      <t>ヒョウカ</t>
    </rPh>
    <rPh sb="2" eb="3">
      <t>チ</t>
    </rPh>
    <phoneticPr fontId="1"/>
  </si>
  <si>
    <t>ふいうち</t>
    <phoneticPr fontId="1"/>
  </si>
  <si>
    <t>ムーンフォース</t>
    <phoneticPr fontId="1"/>
  </si>
  <si>
    <t>AS+d</t>
    <phoneticPr fontId="1"/>
  </si>
  <si>
    <t>命の珠</t>
    <rPh sb="0" eb="1">
      <t>イノチ</t>
    </rPh>
    <rPh sb="2" eb="3">
      <t>タマ</t>
    </rPh>
    <phoneticPr fontId="1"/>
  </si>
  <si>
    <t>つるぎのまい</t>
    <phoneticPr fontId="1"/>
  </si>
  <si>
    <t>ゴーストダイブ</t>
    <phoneticPr fontId="1"/>
  </si>
  <si>
    <t>ぼうふう</t>
    <phoneticPr fontId="1"/>
  </si>
  <si>
    <t>ヘビーボンバー</t>
    <phoneticPr fontId="1"/>
  </si>
  <si>
    <t>1手目</t>
    <rPh sb="1" eb="2">
      <t>テ</t>
    </rPh>
    <rPh sb="2" eb="3">
      <t>メ</t>
    </rPh>
    <phoneticPr fontId="1"/>
  </si>
  <si>
    <t>2手目</t>
    <rPh sb="1" eb="2">
      <t>テ</t>
    </rPh>
    <rPh sb="2" eb="3">
      <t>メ</t>
    </rPh>
    <phoneticPr fontId="1"/>
  </si>
  <si>
    <t>3手目</t>
    <rPh sb="1" eb="2">
      <t>テ</t>
    </rPh>
    <rPh sb="2" eb="3">
      <t>メ</t>
    </rPh>
    <phoneticPr fontId="1"/>
  </si>
  <si>
    <t>とびひざげり</t>
    <phoneticPr fontId="1"/>
  </si>
  <si>
    <t>トライアタック</t>
    <phoneticPr fontId="1"/>
  </si>
  <si>
    <t>グラススライダー</t>
    <phoneticPr fontId="1"/>
  </si>
  <si>
    <t>あくび</t>
    <phoneticPr fontId="1"/>
  </si>
  <si>
    <t>眠り</t>
    <rPh sb="0" eb="1">
      <t>ネム</t>
    </rPh>
    <phoneticPr fontId="1"/>
  </si>
  <si>
    <t>ドラゴンアロー</t>
    <phoneticPr fontId="1"/>
  </si>
  <si>
    <t>おにび</t>
    <phoneticPr fontId="1"/>
  </si>
  <si>
    <t>りゅうせいぐん</t>
    <phoneticPr fontId="1"/>
  </si>
  <si>
    <t>ほのお</t>
    <phoneticPr fontId="1"/>
  </si>
  <si>
    <t>陽気</t>
    <rPh sb="0" eb="2">
      <t>ヨウキ</t>
    </rPh>
    <phoneticPr fontId="1"/>
  </si>
  <si>
    <t>リベロ</t>
    <phoneticPr fontId="1"/>
  </si>
  <si>
    <t>かくとう</t>
    <phoneticPr fontId="1"/>
  </si>
  <si>
    <t>ひこう</t>
    <phoneticPr fontId="1"/>
  </si>
  <si>
    <t>あく</t>
    <phoneticPr fontId="1"/>
  </si>
  <si>
    <t>サンダープリズン</t>
    <phoneticPr fontId="1"/>
  </si>
  <si>
    <t>つきのひかり</t>
    <phoneticPr fontId="1"/>
  </si>
  <si>
    <t>めいそう</t>
    <phoneticPr fontId="1"/>
  </si>
  <si>
    <t>れいとうビーム</t>
    <phoneticPr fontId="1"/>
  </si>
  <si>
    <t>りゅうのまい</t>
    <phoneticPr fontId="1"/>
  </si>
  <si>
    <t>げきりん</t>
    <phoneticPr fontId="1"/>
  </si>
  <si>
    <t>かみなりパンチ</t>
    <phoneticPr fontId="1"/>
  </si>
  <si>
    <t>10まんボルト</t>
    <phoneticPr fontId="1"/>
  </si>
  <si>
    <t>オボン霊獣ランドロス</t>
    <rPh sb="3" eb="5">
      <t>レイジュウ</t>
    </rPh>
    <phoneticPr fontId="1"/>
  </si>
  <si>
    <t>珠エースバーン</t>
    <rPh sb="0" eb="1">
      <t>タマ</t>
    </rPh>
    <phoneticPr fontId="1"/>
  </si>
  <si>
    <t>残飯カプ・レヒレ</t>
    <rPh sb="0" eb="2">
      <t>ザンパン</t>
    </rPh>
    <phoneticPr fontId="1"/>
  </si>
  <si>
    <t>アッキミミッキュ</t>
    <phoneticPr fontId="1"/>
  </si>
  <si>
    <t>珠サンダー</t>
    <rPh sb="0" eb="1">
      <t>タマ</t>
    </rPh>
    <phoneticPr fontId="1"/>
  </si>
  <si>
    <t>残飯テッカグヤ</t>
    <rPh sb="0" eb="2">
      <t>ザンパン</t>
    </rPh>
    <phoneticPr fontId="1"/>
  </si>
  <si>
    <t>輝石ポリゴン2</t>
    <rPh sb="0" eb="2">
      <t>キセキ</t>
    </rPh>
    <phoneticPr fontId="1"/>
  </si>
  <si>
    <t>鉢巻ゴリランダー</t>
    <rPh sb="0" eb="2">
      <t>ハチマキ</t>
    </rPh>
    <phoneticPr fontId="1"/>
  </si>
  <si>
    <t>ハーブウツロイド</t>
    <phoneticPr fontId="1"/>
  </si>
  <si>
    <t>オボンカバルドン</t>
    <phoneticPr fontId="1"/>
  </si>
  <si>
    <t>物理珠ドラパルト</t>
    <rPh sb="0" eb="2">
      <t>ブツリ</t>
    </rPh>
    <rPh sb="2" eb="3">
      <t>タマ</t>
    </rPh>
    <phoneticPr fontId="1"/>
  </si>
  <si>
    <t>特殊珠ドラパルト</t>
    <rPh sb="0" eb="2">
      <t>トクシュ</t>
    </rPh>
    <rPh sb="2" eb="3">
      <t>タマ</t>
    </rPh>
    <phoneticPr fontId="1"/>
  </si>
  <si>
    <t>珠アーゴヨン</t>
    <rPh sb="0" eb="1">
      <t>タマ</t>
    </rPh>
    <phoneticPr fontId="1"/>
  </si>
  <si>
    <t>襷フェローチェ</t>
    <rPh sb="0" eb="1">
      <t>タスキ</t>
    </rPh>
    <phoneticPr fontId="1"/>
  </si>
  <si>
    <t>弱保ファイヤー(ガラル)</t>
    <rPh sb="0" eb="1">
      <t>ジャク</t>
    </rPh>
    <rPh sb="1" eb="2">
      <t>ホ</t>
    </rPh>
    <phoneticPr fontId="1"/>
  </si>
  <si>
    <t>粘土レジエレキ</t>
    <rPh sb="0" eb="2">
      <t>ネンド</t>
    </rPh>
    <phoneticPr fontId="1"/>
  </si>
  <si>
    <t>弱保メタグロス</t>
    <rPh sb="0" eb="1">
      <t>ジャク</t>
    </rPh>
    <rPh sb="1" eb="2">
      <t>ホ</t>
    </rPh>
    <phoneticPr fontId="1"/>
  </si>
  <si>
    <t>アッキクレセリア</t>
    <phoneticPr fontId="1"/>
  </si>
  <si>
    <t>チョッキヒードラン</t>
    <phoneticPr fontId="1"/>
  </si>
  <si>
    <t>弱保カイリュー</t>
    <rPh sb="0" eb="1">
      <t>ジャク</t>
    </rPh>
    <rPh sb="1" eb="2">
      <t>ホ</t>
    </rPh>
    <phoneticPr fontId="1"/>
  </si>
  <si>
    <t>襷ウーラオス(連撃)</t>
    <rPh sb="0" eb="1">
      <t>タスキ</t>
    </rPh>
    <rPh sb="7" eb="9">
      <t>レンゲキ</t>
    </rPh>
    <phoneticPr fontId="1"/>
  </si>
  <si>
    <t>弱保ブリザポス</t>
    <rPh sb="0" eb="1">
      <t>ジャク</t>
    </rPh>
    <rPh sb="1" eb="2">
      <t>ホ</t>
    </rPh>
    <phoneticPr fontId="1"/>
  </si>
  <si>
    <t>オボンラグラージ</t>
    <phoneticPr fontId="1"/>
  </si>
  <si>
    <t>残飯ナットレイ</t>
    <rPh sb="0" eb="2">
      <t>ザンパン</t>
    </rPh>
    <phoneticPr fontId="1"/>
  </si>
  <si>
    <t>眼鏡カプ・コケコ</t>
    <rPh sb="0" eb="2">
      <t>メガネ</t>
    </rPh>
    <phoneticPr fontId="1"/>
  </si>
  <si>
    <t>物理珠ボーマンダ</t>
    <rPh sb="0" eb="2">
      <t>ブツリ</t>
    </rPh>
    <rPh sb="2" eb="3">
      <t>タマ</t>
    </rPh>
    <phoneticPr fontId="1"/>
  </si>
  <si>
    <t>特殊眼鏡ボーマンダ</t>
    <rPh sb="0" eb="2">
      <t>トクシュ</t>
    </rPh>
    <rPh sb="2" eb="4">
      <t>メガネ</t>
    </rPh>
    <phoneticPr fontId="1"/>
  </si>
  <si>
    <t>オボンウォッシュロトム</t>
    <phoneticPr fontId="1"/>
  </si>
  <si>
    <t>スカーフウオノラゴン</t>
    <phoneticPr fontId="1"/>
  </si>
  <si>
    <t>チョッキバンギラス</t>
    <phoneticPr fontId="1"/>
  </si>
  <si>
    <t>襷ガブリアス</t>
    <rPh sb="0" eb="1">
      <t>タスキ</t>
    </rPh>
    <phoneticPr fontId="1"/>
  </si>
  <si>
    <t>襷ウーラオス(一撃)</t>
    <rPh sb="0" eb="1">
      <t>タスキ</t>
    </rPh>
    <rPh sb="7" eb="9">
      <t>イチゲキ</t>
    </rPh>
    <phoneticPr fontId="1"/>
  </si>
  <si>
    <t>エラがみ</t>
    <phoneticPr fontId="1"/>
  </si>
  <si>
    <t>インファイト</t>
    <phoneticPr fontId="1"/>
  </si>
  <si>
    <t>すいりゅうれんだ</t>
    <phoneticPr fontId="1"/>
  </si>
  <si>
    <t>評価値*-1</t>
    <rPh sb="0" eb="2">
      <t>ヒョウカ</t>
    </rPh>
    <rPh sb="2" eb="3">
      <t>チ</t>
    </rPh>
    <phoneticPr fontId="1"/>
  </si>
  <si>
    <t>じめん</t>
    <phoneticPr fontId="1"/>
  </si>
  <si>
    <t>AS+h</t>
    <phoneticPr fontId="1"/>
  </si>
  <si>
    <t>いかく</t>
    <phoneticPr fontId="1"/>
  </si>
  <si>
    <t>オボンの実</t>
    <rPh sb="4" eb="5">
      <t>ミ</t>
    </rPh>
    <phoneticPr fontId="1"/>
  </si>
  <si>
    <t>とんぼがえり</t>
    <phoneticPr fontId="1"/>
  </si>
  <si>
    <t>むし</t>
    <phoneticPr fontId="1"/>
  </si>
  <si>
    <t>いわ</t>
    <phoneticPr fontId="1"/>
  </si>
  <si>
    <t>そらをとぶ</t>
    <phoneticPr fontId="1"/>
  </si>
  <si>
    <t>-</t>
    <phoneticPr fontId="1"/>
  </si>
  <si>
    <t>ストーンエッジ</t>
    <phoneticPr fontId="1"/>
  </si>
  <si>
    <t>なみのり</t>
    <phoneticPr fontId="1"/>
  </si>
  <si>
    <t>かげうち</t>
    <phoneticPr fontId="1"/>
  </si>
  <si>
    <t>ラスターカノン</t>
    <phoneticPr fontId="1"/>
  </si>
  <si>
    <t>相手</t>
    <rPh sb="0" eb="2">
      <t>アイテ</t>
    </rPh>
    <phoneticPr fontId="1"/>
  </si>
  <si>
    <t>やどりぎのたね</t>
    <phoneticPr fontId="1"/>
  </si>
  <si>
    <t>やどりぎのタネ</t>
    <phoneticPr fontId="1"/>
  </si>
  <si>
    <t>まもる</t>
    <phoneticPr fontId="1"/>
  </si>
  <si>
    <t>メテオビーム</t>
    <phoneticPr fontId="1"/>
  </si>
  <si>
    <t>ステルスロック</t>
    <phoneticPr fontId="1"/>
  </si>
  <si>
    <t>ふきとばし</t>
    <phoneticPr fontId="1"/>
  </si>
  <si>
    <t>トリプルアクセル</t>
    <phoneticPr fontId="1"/>
  </si>
  <si>
    <t>瀕死</t>
    <rPh sb="0" eb="2">
      <t>ヒンシ</t>
    </rPh>
    <phoneticPr fontId="1"/>
  </si>
  <si>
    <t>もえあがるいかり</t>
    <phoneticPr fontId="1"/>
  </si>
  <si>
    <t>はかいこうせん</t>
    <phoneticPr fontId="1"/>
  </si>
  <si>
    <t>れいとうパンチ</t>
    <phoneticPr fontId="1"/>
  </si>
  <si>
    <t>つららおとし</t>
    <phoneticPr fontId="1"/>
  </si>
  <si>
    <t>クイックターン</t>
    <phoneticPr fontId="1"/>
  </si>
  <si>
    <t>ジャイロボール</t>
    <phoneticPr fontId="1"/>
  </si>
  <si>
    <t>マジカルシャイン</t>
    <phoneticPr fontId="1"/>
  </si>
  <si>
    <t>ハイドロポンプ</t>
    <phoneticPr fontId="1"/>
  </si>
  <si>
    <t>こおりパンチ</t>
    <phoneticPr fontId="1"/>
  </si>
  <si>
    <t>あんこくきょうだ</t>
    <phoneticPr fontId="1"/>
  </si>
  <si>
    <t>スカーフ</t>
    <phoneticPr fontId="1"/>
  </si>
  <si>
    <t>S235.5</t>
    <phoneticPr fontId="1"/>
  </si>
  <si>
    <t>じじん</t>
    <phoneticPr fontId="1"/>
  </si>
  <si>
    <t>みず</t>
    <phoneticPr fontId="1"/>
  </si>
  <si>
    <t>フェアリー</t>
    <phoneticPr fontId="1"/>
  </si>
  <si>
    <t>HB+c</t>
    <phoneticPr fontId="1"/>
  </si>
  <si>
    <t>図太い</t>
    <rPh sb="0" eb="2">
      <t>ズブト</t>
    </rPh>
    <phoneticPr fontId="1"/>
  </si>
  <si>
    <t>ミストメイカー</t>
    <phoneticPr fontId="1"/>
  </si>
  <si>
    <t>食べ残し</t>
    <rPh sb="0" eb="1">
      <t>タ</t>
    </rPh>
    <rPh sb="2" eb="3">
      <t>ノコ</t>
    </rPh>
    <phoneticPr fontId="1"/>
  </si>
  <si>
    <t>エスパー</t>
    <phoneticPr fontId="1"/>
  </si>
  <si>
    <t>C+1,D+1</t>
    <phoneticPr fontId="1"/>
  </si>
  <si>
    <t>ちょうはつ</t>
    <phoneticPr fontId="1"/>
  </si>
  <si>
    <t>挑発</t>
    <rPh sb="0" eb="1">
      <t>チョウハツ</t>
    </rPh>
    <phoneticPr fontId="1"/>
  </si>
  <si>
    <t>じゃれつく</t>
    <phoneticPr fontId="1"/>
  </si>
  <si>
    <t>ほうでん</t>
    <phoneticPr fontId="1"/>
  </si>
  <si>
    <t>ウッドハンマー</t>
    <phoneticPr fontId="1"/>
  </si>
  <si>
    <t>ヘドロウェーブ</t>
    <phoneticPr fontId="1"/>
  </si>
  <si>
    <t>シャドーボール</t>
    <phoneticPr fontId="1"/>
  </si>
  <si>
    <t>どくづき</t>
    <phoneticPr fontId="1"/>
  </si>
  <si>
    <t>わるだくみ</t>
    <phoneticPr fontId="1"/>
  </si>
  <si>
    <t>コメットパンチ</t>
    <phoneticPr fontId="1"/>
  </si>
  <si>
    <t>最大アシストパワー</t>
    <rPh sb="0" eb="2">
      <t>サイダイ</t>
    </rPh>
    <phoneticPr fontId="1"/>
  </si>
  <si>
    <t>ダブルウィング</t>
    <phoneticPr fontId="1"/>
  </si>
  <si>
    <t>パワーウィップ</t>
    <phoneticPr fontId="1"/>
  </si>
  <si>
    <t>ゴースト</t>
    <phoneticPr fontId="1"/>
  </si>
  <si>
    <t>ばけのかわ</t>
    <phoneticPr fontId="1"/>
  </si>
  <si>
    <t>アッキの実</t>
    <rPh sb="4" eb="5">
      <t>ミ</t>
    </rPh>
    <phoneticPr fontId="1"/>
  </si>
  <si>
    <t>ノーマル</t>
    <phoneticPr fontId="1"/>
  </si>
  <si>
    <t>A+2</t>
    <phoneticPr fontId="1"/>
  </si>
  <si>
    <t>だいもんじ</t>
    <phoneticPr fontId="1"/>
  </si>
  <si>
    <t>じこさいせい</t>
    <phoneticPr fontId="1"/>
  </si>
  <si>
    <t>リフレクター</t>
    <phoneticPr fontId="1"/>
  </si>
  <si>
    <t>縦列味方/横列相手</t>
    <rPh sb="0" eb="1">
      <t>タテ</t>
    </rPh>
    <rPh sb="1" eb="2">
      <t>レツ</t>
    </rPh>
    <rPh sb="2" eb="4">
      <t>ミカタ</t>
    </rPh>
    <rPh sb="5" eb="6">
      <t>ヨコ</t>
    </rPh>
    <rPh sb="6" eb="7">
      <t>レツ</t>
    </rPh>
    <rPh sb="7" eb="9">
      <t>アイテ</t>
    </rPh>
    <phoneticPr fontId="1"/>
  </si>
  <si>
    <t>でんき</t>
    <phoneticPr fontId="1"/>
  </si>
  <si>
    <t>CS+b</t>
    <phoneticPr fontId="1"/>
  </si>
  <si>
    <t>控えめ</t>
    <rPh sb="0" eb="1">
      <t>ヒカ</t>
    </rPh>
    <phoneticPr fontId="1"/>
  </si>
  <si>
    <t>せいでんき</t>
    <phoneticPr fontId="1"/>
  </si>
  <si>
    <t>はねやすめ</t>
    <phoneticPr fontId="1"/>
  </si>
  <si>
    <t>HP+50%</t>
    <phoneticPr fontId="1"/>
  </si>
  <si>
    <t>ねっぷう</t>
    <phoneticPr fontId="1"/>
  </si>
  <si>
    <t>マグマストーム</t>
    <phoneticPr fontId="1"/>
  </si>
  <si>
    <t>はがね</t>
    <phoneticPr fontId="1"/>
  </si>
  <si>
    <t>CS+h</t>
    <phoneticPr fontId="1"/>
  </si>
  <si>
    <t>ビーストブースト</t>
    <phoneticPr fontId="1"/>
  </si>
  <si>
    <t>エアスラッシュ</t>
    <phoneticPr fontId="1"/>
  </si>
  <si>
    <t>はたきおとす</t>
    <phoneticPr fontId="1"/>
  </si>
  <si>
    <t>ほのおのパンチ</t>
    <phoneticPr fontId="1"/>
  </si>
  <si>
    <t>ほのおのキバ</t>
    <phoneticPr fontId="1"/>
  </si>
  <si>
    <t>くさ</t>
    <phoneticPr fontId="1"/>
  </si>
  <si>
    <t>宿り木</t>
    <rPh sb="0" eb="1">
      <t>ヤド</t>
    </rPh>
    <rPh sb="2" eb="3">
      <t>ギ</t>
    </rPh>
    <phoneticPr fontId="1"/>
  </si>
  <si>
    <t>かんほうしゃ</t>
    <phoneticPr fontId="1"/>
  </si>
  <si>
    <t>守り</t>
    <rPh sb="0" eb="1">
      <t>マモ</t>
    </rPh>
    <phoneticPr fontId="1"/>
  </si>
  <si>
    <t>重さ依存</t>
    <rPh sb="1" eb="3">
      <t>イゾン</t>
    </rPh>
    <phoneticPr fontId="1"/>
  </si>
  <si>
    <t>かえんほうしゃ</t>
    <phoneticPr fontId="1"/>
  </si>
  <si>
    <t>HP</t>
    <phoneticPr fontId="1"/>
  </si>
  <si>
    <t>ダウンロード</t>
    <phoneticPr fontId="1"/>
  </si>
  <si>
    <t>進化の輝石</t>
    <rPh sb="0" eb="2">
      <t>シンカ</t>
    </rPh>
    <rPh sb="3" eb="5">
      <t>キセキ</t>
    </rPh>
    <phoneticPr fontId="1"/>
  </si>
  <si>
    <t>こおり</t>
    <phoneticPr fontId="1"/>
  </si>
  <si>
    <t>アシストパワー</t>
    <phoneticPr fontId="1"/>
  </si>
  <si>
    <t>やどりぎ</t>
    <phoneticPr fontId="1"/>
  </si>
  <si>
    <t>AS+b</t>
    <phoneticPr fontId="1"/>
  </si>
  <si>
    <t>意地張り</t>
    <rPh sb="0" eb="2">
      <t>イジ</t>
    </rPh>
    <rPh sb="2" eb="3">
      <t>パ</t>
    </rPh>
    <phoneticPr fontId="1"/>
  </si>
  <si>
    <t>グラスメイカー</t>
    <phoneticPr fontId="1"/>
  </si>
  <si>
    <t>拘り鉢巻</t>
    <rPh sb="0" eb="1">
      <t>コダワ</t>
    </rPh>
    <rPh sb="2" eb="4">
      <t>ハチマキ</t>
    </rPh>
    <phoneticPr fontId="1"/>
  </si>
  <si>
    <t>10まんばりき</t>
    <phoneticPr fontId="1"/>
  </si>
  <si>
    <t>アクアジェット</t>
    <phoneticPr fontId="1"/>
  </si>
  <si>
    <t>どく</t>
    <phoneticPr fontId="1"/>
  </si>
  <si>
    <t>臆病</t>
    <rPh sb="0" eb="2">
      <t>オクビョウ</t>
    </rPh>
    <phoneticPr fontId="1"/>
  </si>
  <si>
    <t>パワフルハーブ</t>
    <phoneticPr fontId="1"/>
  </si>
  <si>
    <t>くさむすび</t>
    <phoneticPr fontId="1"/>
  </si>
  <si>
    <t>重さ依存</t>
    <rPh sb="0" eb="1">
      <t>オモ</t>
    </rPh>
    <rPh sb="2" eb="4">
      <t>イゾン</t>
    </rPh>
    <phoneticPr fontId="1"/>
  </si>
  <si>
    <t>だいちのちから</t>
    <phoneticPr fontId="1"/>
  </si>
  <si>
    <t>HB+d</t>
    <phoneticPr fontId="1"/>
  </si>
  <si>
    <t>腕白</t>
    <rPh sb="0" eb="2">
      <t>ワンパク</t>
    </rPh>
    <phoneticPr fontId="1"/>
  </si>
  <si>
    <t>すなおこし</t>
    <phoneticPr fontId="1"/>
  </si>
  <si>
    <t>眠気</t>
    <rPh sb="0" eb="2">
      <t>ネムケ</t>
    </rPh>
    <phoneticPr fontId="1"/>
  </si>
  <si>
    <t>ステロ</t>
    <phoneticPr fontId="1"/>
  </si>
  <si>
    <t>強制交代</t>
    <rPh sb="0" eb="2">
      <t>キョウセイ</t>
    </rPh>
    <rPh sb="2" eb="4">
      <t>コウタイ</t>
    </rPh>
    <phoneticPr fontId="1"/>
  </si>
  <si>
    <t>失敗</t>
    <rPh sb="0" eb="2">
      <t>シッパイ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</si>
</sst>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shrinkToFit="1"/>
    </xf>
    <xf numFmtId="0" fontId="0" fillId="0" borderId="0" xfId="0" quotePrefix="1" applyAlignment="1">
      <alignment shrinkToFit="1"/>
    </xf>
    <xf numFmtId="0" fontId="0" fillId="2" borderId="0" xfId="0" applyFill="1" applyAlignment="1">
      <alignment shrinkToFit="1"/>
    </xf>
    <xf numFmtId="0" fontId="0" fillId="3" borderId="0" xfId="0" applyFill="1" applyAlignment="1">
      <alignment shrinkToFit="1"/>
    </xf>
    <xf numFmtId="0" fontId="0" fillId="4" borderId="0" xfId="0" applyFill="1" applyAlignment="1">
      <alignment shrinkToFit="1"/>
    </xf>
    <xf numFmtId="0" fontId="0" fillId="0" borderId="0" xfId="0" applyFill="1" applyAlignment="1">
      <alignment shrinkToFit="1"/>
    </xf>
    <xf numFmtId="0" fontId="0" fillId="5" borderId="0" xfId="0" applyFill="1" applyAlignment="1">
      <alignment shrinkToFit="1"/>
    </xf>
    <xf numFmtId="0" fontId="0" fillId="2" borderId="0" xfId="0" quotePrefix="1" applyFill="1" applyAlignment="1">
      <alignment shrinkToFit="1"/>
    </xf>
    <xf numFmtId="176" fontId="0" fillId="0" borderId="0" xfId="0" applyNumberFormat="1" applyAlignment="1">
      <alignment shrinkToFit="1"/>
    </xf>
    <xf numFmtId="176" fontId="0" fillId="3" borderId="0" xfId="0" applyNumberFormat="1" applyFill="1" applyAlignment="1">
      <alignment shrinkToFit="1"/>
    </xf>
    <xf numFmtId="176" fontId="0" fillId="2" borderId="0" xfId="0" applyNumberFormat="1" applyFill="1" applyAlignment="1">
      <alignment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8" sqref="D38"/>
    </sheetView>
  </sheetViews>
  <sheetFormatPr defaultRowHeight="18.75"/>
  <cols>
    <col min="1" max="26" width="9.625" style="9" customWidth="1"/>
    <col min="27" max="16384" width="9" style="9"/>
  </cols>
  <sheetData>
    <row r="1" spans="1:35">
      <c r="A1" s="9" t="s">
        <v>179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</row>
    <row r="2" spans="1:35">
      <c r="A2" s="11" t="s">
        <v>0</v>
      </c>
      <c r="B2" s="9">
        <v>0</v>
      </c>
      <c r="C2" s="9">
        <f>-1*B3</f>
        <v>-387.07199999999995</v>
      </c>
      <c r="D2" s="9">
        <f>-1*B4</f>
        <v>-286.72000000000003</v>
      </c>
      <c r="E2" s="9">
        <f>-1*B5</f>
        <v>-406.52799999999996</v>
      </c>
      <c r="F2" s="9">
        <f>-1*B6</f>
        <v>-297.98400000000004</v>
      </c>
      <c r="G2" s="9">
        <f>-1*B7</f>
        <v>0</v>
      </c>
      <c r="H2" s="9">
        <f>-1*B8</f>
        <v>921.6</v>
      </c>
      <c r="I2" s="9">
        <f>-1*B9</f>
        <v>508.92800000000005</v>
      </c>
      <c r="J2" s="9">
        <f>-1*B10</f>
        <v>384</v>
      </c>
      <c r="K2" s="9">
        <f>-1*B11</f>
        <v>486.4</v>
      </c>
      <c r="L2" s="9">
        <f>-1*B12</f>
        <v>921.6</v>
      </c>
      <c r="M2" s="9">
        <f>-1*B13</f>
        <v>-376.83199999999999</v>
      </c>
      <c r="N2" s="9">
        <f>-1*B14</f>
        <v>921.6</v>
      </c>
      <c r="O2" s="9">
        <f>-1*B15</f>
        <v>921.6</v>
      </c>
      <c r="P2" s="9">
        <f>-1*B16</f>
        <v>-218.11199999999997</v>
      </c>
      <c r="Q2" s="9">
        <f>-1*B17</f>
        <v>-445.952</v>
      </c>
      <c r="R2" s="9">
        <f>-1*B18</f>
        <v>30.20800000000003</v>
      </c>
      <c r="S2" s="9">
        <f>-1*B19</f>
        <v>66.56</v>
      </c>
      <c r="T2" s="9">
        <f>-1*B20</f>
        <v>921.6</v>
      </c>
      <c r="U2" s="9">
        <f>-1*B21</f>
        <v>293.88799999999998</v>
      </c>
      <c r="V2" s="9">
        <f>-1*B22</f>
        <v>921.6</v>
      </c>
      <c r="W2" s="9">
        <f>-1*B23</f>
        <v>-301.56799999999998</v>
      </c>
      <c r="X2" s="9">
        <f>-1*B24</f>
        <v>0</v>
      </c>
      <c r="Y2" s="9">
        <f>-1*B25</f>
        <v>921.6</v>
      </c>
      <c r="Z2" s="9">
        <f>-1*B26</f>
        <v>-167.93600000000006</v>
      </c>
      <c r="AA2" s="9">
        <f>-1*B27</f>
        <v>921.6</v>
      </c>
      <c r="AB2" s="9">
        <f>-1*B28</f>
        <v>-713.72800000000007</v>
      </c>
      <c r="AC2" s="9">
        <f>-1*B29</f>
        <v>-282.11199999999997</v>
      </c>
      <c r="AD2" s="9">
        <f>-1*B30</f>
        <v>-637.952</v>
      </c>
      <c r="AE2" s="9">
        <f>-1*B31</f>
        <v>921.6</v>
      </c>
      <c r="AF2" s="9">
        <f>-1*B32</f>
        <v>-44.031999999999968</v>
      </c>
      <c r="AG2" s="9">
        <f>-1*B33</f>
        <v>857.6</v>
      </c>
      <c r="AH2" s="9">
        <f>-1*B34</f>
        <v>-179.2</v>
      </c>
      <c r="AI2" s="9">
        <f>-1*B35</f>
        <v>-10.24</v>
      </c>
    </row>
    <row r="3" spans="1:35">
      <c r="A3" s="11" t="s">
        <v>1</v>
      </c>
      <c r="B3" s="9">
        <v>387.07199999999995</v>
      </c>
      <c r="C3" s="9">
        <v>0</v>
      </c>
      <c r="D3" s="9">
        <f>-1*C4</f>
        <v>-196.60799999999989</v>
      </c>
      <c r="E3" s="9">
        <f>-1*C5</f>
        <v>-377.85600000000005</v>
      </c>
      <c r="F3" s="9">
        <f>-1*C6</f>
        <v>297.47200000000004</v>
      </c>
      <c r="G3" s="9">
        <f>-1*C7</f>
        <v>-333.31199999999995</v>
      </c>
      <c r="H3" s="9">
        <f>-1*C8</f>
        <v>-340.99200000000002</v>
      </c>
      <c r="I3" s="9">
        <f>-1*C9</f>
        <v>-574.46400000000006</v>
      </c>
      <c r="J3" s="9">
        <f>-1*C10</f>
        <v>-738.81600000000003</v>
      </c>
      <c r="K3" s="9">
        <f>-1*C11</f>
        <v>543.74400000000003</v>
      </c>
      <c r="L3" s="9">
        <f>-1*C12</f>
        <v>-1024</v>
      </c>
      <c r="M3" s="9">
        <f>-1*C13</f>
        <v>563.20000000000005</v>
      </c>
      <c r="N3" s="9">
        <f>-1*C14</f>
        <v>-16.383999999999943</v>
      </c>
      <c r="O3" s="9">
        <f>-1*C15</f>
        <v>-622.59199999999998</v>
      </c>
      <c r="P3" s="9">
        <f>-1*C16</f>
        <v>-921.6</v>
      </c>
      <c r="Q3" s="9">
        <f>-1*C17</f>
        <v>-1024</v>
      </c>
      <c r="R3" s="9">
        <f>-1*C18</f>
        <v>-466.43199999999996</v>
      </c>
      <c r="S3" s="9">
        <f>-1*C19</f>
        <v>638.46400000000006</v>
      </c>
      <c r="T3" s="9">
        <f>-1*C20</f>
        <v>-131.58399999999995</v>
      </c>
      <c r="U3" s="9">
        <f>-1*C21</f>
        <v>-556.03199999999993</v>
      </c>
      <c r="V3" s="9">
        <f>-1*C22</f>
        <v>1024</v>
      </c>
      <c r="W3" s="9">
        <f>-1*C23</f>
        <v>-759.29600000000005</v>
      </c>
      <c r="X3" s="9">
        <f>-1*C24</f>
        <v>-1024</v>
      </c>
      <c r="Y3" s="9">
        <f>-1*C25</f>
        <v>-621.05600000000004</v>
      </c>
      <c r="Z3" s="9">
        <f>-1*C26</f>
        <v>30.72</v>
      </c>
      <c r="AA3" s="9">
        <f>-1*C27</f>
        <v>-449.79199999999997</v>
      </c>
      <c r="AB3" s="9">
        <f>-1*C28</f>
        <v>603.64800000000002</v>
      </c>
      <c r="AC3" s="9">
        <f>-1*C29</f>
        <v>265.72800000000001</v>
      </c>
      <c r="AD3" s="9">
        <f>-1*C30</f>
        <v>-629.24800000000005</v>
      </c>
      <c r="AE3" s="9">
        <f>-1*C31</f>
        <v>-708.60800000000006</v>
      </c>
      <c r="AF3" s="9">
        <f>-1*C32</f>
        <v>-1024</v>
      </c>
      <c r="AG3" s="9">
        <f>-1*C33</f>
        <v>324.608</v>
      </c>
      <c r="AH3" s="9">
        <f>-1*C34</f>
        <v>-431.10400000000004</v>
      </c>
      <c r="AI3" s="9">
        <f>-1*C35</f>
        <v>-433.66399999999999</v>
      </c>
    </row>
    <row r="4" spans="1:35">
      <c r="A4" s="11" t="s">
        <v>2</v>
      </c>
      <c r="B4" s="9">
        <v>286.72000000000003</v>
      </c>
      <c r="C4" s="9">
        <v>196.60799999999989</v>
      </c>
      <c r="D4" s="9">
        <v>0</v>
      </c>
      <c r="E4" s="9">
        <f>-1*D5</f>
        <v>-377.85600000000005</v>
      </c>
      <c r="F4" s="9">
        <f>-1*D6</f>
        <v>41.472000000000044</v>
      </c>
      <c r="G4" s="9">
        <f>-1*D7</f>
        <v>0</v>
      </c>
      <c r="H4" s="9">
        <f>-1*D8</f>
        <v>-32.768000000000029</v>
      </c>
      <c r="I4" s="9">
        <f>-1*D9</f>
        <v>-830.46399999999994</v>
      </c>
      <c r="J4" s="9">
        <f>-1*D10</f>
        <v>-738.81600000000003</v>
      </c>
      <c r="K4" s="9">
        <f>-1*D11</f>
        <v>543.74400000000003</v>
      </c>
      <c r="L4" s="9">
        <f>-1*D12</f>
        <v>1024</v>
      </c>
      <c r="M4" s="9">
        <f>-1*D13</f>
        <v>563.20000000000005</v>
      </c>
      <c r="N4" s="9">
        <f>-1*D14</f>
        <v>-115.2</v>
      </c>
      <c r="O4" s="9">
        <f>-1*D15</f>
        <v>44.031999999999968</v>
      </c>
      <c r="P4" s="9">
        <f>-1*D16</f>
        <v>1024</v>
      </c>
      <c r="Q4" s="9">
        <f>-1*D17</f>
        <v>-10.24</v>
      </c>
      <c r="R4" s="9">
        <f>-1*D18</f>
        <v>-105.98399999999994</v>
      </c>
      <c r="S4" s="9">
        <f>-1*D19</f>
        <v>382.464</v>
      </c>
      <c r="T4" s="9">
        <f>-1*D20</f>
        <v>-131.58399999999995</v>
      </c>
      <c r="U4" s="9">
        <f>-1*D21</f>
        <v>-556.03199999999993</v>
      </c>
      <c r="V4" s="9">
        <f>-1*D22</f>
        <v>1024</v>
      </c>
      <c r="W4" s="9">
        <f>-1*D23</f>
        <v>-588.79999999999995</v>
      </c>
      <c r="X4" s="9">
        <f>-1*D24</f>
        <v>-433.66399999999999</v>
      </c>
      <c r="Y4" s="9">
        <f>-1*D25</f>
        <v>-621.05600000000004</v>
      </c>
      <c r="Z4" s="9">
        <f>-1*D26</f>
        <v>-225.28</v>
      </c>
      <c r="AA4" s="9">
        <f>-1*D27</f>
        <v>-430.59199999999998</v>
      </c>
      <c r="AB4" s="9">
        <f>-1*D28</f>
        <v>1024</v>
      </c>
      <c r="AC4" s="9">
        <f>-1*D29</f>
        <v>9.72800000000003</v>
      </c>
      <c r="AD4" s="9">
        <f>-1*D30</f>
        <v>-371.71199999999999</v>
      </c>
      <c r="AE4" s="9">
        <f>-1*D31</f>
        <v>-751.6160000000001</v>
      </c>
      <c r="AF4" s="9">
        <f>-1*D32</f>
        <v>105.98399999999994</v>
      </c>
      <c r="AG4" s="9">
        <f>-1*D33</f>
        <v>68.608000000000033</v>
      </c>
      <c r="AH4" s="9">
        <f>-1*D34</f>
        <v>509.44</v>
      </c>
      <c r="AI4" s="9">
        <f>-1*D35</f>
        <v>251.90399999999994</v>
      </c>
    </row>
    <row r="5" spans="1:35">
      <c r="A5" s="11" t="s">
        <v>3</v>
      </c>
      <c r="B5" s="9">
        <v>406.52799999999996</v>
      </c>
      <c r="C5" s="9">
        <v>377.85600000000005</v>
      </c>
      <c r="D5" s="9">
        <v>377.85600000000005</v>
      </c>
      <c r="E5" s="9">
        <v>0</v>
      </c>
      <c r="F5" s="9">
        <f>-1*E6</f>
        <v>75.775999999999911</v>
      </c>
      <c r="G5" s="9">
        <f>-1*E7</f>
        <v>-1024</v>
      </c>
      <c r="H5" s="9">
        <f>-1*E8</f>
        <v>136.19199999999992</v>
      </c>
      <c r="I5" s="9">
        <f>-1*E9</f>
        <v>-72.19200000000005</v>
      </c>
      <c r="J5" s="9">
        <f>-1*E10</f>
        <v>-379.90399999999994</v>
      </c>
      <c r="K5" s="9">
        <f>-1*E11</f>
        <v>-1024</v>
      </c>
      <c r="L5" s="9">
        <f>-1*E12</f>
        <v>-537.6</v>
      </c>
      <c r="M5" s="9">
        <f>-1*E13</f>
        <v>562.68799999999999</v>
      </c>
      <c r="N5" s="9">
        <f>-1*E14</f>
        <v>495.10400000000004</v>
      </c>
      <c r="O5" s="9">
        <f>-1*E15</f>
        <v>581.12</v>
      </c>
      <c r="P5" s="9">
        <f>-1*E16</f>
        <v>-921.6</v>
      </c>
      <c r="Q5" s="9">
        <f>-1*E17</f>
        <v>348.67199999999997</v>
      </c>
      <c r="R5" s="9">
        <f>-1*E18</f>
        <v>-434.68800000000005</v>
      </c>
      <c r="S5" s="9">
        <f>-1*E19</f>
        <v>-387.07199999999995</v>
      </c>
      <c r="T5" s="9">
        <f>-1*E20</f>
        <v>116.22400000000009</v>
      </c>
      <c r="U5" s="9">
        <f>-1*E21</f>
        <v>-192.51199999999989</v>
      </c>
      <c r="V5" s="9">
        <f>-1*E22</f>
        <v>690.68799999999987</v>
      </c>
      <c r="W5" s="9">
        <f>-1*E23</f>
        <v>273.40800000000002</v>
      </c>
      <c r="X5" s="9">
        <f>-1*E24</f>
        <v>499.2</v>
      </c>
      <c r="Y5" s="9">
        <f>-1*E25</f>
        <v>40.96</v>
      </c>
      <c r="Z5" s="9">
        <f>-1*E26</f>
        <v>313.34399999999994</v>
      </c>
      <c r="AA5" s="9">
        <f>-1*E27</f>
        <v>-664.57600000000002</v>
      </c>
      <c r="AB5" s="9">
        <f>-1*E28</f>
        <v>-508.92800000000005</v>
      </c>
      <c r="AC5" s="9">
        <f>-1*E29</f>
        <v>441.85600000000005</v>
      </c>
      <c r="AD5" s="9">
        <f>-1*E30</f>
        <v>-198.14399999999995</v>
      </c>
      <c r="AE5" s="9">
        <f>-1*E31</f>
        <v>-569.34400000000005</v>
      </c>
      <c r="AF5" s="9">
        <f>-1*E32</f>
        <v>511.48799999999994</v>
      </c>
      <c r="AG5" s="9">
        <f>-1*E33</f>
        <v>-273.40800000000002</v>
      </c>
      <c r="AH5" s="9">
        <f>-1*E34</f>
        <v>443.90399999999994</v>
      </c>
      <c r="AI5" s="9">
        <f>-1*E35</f>
        <v>928.25600000000009</v>
      </c>
    </row>
    <row r="6" spans="1:35">
      <c r="A6" s="11" t="s">
        <v>4</v>
      </c>
      <c r="B6" s="9">
        <v>297.98400000000004</v>
      </c>
      <c r="C6" s="9">
        <v>-297.47200000000004</v>
      </c>
      <c r="D6" s="9">
        <v>-41.472000000000044</v>
      </c>
      <c r="E6" s="9">
        <v>-75.775999999999911</v>
      </c>
      <c r="F6" s="9">
        <v>0</v>
      </c>
      <c r="G6" s="9">
        <f>-1*F7</f>
        <v>896</v>
      </c>
      <c r="H6" s="9">
        <f>-1*F8</f>
        <v>-263.68</v>
      </c>
      <c r="I6" s="9">
        <f>-1*F9</f>
        <v>-384</v>
      </c>
      <c r="J6" s="9">
        <f>-1*F10</f>
        <v>-197.11999999999986</v>
      </c>
      <c r="K6" s="9">
        <f>-1*F11</f>
        <v>-532.99199999999996</v>
      </c>
      <c r="L6" s="9">
        <f>-1*F12</f>
        <v>-78.847999999999956</v>
      </c>
      <c r="M6" s="9">
        <f>-1*F13</f>
        <v>-142.84799999999996</v>
      </c>
      <c r="N6" s="9">
        <f>-1*F14</f>
        <v>704</v>
      </c>
      <c r="O6" s="9">
        <f>-1*F15</f>
        <v>768</v>
      </c>
      <c r="P6" s="9">
        <f>-1*F16</f>
        <v>48.64</v>
      </c>
      <c r="Q6" s="9">
        <f>-1*F17</f>
        <v>435.71199999999999</v>
      </c>
      <c r="R6" s="9">
        <f>-1*F18</f>
        <v>896</v>
      </c>
      <c r="S6" s="9">
        <f>-1*F19</f>
        <v>640</v>
      </c>
      <c r="T6" s="9">
        <f>-1*F20</f>
        <v>896</v>
      </c>
      <c r="U6" s="9">
        <f>-1*F21</f>
        <v>105.47199999999997</v>
      </c>
      <c r="V6" s="9">
        <f>-1*F22</f>
        <v>-375.80800000000005</v>
      </c>
      <c r="W6" s="9">
        <f>-1*F23</f>
        <v>169.98400000000001</v>
      </c>
      <c r="X6" s="9">
        <f>-1*F24</f>
        <v>-76.800000000000068</v>
      </c>
      <c r="Y6" s="9">
        <f>-1*F25</f>
        <v>-505.34399999999999</v>
      </c>
      <c r="Z6" s="9">
        <f>-1*F26</f>
        <v>-57.344000000000015</v>
      </c>
      <c r="AA6" s="9">
        <f>-1*F27</f>
        <v>-419.84</v>
      </c>
      <c r="AB6" s="9">
        <f>-1*F28</f>
        <v>140.28800000000004</v>
      </c>
      <c r="AC6" s="9">
        <f>-1*F29</f>
        <v>-32.768000000000029</v>
      </c>
      <c r="AD6" s="9">
        <f>-1*F30</f>
        <v>896</v>
      </c>
      <c r="AE6" s="9">
        <f>-1*F31</f>
        <v>-226.30399999999995</v>
      </c>
      <c r="AF6" s="9">
        <f>-1*F32</f>
        <v>317.952</v>
      </c>
      <c r="AG6" s="9">
        <f>-1*F33</f>
        <v>896</v>
      </c>
      <c r="AH6" s="9">
        <f>-1*F34</f>
        <v>178.68800000000002</v>
      </c>
      <c r="AI6" s="9">
        <f>-1*F35</f>
        <v>478.20800000000003</v>
      </c>
    </row>
    <row r="7" spans="1:35">
      <c r="A7" s="11" t="s">
        <v>5</v>
      </c>
      <c r="B7" s="9">
        <v>0</v>
      </c>
      <c r="C7" s="9">
        <v>333.31199999999995</v>
      </c>
      <c r="D7" s="9">
        <v>0</v>
      </c>
      <c r="E7" s="9">
        <v>1024</v>
      </c>
      <c r="F7" s="9">
        <v>-896</v>
      </c>
      <c r="G7" s="9">
        <v>0</v>
      </c>
      <c r="H7" s="9">
        <f>-1*G8</f>
        <v>921.6</v>
      </c>
      <c r="I7" s="9">
        <f>-1*G9</f>
        <v>921.6</v>
      </c>
      <c r="J7" s="9">
        <f>-1*G10</f>
        <v>388.608</v>
      </c>
      <c r="K7" s="9">
        <f>-1*G11</f>
        <v>556.03199999999993</v>
      </c>
      <c r="L7" s="9">
        <f>-1*G12</f>
        <v>-1024</v>
      </c>
      <c r="M7" s="9">
        <f>-1*G13</f>
        <v>921.6</v>
      </c>
      <c r="N7" s="9">
        <f>-1*G14</f>
        <v>102.91199999999998</v>
      </c>
      <c r="O7" s="9">
        <f>-1*G15</f>
        <v>22.016000000000059</v>
      </c>
      <c r="P7" s="9">
        <f>-1*G16</f>
        <v>-921.6</v>
      </c>
      <c r="Q7" s="9">
        <f>-1*G17</f>
        <v>-1024</v>
      </c>
      <c r="R7" s="9">
        <f>-1*G18</f>
        <v>921.6</v>
      </c>
      <c r="S7" s="9">
        <f>-1*G19</f>
        <v>-96.256000000000057</v>
      </c>
      <c r="T7" s="9">
        <f>-1*G20</f>
        <v>121.85600000000005</v>
      </c>
      <c r="U7" s="9">
        <f>-1*G21</f>
        <v>-123.90399999999994</v>
      </c>
      <c r="V7" s="9">
        <f>-1*G22</f>
        <v>-248.83199999999997</v>
      </c>
      <c r="W7" s="9">
        <f>-1*G23</f>
        <v>-582.65599999999995</v>
      </c>
      <c r="X7" s="9">
        <f>-1*G24</f>
        <v>-10.24</v>
      </c>
      <c r="Y7" s="9">
        <f>-1*G25</f>
        <v>-267.77600000000007</v>
      </c>
      <c r="Z7" s="9">
        <f>-1*G26</f>
        <v>921.6</v>
      </c>
      <c r="AA7" s="9">
        <f>-1*G27</f>
        <v>921.6</v>
      </c>
      <c r="AB7" s="9">
        <f>-1*G28</f>
        <v>-289.79199999999997</v>
      </c>
      <c r="AC7" s="9">
        <f>-1*G29</f>
        <v>-1024</v>
      </c>
      <c r="AD7" s="9">
        <f>-1*G30</f>
        <v>-3.5839999999999419</v>
      </c>
      <c r="AE7" s="9">
        <f>-1*G31</f>
        <v>264.70399999999995</v>
      </c>
      <c r="AF7" s="9">
        <f>-1*G32</f>
        <v>-1024</v>
      </c>
      <c r="AG7" s="9">
        <f>-1*G33</f>
        <v>-759.80799999999999</v>
      </c>
      <c r="AH7" s="9">
        <f>-1*G34</f>
        <v>-109.56800000000003</v>
      </c>
      <c r="AI7" s="9">
        <f>-1*G35</f>
        <v>-10.24</v>
      </c>
    </row>
    <row r="8" spans="1:35">
      <c r="A8" s="11" t="s">
        <v>6</v>
      </c>
      <c r="B8" s="9">
        <v>-921.6</v>
      </c>
      <c r="C8" s="9">
        <v>340.99200000000002</v>
      </c>
      <c r="D8" s="9">
        <v>32.768000000000029</v>
      </c>
      <c r="E8" s="9">
        <v>-136.19199999999992</v>
      </c>
      <c r="F8" s="9">
        <v>263.68</v>
      </c>
      <c r="G8" s="9">
        <v>-921.6</v>
      </c>
      <c r="H8" s="9">
        <v>0</v>
      </c>
      <c r="I8" s="9">
        <f>-1*H9</f>
        <v>563.20000000000005</v>
      </c>
      <c r="J8" s="9">
        <f>-1*H10</f>
        <v>-256</v>
      </c>
      <c r="K8" s="9">
        <f>-1*H11</f>
        <v>467.96800000000002</v>
      </c>
      <c r="L8" s="9">
        <f>-1*H12</f>
        <v>-192.51199999999997</v>
      </c>
      <c r="M8" s="9">
        <f>-1*H13</f>
        <v>547.84</v>
      </c>
      <c r="N8" s="9">
        <f>-1*H14</f>
        <v>-72.191999999999965</v>
      </c>
      <c r="O8" s="9">
        <f>-1*H15</f>
        <v>-72.191999999999965</v>
      </c>
      <c r="P8" s="9">
        <f>-1*H16</f>
        <v>-1024</v>
      </c>
      <c r="Q8" s="9">
        <f>-1*H17</f>
        <v>-10.24</v>
      </c>
      <c r="R8" s="9">
        <f>-1*H18</f>
        <v>13.311999999999971</v>
      </c>
      <c r="S8" s="9">
        <f>-1*H19</f>
        <v>-1024</v>
      </c>
      <c r="T8" s="9">
        <f>-1*H20</f>
        <v>921.6</v>
      </c>
      <c r="U8" s="9">
        <f>-1*H21</f>
        <v>-265.21599999999989</v>
      </c>
      <c r="V8" s="9">
        <f>-1*H22</f>
        <v>-877.05600000000004</v>
      </c>
      <c r="W8" s="9">
        <f>-1*H23</f>
        <v>-731.13600000000008</v>
      </c>
      <c r="X8" s="9">
        <f>-1*H24</f>
        <v>-10.24</v>
      </c>
      <c r="Y8" s="9">
        <f>-1*H25</f>
        <v>377.34399999999999</v>
      </c>
      <c r="Z8" s="9">
        <f>-1*H26</f>
        <v>11.264000000000088</v>
      </c>
      <c r="AA8" s="9">
        <f>-1*H27</f>
        <v>921.6</v>
      </c>
      <c r="AB8" s="9">
        <f>-1*H28</f>
        <v>-1024</v>
      </c>
      <c r="AC8" s="9">
        <f>-1*H29</f>
        <v>0</v>
      </c>
      <c r="AD8" s="9">
        <f>-1*H30</f>
        <v>-1024</v>
      </c>
      <c r="AE8" s="9">
        <f>-1*H31</f>
        <v>-847.87199999999996</v>
      </c>
      <c r="AF8" s="9">
        <f>-1*H32</f>
        <v>-1024</v>
      </c>
      <c r="AG8" s="9">
        <f>-1*H33</f>
        <v>-174.08</v>
      </c>
      <c r="AH8" s="9">
        <f>-1*H34</f>
        <v>-420.35199999999998</v>
      </c>
      <c r="AI8" s="9">
        <f>-1*H35</f>
        <v>-10.24</v>
      </c>
    </row>
    <row r="9" spans="1:35">
      <c r="A9" s="11" t="s">
        <v>7</v>
      </c>
      <c r="B9" s="9">
        <v>-508.92800000000005</v>
      </c>
      <c r="C9" s="9">
        <v>574.46400000000006</v>
      </c>
      <c r="D9" s="9">
        <v>830.46399999999994</v>
      </c>
      <c r="E9" s="9">
        <v>72.19200000000005</v>
      </c>
      <c r="F9" s="9">
        <v>384</v>
      </c>
      <c r="G9" s="9">
        <v>-921.6</v>
      </c>
      <c r="H9" s="9">
        <v>-563.20000000000005</v>
      </c>
      <c r="I9" s="9">
        <v>0</v>
      </c>
      <c r="J9" s="9">
        <f>-1*I10</f>
        <v>178.17600000000004</v>
      </c>
      <c r="K9" s="9">
        <f>-1*I11</f>
        <v>217.6</v>
      </c>
      <c r="L9" s="9">
        <f>-1*I12</f>
        <v>395.77600000000007</v>
      </c>
      <c r="M9" s="9">
        <f>-1*I13</f>
        <v>564.73599999999999</v>
      </c>
      <c r="N9" s="9">
        <f>-1*I14</f>
        <v>742.4</v>
      </c>
      <c r="O9" s="9">
        <f>-1*I15</f>
        <v>218.11199999999997</v>
      </c>
      <c r="P9" s="9">
        <f>-1*I16</f>
        <v>-665.6</v>
      </c>
      <c r="Q9" s="9">
        <f>-1*I17</f>
        <v>639.48800000000006</v>
      </c>
      <c r="R9" s="9">
        <f>-1*I18</f>
        <v>458.49600000000004</v>
      </c>
      <c r="S9" s="9">
        <f>-1*I19</f>
        <v>-768</v>
      </c>
      <c r="T9" s="9">
        <f>-1*I20</f>
        <v>865.28</v>
      </c>
      <c r="U9" s="9">
        <f>-1*I21</f>
        <v>746.49600000000009</v>
      </c>
      <c r="V9" s="9">
        <f>-1*I22</f>
        <v>-768</v>
      </c>
      <c r="W9" s="9">
        <f>-1*I23</f>
        <v>346.88</v>
      </c>
      <c r="X9" s="9">
        <f>-1*I24</f>
        <v>502.01599999999979</v>
      </c>
      <c r="Y9" s="9">
        <f>-1*I25</f>
        <v>377.08800000000002</v>
      </c>
      <c r="Z9" s="9">
        <f>-1*I26</f>
        <v>384</v>
      </c>
      <c r="AA9" s="9">
        <f>-1*I27</f>
        <v>1024</v>
      </c>
      <c r="AB9" s="9">
        <f>-1*I28</f>
        <v>-1024</v>
      </c>
      <c r="AC9" s="9">
        <f>-1*I29</f>
        <v>601.85599999999988</v>
      </c>
      <c r="AD9" s="9">
        <f>-1*I30</f>
        <v>-768</v>
      </c>
      <c r="AE9" s="9">
        <f>-1*I31</f>
        <v>-520.96</v>
      </c>
      <c r="AF9" s="9">
        <f>-1*I32</f>
        <v>-40.192000000000263</v>
      </c>
      <c r="AG9" s="9">
        <f>-1*I33</f>
        <v>935.68</v>
      </c>
      <c r="AH9" s="9">
        <f>-1*I34</f>
        <v>130.30399999999995</v>
      </c>
      <c r="AI9" s="9">
        <f>-1*I35</f>
        <v>911.10399999999993</v>
      </c>
    </row>
    <row r="10" spans="1:35">
      <c r="A10" s="11" t="s">
        <v>8</v>
      </c>
      <c r="B10" s="9">
        <v>-384</v>
      </c>
      <c r="C10" s="9">
        <v>738.81600000000003</v>
      </c>
      <c r="D10" s="9">
        <v>738.81600000000003</v>
      </c>
      <c r="E10" s="9">
        <v>379.90399999999994</v>
      </c>
      <c r="F10" s="9">
        <v>197.11999999999986</v>
      </c>
      <c r="G10" s="9">
        <v>-388.608</v>
      </c>
      <c r="H10" s="9">
        <v>256</v>
      </c>
      <c r="I10" s="9">
        <v>-178.17600000000004</v>
      </c>
      <c r="J10" s="9">
        <v>0</v>
      </c>
      <c r="K10" s="9">
        <f>-1*J11</f>
        <v>578.048</v>
      </c>
      <c r="L10" s="9">
        <f>-1*J12</f>
        <v>-62.463999999999942</v>
      </c>
      <c r="M10" s="9">
        <f>-1*J13</f>
        <v>896</v>
      </c>
      <c r="N10" s="9">
        <f>-1*J14</f>
        <v>513.02400000000011</v>
      </c>
      <c r="O10" s="9">
        <f>-1*J15</f>
        <v>614.91199999999992</v>
      </c>
      <c r="P10" s="9">
        <f>-1*J16</f>
        <v>233.47199999999998</v>
      </c>
      <c r="Q10" s="9">
        <f>-1*J17</f>
        <v>-10.24</v>
      </c>
      <c r="R10" s="9">
        <f>-1*J18</f>
        <v>-205.82399999999996</v>
      </c>
      <c r="S10" s="9">
        <f>-1*J19</f>
        <v>0</v>
      </c>
      <c r="T10" s="9">
        <f>-1*J20</f>
        <v>473.6</v>
      </c>
      <c r="U10" s="9">
        <f>-1*J21</f>
        <v>0.51200000000004364</v>
      </c>
      <c r="V10" s="9">
        <f>-1*J22</f>
        <v>-350.72000000000014</v>
      </c>
      <c r="W10" s="9">
        <f>-1*J23</f>
        <v>592.89599999999996</v>
      </c>
      <c r="X10" s="9">
        <f>-1*J24</f>
        <v>-10.24</v>
      </c>
      <c r="Y10" s="9">
        <f>-1*J25</f>
        <v>44.031999999999968</v>
      </c>
      <c r="Z10" s="9">
        <f>-1*J26</f>
        <v>186.36799999999988</v>
      </c>
      <c r="AA10" s="9">
        <f>-1*J27</f>
        <v>-450.048</v>
      </c>
      <c r="AB10" s="9">
        <f>-1*J28</f>
        <v>66.047999999999959</v>
      </c>
      <c r="AC10" s="9">
        <f>-1*J29</f>
        <v>603.13599999999997</v>
      </c>
      <c r="AD10" s="9">
        <f>-1*J30</f>
        <v>360.44800000000004</v>
      </c>
      <c r="AE10" s="9">
        <f>-1*J31</f>
        <v>51.712000000000117</v>
      </c>
      <c r="AF10" s="9">
        <f>-1*J32</f>
        <v>-445.952</v>
      </c>
      <c r="AG10" s="9">
        <f>-1*J33</f>
        <v>-177.1519999999999</v>
      </c>
      <c r="AH10" s="9">
        <f>-1*J34</f>
        <v>509.952</v>
      </c>
      <c r="AI10" s="9">
        <f>-1*J35</f>
        <v>-10.24</v>
      </c>
    </row>
    <row r="11" spans="1:35">
      <c r="A11" s="11" t="s">
        <v>9</v>
      </c>
      <c r="B11" s="9">
        <v>-486.4</v>
      </c>
      <c r="C11" s="9">
        <v>-543.74400000000003</v>
      </c>
      <c r="D11" s="9">
        <v>-543.74400000000003</v>
      </c>
      <c r="E11" s="9">
        <v>1024</v>
      </c>
      <c r="F11" s="9">
        <v>532.99199999999996</v>
      </c>
      <c r="G11" s="9">
        <v>-556.03199999999993</v>
      </c>
      <c r="H11" s="9">
        <v>-467.96800000000002</v>
      </c>
      <c r="I11" s="9">
        <v>-217.6</v>
      </c>
      <c r="J11" s="9">
        <v>-578.048</v>
      </c>
      <c r="K11" s="9">
        <v>0</v>
      </c>
      <c r="L11" s="9">
        <f>-1*K12</f>
        <v>1024</v>
      </c>
      <c r="M11" s="9">
        <f>-1*K13</f>
        <v>783.70133333333331</v>
      </c>
      <c r="N11" s="9">
        <f>-1*K14</f>
        <v>444.92800000000005</v>
      </c>
      <c r="O11" s="9">
        <f>-1*K15</f>
        <v>-449.024</v>
      </c>
      <c r="P11" s="9">
        <f>-1*K16</f>
        <v>-685.05600000000004</v>
      </c>
      <c r="Q11" s="9">
        <f>-1*K17</f>
        <v>-25.087999999999884</v>
      </c>
      <c r="R11" s="9">
        <f>-1*K18</f>
        <v>-571.39199999999994</v>
      </c>
      <c r="S11" s="9">
        <f>-1*K19</f>
        <v>1024</v>
      </c>
      <c r="T11" s="9">
        <f>-1*K20</f>
        <v>-239.61600000000007</v>
      </c>
      <c r="U11" s="9">
        <f>-1*K21</f>
        <v>308.05333333333323</v>
      </c>
      <c r="V11" s="9">
        <f>-1*K22</f>
        <v>1024</v>
      </c>
      <c r="W11" s="9">
        <f>-1*K23</f>
        <v>-815.10399999999993</v>
      </c>
      <c r="X11" s="9">
        <f>-1*K24</f>
        <v>325.11999999999995</v>
      </c>
      <c r="Y11" s="9">
        <f>-1*K25</f>
        <v>-173.05600000000007</v>
      </c>
      <c r="Z11" s="9">
        <f>-1*K26</f>
        <v>1024</v>
      </c>
      <c r="AA11" s="9">
        <f>-1*K27</f>
        <v>-242.68800000000002</v>
      </c>
      <c r="AB11" s="9">
        <f>-1*K28</f>
        <v>1024</v>
      </c>
      <c r="AC11" s="9">
        <f>-1*K29</f>
        <v>-861.69600000000003</v>
      </c>
      <c r="AD11" s="9">
        <f>-1*K30</f>
        <v>-861.69600000000003</v>
      </c>
      <c r="AE11" s="9">
        <f>-1*K31</f>
        <v>1024</v>
      </c>
      <c r="AF11" s="9">
        <f>-1*K32</f>
        <v>538.11200000000008</v>
      </c>
      <c r="AG11" s="9">
        <f>-1*K33</f>
        <v>1024</v>
      </c>
      <c r="AH11" s="9">
        <f>-1*K34</f>
        <v>185.34399999999994</v>
      </c>
      <c r="AI11" s="9">
        <f>-1*K35</f>
        <v>441.34399999999994</v>
      </c>
    </row>
    <row r="12" spans="1:35">
      <c r="A12" s="11" t="s">
        <v>10</v>
      </c>
      <c r="B12" s="9">
        <v>-921.6</v>
      </c>
      <c r="C12" s="9">
        <v>1024</v>
      </c>
      <c r="D12" s="9">
        <v>-1024</v>
      </c>
      <c r="E12" s="9">
        <v>537.6</v>
      </c>
      <c r="F12" s="9">
        <v>78.847999999999956</v>
      </c>
      <c r="G12" s="9">
        <v>1024</v>
      </c>
      <c r="H12" s="9">
        <v>192.51199999999997</v>
      </c>
      <c r="I12" s="9">
        <v>-395.77600000000007</v>
      </c>
      <c r="J12" s="9">
        <v>62.463999999999942</v>
      </c>
      <c r="K12" s="9">
        <v>-1024</v>
      </c>
      <c r="L12" s="9">
        <v>0</v>
      </c>
      <c r="M12" s="9">
        <f>-1*L13</f>
        <v>1024</v>
      </c>
      <c r="N12" s="9">
        <f>-1*L14</f>
        <v>-1024</v>
      </c>
      <c r="O12" s="9">
        <f>-1*L15</f>
        <v>363.00800000000004</v>
      </c>
      <c r="P12" s="9">
        <f>-1*L16</f>
        <v>340.99199999999996</v>
      </c>
      <c r="Q12" s="9">
        <f>-1*L17</f>
        <v>-1024</v>
      </c>
      <c r="R12" s="9">
        <f>-1*L18</f>
        <v>714.75199999999995</v>
      </c>
      <c r="S12" s="9">
        <f>-1*L19</f>
        <v>437.24800000000005</v>
      </c>
      <c r="T12" s="9">
        <f>-1*L20</f>
        <v>-534.52800000000002</v>
      </c>
      <c r="U12" s="9">
        <f>-1*L21</f>
        <v>203.26399999999995</v>
      </c>
      <c r="V12" s="9">
        <f>-1*L22</f>
        <v>-481.79199999999997</v>
      </c>
      <c r="W12" s="9">
        <f>-1*L23</f>
        <v>-15.871999999999971</v>
      </c>
      <c r="X12" s="9">
        <f>-1*L24</f>
        <v>-53.248000000000026</v>
      </c>
      <c r="Y12" s="9">
        <f>-1*L25</f>
        <v>1024</v>
      </c>
      <c r="Z12" s="9">
        <f>-1*L26</f>
        <v>1024</v>
      </c>
      <c r="AA12" s="9">
        <f>-1*L27</f>
        <v>-681.47199999999998</v>
      </c>
      <c r="AB12" s="9">
        <f>-1*L28</f>
        <v>437.76</v>
      </c>
      <c r="AC12" s="9">
        <f>-1*L29</f>
        <v>1024</v>
      </c>
      <c r="AD12" s="9">
        <f>-1*L30</f>
        <v>1024</v>
      </c>
      <c r="AE12" s="9">
        <f>-1*L31</f>
        <v>1024</v>
      </c>
      <c r="AF12" s="9">
        <f>-1*L32</f>
        <v>-1024</v>
      </c>
      <c r="AG12" s="9">
        <f>-1*L33</f>
        <v>-658.43200000000002</v>
      </c>
      <c r="AH12" s="9">
        <f>-1*L34</f>
        <v>-498.68800000000005</v>
      </c>
      <c r="AI12" s="9">
        <f>-1*L35</f>
        <v>-304.64</v>
      </c>
    </row>
    <row r="13" spans="1:35">
      <c r="A13" s="11" t="s">
        <v>11</v>
      </c>
      <c r="B13" s="9">
        <v>376.83199999999999</v>
      </c>
      <c r="C13" s="9">
        <v>-563.20000000000005</v>
      </c>
      <c r="D13" s="9">
        <v>-563.20000000000005</v>
      </c>
      <c r="E13" s="9">
        <v>-562.68799999999999</v>
      </c>
      <c r="F13" s="9">
        <v>142.84799999999996</v>
      </c>
      <c r="G13" s="9">
        <v>-921.6</v>
      </c>
      <c r="H13" s="9">
        <v>-547.84</v>
      </c>
      <c r="I13" s="9">
        <v>-564.73599999999999</v>
      </c>
      <c r="J13" s="9">
        <v>-896</v>
      </c>
      <c r="K13" s="9">
        <v>-783.70133333333331</v>
      </c>
      <c r="L13" s="9">
        <v>-1024</v>
      </c>
      <c r="M13" s="9">
        <v>0</v>
      </c>
      <c r="N13" s="9">
        <f>-1*M14</f>
        <v>-25.6</v>
      </c>
      <c r="O13" s="9">
        <f>-1*M15</f>
        <v>-691.2</v>
      </c>
      <c r="P13" s="9">
        <f>-1*M16</f>
        <v>-691.2</v>
      </c>
      <c r="Q13" s="9">
        <f>-1*M17</f>
        <v>-582.65600000000006</v>
      </c>
      <c r="R13" s="9">
        <f>-1*M18</f>
        <v>-832</v>
      </c>
      <c r="S13" s="9">
        <f>-1*M19</f>
        <v>751.6160000000001</v>
      </c>
      <c r="T13" s="9">
        <f>-1*M20</f>
        <v>614.4</v>
      </c>
      <c r="U13" s="9">
        <f>-1*M21</f>
        <v>-220.16</v>
      </c>
      <c r="V13" s="9">
        <f>-1*M22</f>
        <v>521.72799999999984</v>
      </c>
      <c r="W13" s="9">
        <f>-1*M23</f>
        <v>-63.487999999999957</v>
      </c>
      <c r="X13" s="9">
        <f>-1*M24</f>
        <v>-896</v>
      </c>
      <c r="Y13" s="9">
        <f>-1*M25</f>
        <v>-540.67200000000003</v>
      </c>
      <c r="Z13" s="9">
        <f>-1*M26</f>
        <v>170.49600000000007</v>
      </c>
      <c r="AA13" s="9">
        <f>-1*M27</f>
        <v>-570.36800000000005</v>
      </c>
      <c r="AB13" s="9">
        <f>-1*M28</f>
        <v>-960</v>
      </c>
      <c r="AC13" s="9">
        <f>-1*M29</f>
        <v>-324.60799999999989</v>
      </c>
      <c r="AD13" s="9">
        <f>-1*M30</f>
        <v>-960</v>
      </c>
      <c r="AE13" s="9">
        <f>-1*M31</f>
        <v>-960</v>
      </c>
      <c r="AF13" s="9">
        <f>-1*M32</f>
        <v>-960</v>
      </c>
      <c r="AG13" s="9">
        <f>-1*M33</f>
        <v>615.42399999999998</v>
      </c>
      <c r="AH13" s="9">
        <f>-1*M34</f>
        <v>366.59199999999981</v>
      </c>
      <c r="AI13" s="9">
        <f>-1*M35</f>
        <v>525.82400000000007</v>
      </c>
    </row>
    <row r="14" spans="1:35">
      <c r="A14" s="11" t="s">
        <v>12</v>
      </c>
      <c r="B14" s="9">
        <v>-921.6</v>
      </c>
      <c r="C14" s="9">
        <v>16.383999999999943</v>
      </c>
      <c r="D14" s="9">
        <v>115.2</v>
      </c>
      <c r="E14" s="9">
        <v>-495.10400000000004</v>
      </c>
      <c r="F14" s="9">
        <v>-704</v>
      </c>
      <c r="G14" s="9">
        <v>-102.91199999999998</v>
      </c>
      <c r="H14" s="9">
        <v>72.191999999999965</v>
      </c>
      <c r="I14" s="9">
        <v>-742.4</v>
      </c>
      <c r="J14" s="9">
        <v>-513.02400000000011</v>
      </c>
      <c r="K14" s="9">
        <v>-444.92800000000005</v>
      </c>
      <c r="L14" s="9">
        <v>1024</v>
      </c>
      <c r="M14" s="9">
        <v>25.6</v>
      </c>
      <c r="N14" s="9">
        <v>0</v>
      </c>
      <c r="O14" s="9">
        <f>-1*N15</f>
        <v>0</v>
      </c>
      <c r="P14" s="9">
        <f>-1*N16</f>
        <v>0</v>
      </c>
      <c r="Q14" s="9">
        <f>-1*N17</f>
        <v>0</v>
      </c>
      <c r="R14" s="9">
        <f>-1*N18</f>
        <v>0</v>
      </c>
      <c r="S14" s="9">
        <f>-1*N19</f>
        <v>0</v>
      </c>
      <c r="T14" s="9">
        <f>-1*N20</f>
        <v>0</v>
      </c>
      <c r="U14" s="9">
        <f>-1*N21</f>
        <v>0</v>
      </c>
      <c r="V14" s="9">
        <f>-1*N22</f>
        <v>0</v>
      </c>
      <c r="W14" s="9">
        <f>-1*N23</f>
        <v>0</v>
      </c>
      <c r="X14" s="9">
        <f>-1*N24</f>
        <v>0</v>
      </c>
      <c r="Y14" s="9">
        <f>-1*N25</f>
        <v>0</v>
      </c>
      <c r="Z14" s="9">
        <f>-1*N26</f>
        <v>0</v>
      </c>
      <c r="AA14" s="9">
        <f>-1*N27</f>
        <v>0</v>
      </c>
      <c r="AB14" s="9">
        <f>-1*N28</f>
        <v>0</v>
      </c>
      <c r="AC14" s="9">
        <f>-1*N29</f>
        <v>0</v>
      </c>
      <c r="AD14" s="9">
        <f>-1*N30</f>
        <v>0</v>
      </c>
      <c r="AE14" s="9">
        <f>-1*N31</f>
        <v>0</v>
      </c>
      <c r="AF14" s="9">
        <f>-1*N32</f>
        <v>0</v>
      </c>
      <c r="AG14" s="9">
        <f>-1*N33</f>
        <v>0</v>
      </c>
      <c r="AH14" s="9">
        <f>-1*N34</f>
        <v>0</v>
      </c>
      <c r="AI14" s="9">
        <f>-1*N35</f>
        <v>0</v>
      </c>
    </row>
    <row r="15" spans="1:35">
      <c r="A15" s="11" t="s">
        <v>13</v>
      </c>
      <c r="B15" s="9">
        <v>-921.6</v>
      </c>
      <c r="C15" s="9">
        <v>622.59199999999998</v>
      </c>
      <c r="D15" s="9">
        <v>-44.031999999999968</v>
      </c>
      <c r="E15" s="9">
        <v>-581.12</v>
      </c>
      <c r="F15" s="9">
        <v>-768</v>
      </c>
      <c r="G15" s="9">
        <v>-22.016000000000059</v>
      </c>
      <c r="H15" s="9">
        <v>72.191999999999965</v>
      </c>
      <c r="I15" s="9">
        <v>-218.11199999999997</v>
      </c>
      <c r="J15" s="9">
        <v>-614.91199999999992</v>
      </c>
      <c r="K15" s="9">
        <v>449.024</v>
      </c>
      <c r="L15" s="9">
        <v>-363.00800000000004</v>
      </c>
      <c r="M15" s="9">
        <v>691.2</v>
      </c>
      <c r="N15" s="9">
        <v>0</v>
      </c>
      <c r="O15" s="9">
        <v>0</v>
      </c>
      <c r="P15" s="9">
        <f>-1*O16</f>
        <v>0</v>
      </c>
      <c r="Q15" s="9">
        <f>-1*O17</f>
        <v>0</v>
      </c>
      <c r="R15" s="9">
        <f>-1*O18</f>
        <v>0</v>
      </c>
      <c r="S15" s="9">
        <f>-1*O19</f>
        <v>0</v>
      </c>
      <c r="T15" s="9">
        <f>-1*O20</f>
        <v>0</v>
      </c>
      <c r="U15" s="9">
        <f>-1*O21</f>
        <v>0</v>
      </c>
      <c r="V15" s="9">
        <f>-1*O22</f>
        <v>0</v>
      </c>
      <c r="W15" s="9">
        <f>-1*O23</f>
        <v>0</v>
      </c>
      <c r="X15" s="9">
        <f>-1*O24</f>
        <v>0</v>
      </c>
      <c r="Y15" s="9">
        <f>-1*O25</f>
        <v>0</v>
      </c>
      <c r="Z15" s="9">
        <f>-1*O26</f>
        <v>0</v>
      </c>
      <c r="AA15" s="9">
        <f>-1*O27</f>
        <v>0</v>
      </c>
      <c r="AB15" s="9">
        <f>-1*O28</f>
        <v>0</v>
      </c>
      <c r="AC15" s="9">
        <f>-1*O29</f>
        <v>0</v>
      </c>
      <c r="AD15" s="9">
        <f>-1*O30</f>
        <v>0</v>
      </c>
      <c r="AE15" s="9">
        <f>-1*O31</f>
        <v>0</v>
      </c>
      <c r="AF15" s="9">
        <f>-1*O32</f>
        <v>0</v>
      </c>
      <c r="AG15" s="9">
        <f>-1*O33</f>
        <v>0</v>
      </c>
      <c r="AH15" s="9">
        <f>-1*O34</f>
        <v>0</v>
      </c>
      <c r="AI15" s="9">
        <f>-1*O35</f>
        <v>0</v>
      </c>
    </row>
    <row r="16" spans="1:35">
      <c r="A16" s="11" t="s">
        <v>14</v>
      </c>
      <c r="B16" s="9">
        <v>218.11199999999997</v>
      </c>
      <c r="C16" s="9">
        <v>921.6</v>
      </c>
      <c r="D16" s="9">
        <v>-1024</v>
      </c>
      <c r="E16" s="9">
        <v>921.6</v>
      </c>
      <c r="F16" s="9">
        <v>-48.64</v>
      </c>
      <c r="G16" s="9">
        <v>921.6</v>
      </c>
      <c r="H16" s="9">
        <v>1024</v>
      </c>
      <c r="I16" s="9">
        <v>665.6</v>
      </c>
      <c r="J16" s="9">
        <v>-233.47199999999998</v>
      </c>
      <c r="K16" s="9">
        <v>685.05600000000004</v>
      </c>
      <c r="L16" s="9">
        <v>-340.99199999999996</v>
      </c>
      <c r="M16" s="9">
        <v>691.2</v>
      </c>
      <c r="N16" s="9">
        <v>0</v>
      </c>
      <c r="O16" s="9">
        <v>0</v>
      </c>
      <c r="P16" s="9">
        <v>0</v>
      </c>
      <c r="Q16" s="9">
        <f>-1*P17</f>
        <v>0</v>
      </c>
      <c r="R16" s="9">
        <f>-1*P18</f>
        <v>0</v>
      </c>
      <c r="S16" s="9">
        <f>-1*P19</f>
        <v>0</v>
      </c>
      <c r="T16" s="9">
        <f>-1*P20</f>
        <v>0</v>
      </c>
      <c r="U16" s="9">
        <f>-1*P21</f>
        <v>0</v>
      </c>
      <c r="V16" s="9">
        <f>-1*P22</f>
        <v>0</v>
      </c>
      <c r="W16" s="9">
        <f>-1*P23</f>
        <v>0</v>
      </c>
      <c r="X16" s="9">
        <f>-1*P24</f>
        <v>0</v>
      </c>
      <c r="Y16" s="9">
        <f>-1*P25</f>
        <v>0</v>
      </c>
      <c r="Z16" s="9">
        <f>-1*P26</f>
        <v>0</v>
      </c>
      <c r="AA16" s="9">
        <f>-1*P27</f>
        <v>0</v>
      </c>
      <c r="AB16" s="9">
        <f>-1*P28</f>
        <v>0</v>
      </c>
      <c r="AC16" s="9">
        <f>-1*P29</f>
        <v>0</v>
      </c>
      <c r="AD16" s="9">
        <f>-1*P30</f>
        <v>0</v>
      </c>
      <c r="AE16" s="9">
        <f>-1*P31</f>
        <v>0</v>
      </c>
      <c r="AF16" s="9">
        <f>-1*P32</f>
        <v>0</v>
      </c>
      <c r="AG16" s="9">
        <f>-1*P33</f>
        <v>0</v>
      </c>
      <c r="AH16" s="9">
        <f>-1*P34</f>
        <v>0</v>
      </c>
      <c r="AI16" s="9">
        <f>-1*P35</f>
        <v>0</v>
      </c>
    </row>
    <row r="17" spans="1:35">
      <c r="A17" s="11" t="s">
        <v>15</v>
      </c>
      <c r="B17" s="9">
        <v>445.952</v>
      </c>
      <c r="C17" s="9">
        <v>1024</v>
      </c>
      <c r="D17" s="9">
        <v>10.24</v>
      </c>
      <c r="E17" s="9">
        <v>-348.67199999999997</v>
      </c>
      <c r="F17" s="9">
        <v>-435.71199999999999</v>
      </c>
      <c r="G17" s="9">
        <v>1024</v>
      </c>
      <c r="H17" s="9">
        <v>10.24</v>
      </c>
      <c r="I17" s="9">
        <v>-639.48800000000006</v>
      </c>
      <c r="J17" s="9">
        <v>10.24</v>
      </c>
      <c r="K17" s="9">
        <v>25.087999999999884</v>
      </c>
      <c r="L17" s="9">
        <v>1024</v>
      </c>
      <c r="M17" s="9">
        <v>582.65600000000006</v>
      </c>
      <c r="N17" s="9">
        <v>0</v>
      </c>
      <c r="O17" s="9">
        <v>0</v>
      </c>
      <c r="P17" s="9">
        <v>0</v>
      </c>
      <c r="Q17" s="9">
        <v>0</v>
      </c>
      <c r="R17" s="9">
        <f>-1*Q18</f>
        <v>0</v>
      </c>
      <c r="S17" s="9">
        <f>-1*Q19</f>
        <v>0</v>
      </c>
      <c r="T17" s="9">
        <f>-1*Q20</f>
        <v>0</v>
      </c>
      <c r="U17" s="9">
        <f>-1*Q21</f>
        <v>0</v>
      </c>
      <c r="V17" s="9">
        <f>-1*Q22</f>
        <v>0</v>
      </c>
      <c r="W17" s="9">
        <f>-1*Q23</f>
        <v>0</v>
      </c>
      <c r="X17" s="9">
        <f>-1*Q24</f>
        <v>0</v>
      </c>
      <c r="Y17" s="9">
        <f>-1*Q25</f>
        <v>0</v>
      </c>
      <c r="Z17" s="9">
        <f>-1*Q26</f>
        <v>0</v>
      </c>
      <c r="AA17" s="9">
        <f>-1*Q27</f>
        <v>0</v>
      </c>
      <c r="AB17" s="9">
        <f>-1*Q28</f>
        <v>0</v>
      </c>
      <c r="AC17" s="9">
        <f>-1*Q29</f>
        <v>0</v>
      </c>
      <c r="AD17" s="9">
        <f>-1*Q30</f>
        <v>0</v>
      </c>
      <c r="AE17" s="9">
        <f>-1*Q31</f>
        <v>0</v>
      </c>
      <c r="AF17" s="9">
        <f>-1*Q32</f>
        <v>0</v>
      </c>
      <c r="AG17" s="9">
        <f>-1*Q33</f>
        <v>0</v>
      </c>
      <c r="AH17" s="9">
        <f>-1*Q34</f>
        <v>0</v>
      </c>
      <c r="AI17" s="9">
        <f>-1*Q35</f>
        <v>0</v>
      </c>
    </row>
    <row r="18" spans="1:35">
      <c r="A18" s="11" t="s">
        <v>16</v>
      </c>
      <c r="B18" s="9">
        <v>-30.20800000000003</v>
      </c>
      <c r="C18" s="9">
        <v>466.43199999999996</v>
      </c>
      <c r="D18" s="9">
        <v>105.98399999999994</v>
      </c>
      <c r="E18" s="9">
        <v>434.68800000000005</v>
      </c>
      <c r="F18" s="9">
        <v>-896</v>
      </c>
      <c r="G18" s="9">
        <v>-921.6</v>
      </c>
      <c r="H18" s="9">
        <v>-13.311999999999971</v>
      </c>
      <c r="I18" s="9">
        <v>-458.49600000000004</v>
      </c>
      <c r="J18" s="9">
        <v>205.82399999999996</v>
      </c>
      <c r="K18" s="9">
        <v>571.39199999999994</v>
      </c>
      <c r="L18" s="9">
        <v>-714.75199999999995</v>
      </c>
      <c r="M18" s="9">
        <v>832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f>-1*R19</f>
        <v>0</v>
      </c>
      <c r="T18" s="9">
        <f>-1*R20</f>
        <v>0</v>
      </c>
      <c r="U18" s="9">
        <f>-1*R21</f>
        <v>0</v>
      </c>
      <c r="V18" s="9">
        <f>-1*R22</f>
        <v>0</v>
      </c>
      <c r="W18" s="9">
        <f>-1*R23</f>
        <v>0</v>
      </c>
      <c r="X18" s="9">
        <f>-1*R24</f>
        <v>0</v>
      </c>
      <c r="Y18" s="9">
        <f>-1*R25</f>
        <v>0</v>
      </c>
      <c r="Z18" s="9">
        <f>-1*R26</f>
        <v>0</v>
      </c>
      <c r="AA18" s="9">
        <f>-1*R27</f>
        <v>0</v>
      </c>
      <c r="AB18" s="9">
        <f>-1*R28</f>
        <v>0</v>
      </c>
      <c r="AC18" s="9">
        <f>-1*R29</f>
        <v>0</v>
      </c>
      <c r="AD18" s="9">
        <f>-1*R30</f>
        <v>0</v>
      </c>
      <c r="AE18" s="9">
        <f>-1*R31</f>
        <v>0</v>
      </c>
      <c r="AF18" s="9">
        <f>-1*R32</f>
        <v>0</v>
      </c>
      <c r="AG18" s="9">
        <f>-1*R33</f>
        <v>0</v>
      </c>
      <c r="AH18" s="9">
        <f>-1*R34</f>
        <v>0</v>
      </c>
      <c r="AI18" s="9">
        <f>-1*R35</f>
        <v>0</v>
      </c>
    </row>
    <row r="19" spans="1:35">
      <c r="A19" s="11" t="s">
        <v>17</v>
      </c>
      <c r="B19" s="9">
        <v>-66.56</v>
      </c>
      <c r="C19" s="9">
        <v>-638.46400000000006</v>
      </c>
      <c r="D19" s="9">
        <v>-382.464</v>
      </c>
      <c r="E19" s="9">
        <v>387.07199999999995</v>
      </c>
      <c r="F19" s="9">
        <v>-640</v>
      </c>
      <c r="G19" s="9">
        <v>96.256000000000057</v>
      </c>
      <c r="H19" s="9">
        <v>1024</v>
      </c>
      <c r="I19" s="9">
        <v>768</v>
      </c>
      <c r="J19" s="9">
        <v>0</v>
      </c>
      <c r="K19" s="9">
        <v>-1024</v>
      </c>
      <c r="L19" s="9">
        <v>-437.24800000000005</v>
      </c>
      <c r="M19" s="9">
        <v>-751.6160000000001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f>-1*S20</f>
        <v>0</v>
      </c>
      <c r="U19" s="9">
        <f>-1*S21</f>
        <v>0</v>
      </c>
      <c r="V19" s="9">
        <f>-1*S22</f>
        <v>0</v>
      </c>
      <c r="W19" s="9">
        <f>-1*S23</f>
        <v>0</v>
      </c>
      <c r="X19" s="9">
        <f>-1*S24</f>
        <v>0</v>
      </c>
      <c r="Y19" s="9">
        <f>-1*S25</f>
        <v>0</v>
      </c>
      <c r="Z19" s="9">
        <f>-1*S26</f>
        <v>0</v>
      </c>
      <c r="AA19" s="9">
        <f>-1*S27</f>
        <v>0</v>
      </c>
      <c r="AB19" s="9">
        <f>-1*S28</f>
        <v>0</v>
      </c>
      <c r="AC19" s="9">
        <f>-1*S29</f>
        <v>0</v>
      </c>
      <c r="AD19" s="9">
        <f>-1*S30</f>
        <v>0</v>
      </c>
      <c r="AE19" s="9">
        <f>-1*S31</f>
        <v>0</v>
      </c>
      <c r="AF19" s="9">
        <f>-1*S32</f>
        <v>0</v>
      </c>
      <c r="AG19" s="9">
        <f>-1*S33</f>
        <v>0</v>
      </c>
      <c r="AH19" s="9">
        <f>-1*S34</f>
        <v>0</v>
      </c>
      <c r="AI19" s="9">
        <f>-1*S35</f>
        <v>0</v>
      </c>
    </row>
    <row r="20" spans="1:35">
      <c r="A20" s="11" t="s">
        <v>18</v>
      </c>
      <c r="B20" s="9">
        <v>-921.6</v>
      </c>
      <c r="C20" s="9">
        <v>131.58399999999995</v>
      </c>
      <c r="D20" s="9">
        <v>131.58399999999995</v>
      </c>
      <c r="E20" s="9">
        <v>-116.22400000000009</v>
      </c>
      <c r="F20" s="9">
        <v>-896</v>
      </c>
      <c r="G20" s="9">
        <v>-121.85600000000005</v>
      </c>
      <c r="H20" s="9">
        <v>-921.6</v>
      </c>
      <c r="I20" s="9">
        <v>-865.28</v>
      </c>
      <c r="J20" s="9">
        <v>-473.6</v>
      </c>
      <c r="K20" s="9">
        <v>239.61600000000007</v>
      </c>
      <c r="L20" s="9">
        <v>534.52800000000002</v>
      </c>
      <c r="M20" s="9">
        <v>-614.4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f>-1*T21</f>
        <v>0</v>
      </c>
      <c r="V20" s="9">
        <f>-1*T22</f>
        <v>0</v>
      </c>
      <c r="W20" s="9">
        <f>-1*T23</f>
        <v>0</v>
      </c>
      <c r="X20" s="9">
        <f>-1*T24</f>
        <v>0</v>
      </c>
      <c r="Y20" s="9">
        <f>-1*T25</f>
        <v>0</v>
      </c>
      <c r="Z20" s="9">
        <f>-1*T26</f>
        <v>0</v>
      </c>
      <c r="AA20" s="9">
        <f>-1*T27</f>
        <v>0</v>
      </c>
      <c r="AB20" s="9">
        <f>-1*T28</f>
        <v>0</v>
      </c>
      <c r="AC20" s="9">
        <f>-1*T29</f>
        <v>0</v>
      </c>
      <c r="AD20" s="9">
        <f>-1*T30</f>
        <v>0</v>
      </c>
      <c r="AE20" s="9">
        <f>-1*T31</f>
        <v>0</v>
      </c>
      <c r="AF20" s="9">
        <f>-1*T32</f>
        <v>0</v>
      </c>
      <c r="AG20" s="9">
        <f>-1*T33</f>
        <v>0</v>
      </c>
      <c r="AH20" s="9">
        <f>-1*T34</f>
        <v>0</v>
      </c>
      <c r="AI20" s="9">
        <f>-1*T35</f>
        <v>0</v>
      </c>
    </row>
    <row r="21" spans="1:35">
      <c r="A21" s="11" t="s">
        <v>19</v>
      </c>
      <c r="B21" s="9">
        <v>-293.88799999999998</v>
      </c>
      <c r="C21" s="9">
        <v>556.03199999999993</v>
      </c>
      <c r="D21" s="9">
        <v>556.03199999999993</v>
      </c>
      <c r="E21" s="9">
        <v>192.51199999999989</v>
      </c>
      <c r="F21" s="9">
        <v>-105.47199999999997</v>
      </c>
      <c r="G21" s="9">
        <v>123.90399999999994</v>
      </c>
      <c r="H21" s="9">
        <v>265.21599999999989</v>
      </c>
      <c r="I21" s="9">
        <v>-746.49600000000009</v>
      </c>
      <c r="J21" s="9">
        <v>-0.51200000000004364</v>
      </c>
      <c r="K21" s="9">
        <v>-308.05333333333323</v>
      </c>
      <c r="L21" s="9">
        <v>-203.26399999999995</v>
      </c>
      <c r="M21" s="9">
        <v>220.16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f>-1*U22</f>
        <v>0</v>
      </c>
      <c r="W21" s="9">
        <f>-1*U23</f>
        <v>0</v>
      </c>
      <c r="X21" s="9">
        <f>-1*U24</f>
        <v>0</v>
      </c>
      <c r="Y21" s="9">
        <f>-1*U25</f>
        <v>0</v>
      </c>
      <c r="Z21" s="9">
        <f>-1*U26</f>
        <v>0</v>
      </c>
      <c r="AA21" s="9">
        <f>-1*U27</f>
        <v>0</v>
      </c>
      <c r="AB21" s="9">
        <f>-1*U28</f>
        <v>0</v>
      </c>
      <c r="AC21" s="9">
        <f>-1*U29</f>
        <v>0</v>
      </c>
      <c r="AD21" s="9">
        <f>-1*U30</f>
        <v>0</v>
      </c>
      <c r="AE21" s="9">
        <f>-1*U31</f>
        <v>0</v>
      </c>
      <c r="AF21" s="9">
        <f>-1*U32</f>
        <v>0</v>
      </c>
      <c r="AG21" s="9">
        <f>-1*U33</f>
        <v>0</v>
      </c>
      <c r="AH21" s="9">
        <f>-1*U34</f>
        <v>0</v>
      </c>
      <c r="AI21" s="9">
        <f>-1*U35</f>
        <v>0</v>
      </c>
    </row>
    <row r="22" spans="1:35">
      <c r="A22" s="11" t="s">
        <v>20</v>
      </c>
      <c r="B22" s="9">
        <v>-921.6</v>
      </c>
      <c r="C22" s="9">
        <v>-1024</v>
      </c>
      <c r="D22" s="9">
        <v>-1024</v>
      </c>
      <c r="E22" s="9">
        <v>-690.68799999999987</v>
      </c>
      <c r="F22" s="9">
        <v>375.80800000000005</v>
      </c>
      <c r="G22" s="9">
        <v>248.83199999999997</v>
      </c>
      <c r="H22" s="9">
        <v>877.05600000000004</v>
      </c>
      <c r="I22" s="9">
        <v>768</v>
      </c>
      <c r="J22" s="9">
        <v>350.72000000000014</v>
      </c>
      <c r="K22" s="9">
        <v>-1024</v>
      </c>
      <c r="L22" s="9">
        <v>481.79199999999997</v>
      </c>
      <c r="M22" s="9">
        <v>-521.72799999999984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f>-1*V23</f>
        <v>0</v>
      </c>
      <c r="X22" s="9">
        <f>-1*V24</f>
        <v>0</v>
      </c>
      <c r="Y22" s="9">
        <f>-1*V25</f>
        <v>0</v>
      </c>
      <c r="Z22" s="9">
        <f>-1*V26</f>
        <v>0</v>
      </c>
      <c r="AA22" s="9">
        <f>-1*V27</f>
        <v>0</v>
      </c>
      <c r="AB22" s="9">
        <f>-1*V28</f>
        <v>0</v>
      </c>
      <c r="AC22" s="9">
        <f>-1*V29</f>
        <v>0</v>
      </c>
      <c r="AD22" s="9">
        <f>-1*V30</f>
        <v>0</v>
      </c>
      <c r="AE22" s="9">
        <f>-1*V31</f>
        <v>0</v>
      </c>
      <c r="AF22" s="9">
        <f>-1*V32</f>
        <v>0</v>
      </c>
      <c r="AG22" s="9">
        <f>-1*V33</f>
        <v>0</v>
      </c>
      <c r="AH22" s="9">
        <f>-1*V34</f>
        <v>0</v>
      </c>
      <c r="AI22" s="9">
        <f>-1*V35</f>
        <v>0</v>
      </c>
    </row>
    <row r="23" spans="1:35">
      <c r="A23" s="11" t="s">
        <v>21</v>
      </c>
      <c r="B23" s="9">
        <v>301.56799999999998</v>
      </c>
      <c r="C23" s="9">
        <v>759.29600000000005</v>
      </c>
      <c r="D23" s="9">
        <v>588.79999999999995</v>
      </c>
      <c r="E23" s="9">
        <v>-273.40800000000002</v>
      </c>
      <c r="F23" s="9">
        <v>-169.98400000000001</v>
      </c>
      <c r="G23" s="9">
        <v>582.65599999999995</v>
      </c>
      <c r="H23" s="9">
        <v>731.13600000000008</v>
      </c>
      <c r="I23" s="9">
        <v>-346.88</v>
      </c>
      <c r="J23" s="9">
        <v>-592.89599999999996</v>
      </c>
      <c r="K23" s="9">
        <v>815.10399999999993</v>
      </c>
      <c r="L23" s="9">
        <v>15.871999999999971</v>
      </c>
      <c r="M23" s="9">
        <v>63.487999999999957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f>-1*W24</f>
        <v>0</v>
      </c>
      <c r="Y23" s="9">
        <f>-1*W25</f>
        <v>0</v>
      </c>
      <c r="Z23" s="9">
        <f>-1*W26</f>
        <v>0</v>
      </c>
      <c r="AA23" s="9">
        <f>-1*W27</f>
        <v>0</v>
      </c>
      <c r="AB23" s="9">
        <f>-1*W28</f>
        <v>0</v>
      </c>
      <c r="AC23" s="9">
        <f>-1*W29</f>
        <v>0</v>
      </c>
      <c r="AD23" s="9">
        <f>-1*W30</f>
        <v>0</v>
      </c>
      <c r="AE23" s="9">
        <f>-1*W31</f>
        <v>0</v>
      </c>
      <c r="AF23" s="9">
        <f>-1*W32</f>
        <v>0</v>
      </c>
      <c r="AG23" s="9">
        <f>-1*W33</f>
        <v>0</v>
      </c>
      <c r="AH23" s="9">
        <f>-1*W34</f>
        <v>0</v>
      </c>
      <c r="AI23" s="9">
        <f>-1*W35</f>
        <v>0</v>
      </c>
    </row>
    <row r="24" spans="1:35">
      <c r="A24" s="11" t="s">
        <v>22</v>
      </c>
      <c r="B24" s="9">
        <v>0</v>
      </c>
      <c r="C24" s="9">
        <v>1024</v>
      </c>
      <c r="D24" s="9">
        <v>433.66399999999999</v>
      </c>
      <c r="E24" s="9">
        <v>-499.2</v>
      </c>
      <c r="F24" s="9">
        <v>76.800000000000068</v>
      </c>
      <c r="G24" s="9">
        <v>10.24</v>
      </c>
      <c r="H24" s="9">
        <v>10.24</v>
      </c>
      <c r="I24" s="9">
        <v>-502.01599999999979</v>
      </c>
      <c r="J24" s="9">
        <v>10.24</v>
      </c>
      <c r="K24" s="9">
        <v>-325.11999999999995</v>
      </c>
      <c r="L24" s="9">
        <v>53.248000000000026</v>
      </c>
      <c r="M24" s="9">
        <v>896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f>-1*X25</f>
        <v>0</v>
      </c>
      <c r="Z24" s="9">
        <f>-1*X26</f>
        <v>0</v>
      </c>
      <c r="AA24" s="9">
        <f>-1*X27</f>
        <v>0</v>
      </c>
      <c r="AB24" s="9">
        <f>-1*X28</f>
        <v>0</v>
      </c>
      <c r="AC24" s="9">
        <f>-1*X29</f>
        <v>0</v>
      </c>
      <c r="AD24" s="9">
        <f>-1*X30</f>
        <v>0</v>
      </c>
      <c r="AE24" s="9">
        <f>-1*X31</f>
        <v>0</v>
      </c>
      <c r="AF24" s="9">
        <f>-1*X32</f>
        <v>0</v>
      </c>
      <c r="AG24" s="9">
        <f>-1*X33</f>
        <v>0</v>
      </c>
      <c r="AH24" s="9">
        <f>-1*X34</f>
        <v>0</v>
      </c>
      <c r="AI24" s="9">
        <f>-1*X35</f>
        <v>0</v>
      </c>
    </row>
    <row r="25" spans="1:35">
      <c r="A25" s="11" t="s">
        <v>23</v>
      </c>
      <c r="B25" s="9">
        <v>-921.6</v>
      </c>
      <c r="C25" s="9">
        <v>621.05600000000004</v>
      </c>
      <c r="D25" s="9">
        <v>621.05600000000004</v>
      </c>
      <c r="E25" s="9">
        <v>-40.96</v>
      </c>
      <c r="F25" s="9">
        <v>505.34399999999999</v>
      </c>
      <c r="G25" s="9">
        <v>267.77600000000007</v>
      </c>
      <c r="H25" s="9">
        <v>-377.34399999999999</v>
      </c>
      <c r="I25" s="9">
        <v>-377.08800000000002</v>
      </c>
      <c r="J25" s="9">
        <v>-44.031999999999968</v>
      </c>
      <c r="K25" s="9">
        <v>173.05600000000007</v>
      </c>
      <c r="L25" s="9">
        <v>-1024</v>
      </c>
      <c r="M25" s="9">
        <v>540.67200000000003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f>-1*Y26</f>
        <v>0</v>
      </c>
      <c r="AA25" s="9">
        <f>-1*Y27</f>
        <v>0</v>
      </c>
      <c r="AB25" s="9">
        <f>-1*Y28</f>
        <v>0</v>
      </c>
      <c r="AC25" s="9">
        <f>-1*Y29</f>
        <v>0</v>
      </c>
      <c r="AD25" s="9">
        <f>-1*Y30</f>
        <v>0</v>
      </c>
      <c r="AE25" s="9">
        <f>-1*Y31</f>
        <v>0</v>
      </c>
      <c r="AF25" s="9">
        <f>-1*Y32</f>
        <v>0</v>
      </c>
      <c r="AG25" s="9">
        <f>-1*Y33</f>
        <v>0</v>
      </c>
      <c r="AH25" s="9">
        <f>-1*Y34</f>
        <v>0</v>
      </c>
      <c r="AI25" s="9">
        <f>-1*Y35</f>
        <v>0</v>
      </c>
    </row>
    <row r="26" spans="1:35">
      <c r="A26" s="11" t="s">
        <v>24</v>
      </c>
      <c r="B26" s="9">
        <v>167.93600000000006</v>
      </c>
      <c r="C26" s="9">
        <v>-30.72</v>
      </c>
      <c r="D26" s="9">
        <v>225.28</v>
      </c>
      <c r="E26" s="9">
        <v>-313.34399999999994</v>
      </c>
      <c r="F26" s="9">
        <v>57.344000000000015</v>
      </c>
      <c r="G26" s="9">
        <v>-921.6</v>
      </c>
      <c r="H26" s="9">
        <v>-11.264000000000088</v>
      </c>
      <c r="I26" s="9">
        <v>-384</v>
      </c>
      <c r="J26" s="9">
        <v>-186.36799999999988</v>
      </c>
      <c r="K26" s="9">
        <v>-1024</v>
      </c>
      <c r="L26" s="9">
        <v>-1024</v>
      </c>
      <c r="M26" s="9">
        <v>-170.49600000000007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f>-1*Z27</f>
        <v>0</v>
      </c>
      <c r="AB26" s="9">
        <f>-1*Z28</f>
        <v>0</v>
      </c>
      <c r="AC26" s="9">
        <f>-1*Z29</f>
        <v>0</v>
      </c>
      <c r="AD26" s="9">
        <f>-1*Z30</f>
        <v>0</v>
      </c>
      <c r="AE26" s="9">
        <f>-1*Z31</f>
        <v>0</v>
      </c>
      <c r="AF26" s="9">
        <f>-1*Z32</f>
        <v>0</v>
      </c>
      <c r="AG26" s="9">
        <f>-1*Z33</f>
        <v>0</v>
      </c>
      <c r="AH26" s="9">
        <f>-1*Z34</f>
        <v>0</v>
      </c>
      <c r="AI26" s="9">
        <f>-1*Z35</f>
        <v>0</v>
      </c>
    </row>
    <row r="27" spans="1:35">
      <c r="A27" s="11" t="s">
        <v>25</v>
      </c>
      <c r="B27" s="9">
        <v>-921.6</v>
      </c>
      <c r="C27" s="9">
        <v>449.79199999999997</v>
      </c>
      <c r="D27" s="9">
        <v>430.59199999999998</v>
      </c>
      <c r="E27" s="9">
        <v>664.57600000000002</v>
      </c>
      <c r="F27" s="9">
        <v>419.84</v>
      </c>
      <c r="G27" s="9">
        <v>-921.6</v>
      </c>
      <c r="H27" s="9">
        <v>-921.6</v>
      </c>
      <c r="I27" s="9">
        <v>-1024</v>
      </c>
      <c r="J27" s="9">
        <v>450.048</v>
      </c>
      <c r="K27" s="9">
        <v>242.68800000000002</v>
      </c>
      <c r="L27" s="9">
        <v>681.47199999999998</v>
      </c>
      <c r="M27" s="9">
        <v>570.36800000000005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f>-1*AA28</f>
        <v>0</v>
      </c>
      <c r="AC27" s="9">
        <f>-1*AA29</f>
        <v>0</v>
      </c>
      <c r="AD27" s="9">
        <f>-1*AA30</f>
        <v>0</v>
      </c>
      <c r="AE27" s="9">
        <f>-1*AA31</f>
        <v>0</v>
      </c>
      <c r="AF27" s="9">
        <f>-1*AA32</f>
        <v>0</v>
      </c>
      <c r="AG27" s="9">
        <f>-1*AA33</f>
        <v>0</v>
      </c>
      <c r="AH27" s="9">
        <f>-1*AA34</f>
        <v>0</v>
      </c>
      <c r="AI27" s="9">
        <f>-1*AA35</f>
        <v>0</v>
      </c>
    </row>
    <row r="28" spans="1:35">
      <c r="A28" s="11" t="s">
        <v>26</v>
      </c>
      <c r="B28" s="9">
        <v>713.72800000000007</v>
      </c>
      <c r="C28" s="9">
        <v>-603.64800000000002</v>
      </c>
      <c r="D28" s="9">
        <v>-1024</v>
      </c>
      <c r="E28" s="9">
        <v>508.92800000000005</v>
      </c>
      <c r="F28" s="9">
        <v>-140.28800000000004</v>
      </c>
      <c r="G28" s="9">
        <v>289.79199999999997</v>
      </c>
      <c r="H28" s="9">
        <v>1024</v>
      </c>
      <c r="I28" s="9">
        <v>1024</v>
      </c>
      <c r="J28" s="9">
        <v>-66.047999999999959</v>
      </c>
      <c r="K28" s="9">
        <v>-1024</v>
      </c>
      <c r="L28" s="9">
        <v>-437.76</v>
      </c>
      <c r="M28" s="9">
        <v>960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f>-1*AB29</f>
        <v>0</v>
      </c>
      <c r="AD28" s="9">
        <f>-1*AB30</f>
        <v>0</v>
      </c>
      <c r="AE28" s="9">
        <f>-1*AB31</f>
        <v>0</v>
      </c>
      <c r="AF28" s="9">
        <f>-1*AB32</f>
        <v>0</v>
      </c>
      <c r="AG28" s="9">
        <f>-1*AB33</f>
        <v>0</v>
      </c>
      <c r="AH28" s="9">
        <f>-1*AB34</f>
        <v>0</v>
      </c>
      <c r="AI28" s="9">
        <f>-1*AB35</f>
        <v>0</v>
      </c>
    </row>
    <row r="29" spans="1:35">
      <c r="A29" s="11" t="s">
        <v>27</v>
      </c>
      <c r="B29" s="9">
        <v>282.11199999999997</v>
      </c>
      <c r="C29" s="9">
        <v>-265.72800000000001</v>
      </c>
      <c r="D29" s="9">
        <v>-9.72800000000003</v>
      </c>
      <c r="E29" s="9">
        <v>-441.85600000000005</v>
      </c>
      <c r="F29" s="9">
        <v>32.768000000000029</v>
      </c>
      <c r="G29" s="9">
        <v>1024</v>
      </c>
      <c r="H29" s="9">
        <v>0</v>
      </c>
      <c r="I29" s="9">
        <v>-601.85599999999988</v>
      </c>
      <c r="J29" s="9">
        <v>-603.13599999999997</v>
      </c>
      <c r="K29" s="9">
        <v>861.69600000000003</v>
      </c>
      <c r="L29" s="9">
        <v>-1024</v>
      </c>
      <c r="M29" s="9">
        <v>324.60799999999989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f>-1*AC30</f>
        <v>0</v>
      </c>
      <c r="AE29" s="9">
        <f>-1*AC31</f>
        <v>0</v>
      </c>
      <c r="AF29" s="9">
        <f>-1*AC32</f>
        <v>0</v>
      </c>
      <c r="AG29" s="9">
        <f>-1*AC33</f>
        <v>0</v>
      </c>
      <c r="AH29" s="9">
        <f>-1*AC34</f>
        <v>0</v>
      </c>
      <c r="AI29" s="9">
        <f>-1*AC35</f>
        <v>0</v>
      </c>
    </row>
    <row r="30" spans="1:35">
      <c r="A30" s="11" t="s">
        <v>28</v>
      </c>
      <c r="B30" s="9">
        <v>637.952</v>
      </c>
      <c r="C30" s="9">
        <v>629.24800000000005</v>
      </c>
      <c r="D30" s="9">
        <v>371.71199999999999</v>
      </c>
      <c r="E30" s="9">
        <v>198.14399999999995</v>
      </c>
      <c r="F30" s="9">
        <v>-896</v>
      </c>
      <c r="G30" s="9">
        <v>3.5839999999999419</v>
      </c>
      <c r="H30" s="9">
        <v>1024</v>
      </c>
      <c r="I30" s="9">
        <v>768</v>
      </c>
      <c r="J30" s="9">
        <v>-360.44800000000004</v>
      </c>
      <c r="K30" s="9">
        <v>861.69600000000003</v>
      </c>
      <c r="L30" s="9">
        <v>-1024</v>
      </c>
      <c r="M30" s="9">
        <v>960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f>-1*AD31</f>
        <v>0</v>
      </c>
      <c r="AF30" s="9">
        <f>-1*AD32</f>
        <v>0</v>
      </c>
      <c r="AG30" s="9">
        <f>-1*AD33</f>
        <v>0</v>
      </c>
      <c r="AH30" s="9">
        <f>-1*AD34</f>
        <v>0</v>
      </c>
      <c r="AI30" s="9">
        <f>-1*AD35</f>
        <v>0</v>
      </c>
    </row>
    <row r="31" spans="1:35">
      <c r="A31" s="11" t="s">
        <v>29</v>
      </c>
      <c r="B31" s="9">
        <v>-921.6</v>
      </c>
      <c r="C31" s="9">
        <v>708.60800000000006</v>
      </c>
      <c r="D31" s="9">
        <v>751.6160000000001</v>
      </c>
      <c r="E31" s="9">
        <v>569.34400000000005</v>
      </c>
      <c r="F31" s="9">
        <v>226.30399999999995</v>
      </c>
      <c r="G31" s="9">
        <v>-264.70399999999995</v>
      </c>
      <c r="H31" s="9">
        <v>847.87199999999996</v>
      </c>
      <c r="I31" s="9">
        <v>520.96</v>
      </c>
      <c r="J31" s="9">
        <v>-51.712000000000117</v>
      </c>
      <c r="K31" s="9">
        <v>-1024</v>
      </c>
      <c r="L31" s="9">
        <v>-1024</v>
      </c>
      <c r="M31" s="9">
        <v>960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f>-1*AE32</f>
        <v>0</v>
      </c>
      <c r="AG31" s="9">
        <f>-1*AE33</f>
        <v>0</v>
      </c>
      <c r="AH31" s="9">
        <f>-1*AE34</f>
        <v>0</v>
      </c>
      <c r="AI31" s="9">
        <f>-1*AE35</f>
        <v>0</v>
      </c>
    </row>
    <row r="32" spans="1:35">
      <c r="A32" s="11" t="s">
        <v>30</v>
      </c>
      <c r="B32" s="9">
        <v>44.031999999999968</v>
      </c>
      <c r="C32" s="9">
        <v>1024</v>
      </c>
      <c r="D32" s="9">
        <v>-105.98399999999994</v>
      </c>
      <c r="E32" s="9">
        <v>-511.48799999999994</v>
      </c>
      <c r="F32" s="9">
        <v>-317.952</v>
      </c>
      <c r="G32" s="9">
        <v>1024</v>
      </c>
      <c r="H32" s="9">
        <v>1024</v>
      </c>
      <c r="I32" s="9">
        <v>40.192000000000263</v>
      </c>
      <c r="J32" s="9">
        <v>445.952</v>
      </c>
      <c r="K32" s="9">
        <v>-538.11200000000008</v>
      </c>
      <c r="L32" s="9">
        <v>1024</v>
      </c>
      <c r="M32" s="9">
        <v>960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f>-1*AF33</f>
        <v>0</v>
      </c>
      <c r="AH32" s="9">
        <f>-1*AF34</f>
        <v>0</v>
      </c>
      <c r="AI32" s="9">
        <f>-1*AF35</f>
        <v>0</v>
      </c>
    </row>
    <row r="33" spans="1:35">
      <c r="A33" s="11" t="s">
        <v>31</v>
      </c>
      <c r="B33" s="9">
        <v>-857.6</v>
      </c>
      <c r="C33" s="9">
        <v>-324.608</v>
      </c>
      <c r="D33" s="9">
        <v>-68.608000000000033</v>
      </c>
      <c r="E33" s="9">
        <v>273.40800000000002</v>
      </c>
      <c r="F33" s="9">
        <v>-896</v>
      </c>
      <c r="G33" s="9">
        <v>759.80799999999999</v>
      </c>
      <c r="H33" s="9">
        <v>174.08</v>
      </c>
      <c r="I33" s="9">
        <v>-935.68</v>
      </c>
      <c r="J33" s="9">
        <v>177.1519999999999</v>
      </c>
      <c r="K33" s="9">
        <v>-1024</v>
      </c>
      <c r="L33" s="9">
        <v>658.43200000000002</v>
      </c>
      <c r="M33" s="9">
        <v>-615.42399999999998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f>-1*AG34</f>
        <v>0</v>
      </c>
      <c r="AI33" s="9">
        <f>-1*AG35</f>
        <v>0</v>
      </c>
    </row>
    <row r="34" spans="1:35">
      <c r="A34" s="11" t="s">
        <v>32</v>
      </c>
      <c r="B34" s="9">
        <v>179.2</v>
      </c>
      <c r="C34" s="9">
        <v>431.10400000000004</v>
      </c>
      <c r="D34" s="9">
        <v>-509.44</v>
      </c>
      <c r="E34" s="9">
        <v>-443.90399999999994</v>
      </c>
      <c r="F34" s="9">
        <v>-178.68800000000002</v>
      </c>
      <c r="G34" s="9">
        <v>109.56800000000003</v>
      </c>
      <c r="H34" s="9">
        <v>420.35199999999998</v>
      </c>
      <c r="I34" s="9">
        <v>-130.30399999999995</v>
      </c>
      <c r="J34" s="9">
        <v>-509.952</v>
      </c>
      <c r="K34" s="9">
        <v>-185.34399999999994</v>
      </c>
      <c r="L34" s="9">
        <v>498.68800000000005</v>
      </c>
      <c r="M34" s="9">
        <v>-366.59199999999981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f>-1*AH35</f>
        <v>0</v>
      </c>
    </row>
    <row r="35" spans="1:35">
      <c r="A35" s="11" t="s">
        <v>33</v>
      </c>
      <c r="B35" s="9">
        <v>10.24</v>
      </c>
      <c r="C35" s="9">
        <v>433.66399999999999</v>
      </c>
      <c r="D35" s="9">
        <v>-251.90399999999994</v>
      </c>
      <c r="E35" s="9">
        <v>-928.25600000000009</v>
      </c>
      <c r="F35" s="9">
        <v>-478.20800000000003</v>
      </c>
      <c r="G35" s="9">
        <v>10.24</v>
      </c>
      <c r="H35" s="9">
        <v>10.24</v>
      </c>
      <c r="I35" s="9">
        <v>-911.10399999999993</v>
      </c>
      <c r="J35" s="9">
        <v>10.24</v>
      </c>
      <c r="K35" s="9">
        <v>-441.34399999999994</v>
      </c>
      <c r="L35" s="9">
        <v>304.64</v>
      </c>
      <c r="M35" s="9">
        <v>-525.82400000000007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I35" s="9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DFA2-A874-475C-92A2-86C065512D11}">
  <dimension ref="A1:Y3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A24" sqref="AA24"/>
    </sheetView>
  </sheetViews>
  <sheetFormatPr defaultRowHeight="18.75"/>
  <cols>
    <col min="1" max="1" width="13.125" style="1" customWidth="1"/>
    <col min="2" max="16384" width="9" style="1"/>
  </cols>
  <sheetData>
    <row r="1" spans="1:25">
      <c r="A1" s="3" t="s">
        <v>85</v>
      </c>
      <c r="B1" s="3" t="s">
        <v>174</v>
      </c>
      <c r="C1" s="3"/>
      <c r="D1" s="3" t="s">
        <v>152</v>
      </c>
      <c r="E1" s="3">
        <v>192</v>
      </c>
      <c r="F1" s="3">
        <v>90</v>
      </c>
      <c r="G1" s="3">
        <v>156</v>
      </c>
      <c r="H1" s="3">
        <v>126</v>
      </c>
      <c r="I1" s="3">
        <v>95</v>
      </c>
      <c r="J1" s="3">
        <v>80</v>
      </c>
      <c r="K1" s="3" t="s">
        <v>153</v>
      </c>
      <c r="L1" s="3" t="s">
        <v>202</v>
      </c>
      <c r="M1" s="3" t="s">
        <v>203</v>
      </c>
      <c r="N1" s="3" t="s">
        <v>177</v>
      </c>
      <c r="O1" s="3" t="s">
        <v>174</v>
      </c>
      <c r="P1" s="3" t="s">
        <v>185</v>
      </c>
      <c r="Q1" s="3" t="s">
        <v>74</v>
      </c>
      <c r="R1" s="3" t="s">
        <v>204</v>
      </c>
      <c r="S1" s="3">
        <v>90</v>
      </c>
      <c r="T1" s="3" t="s">
        <v>161</v>
      </c>
      <c r="U1" s="3" t="s">
        <v>180</v>
      </c>
      <c r="V1" s="3">
        <v>80</v>
      </c>
      <c r="W1" s="3" t="s">
        <v>58</v>
      </c>
      <c r="X1" s="3" t="s">
        <v>174</v>
      </c>
      <c r="Y1" s="3">
        <v>80</v>
      </c>
    </row>
    <row r="2" spans="1:25">
      <c r="B2" s="1" t="s">
        <v>54</v>
      </c>
      <c r="H2" s="1" t="s">
        <v>55</v>
      </c>
      <c r="N2" s="1" t="s">
        <v>56</v>
      </c>
    </row>
    <row r="3" spans="1:25">
      <c r="A3" s="4" t="s">
        <v>128</v>
      </c>
      <c r="B3" s="1" t="s">
        <v>35</v>
      </c>
      <c r="C3" s="1" t="s">
        <v>36</v>
      </c>
      <c r="D3" s="4" t="s">
        <v>42</v>
      </c>
      <c r="E3" s="1" t="s">
        <v>37</v>
      </c>
      <c r="F3" s="1" t="s">
        <v>38</v>
      </c>
      <c r="G3" s="3" t="s">
        <v>41</v>
      </c>
      <c r="H3" s="1" t="s">
        <v>35</v>
      </c>
      <c r="I3" s="1" t="s">
        <v>36</v>
      </c>
      <c r="J3" s="4" t="s">
        <v>42</v>
      </c>
      <c r="K3" s="1" t="s">
        <v>37</v>
      </c>
      <c r="L3" s="1" t="s">
        <v>38</v>
      </c>
      <c r="M3" s="3" t="s">
        <v>41</v>
      </c>
      <c r="N3" s="1" t="s">
        <v>35</v>
      </c>
      <c r="O3" s="1" t="s">
        <v>36</v>
      </c>
      <c r="P3" s="4" t="s">
        <v>42</v>
      </c>
      <c r="Q3" s="1" t="s">
        <v>37</v>
      </c>
      <c r="R3" s="1" t="s">
        <v>38</v>
      </c>
      <c r="S3" s="3" t="s">
        <v>41</v>
      </c>
      <c r="T3" s="5" t="s">
        <v>45</v>
      </c>
      <c r="U3" s="1" t="s">
        <v>114</v>
      </c>
    </row>
    <row r="4" spans="1:25">
      <c r="A4" s="4" t="s">
        <v>80</v>
      </c>
      <c r="B4" s="1" t="s">
        <v>123</v>
      </c>
    </row>
    <row r="5" spans="1:25">
      <c r="A5" s="4" t="s">
        <v>79</v>
      </c>
      <c r="B5" s="1" t="s">
        <v>123</v>
      </c>
    </row>
    <row r="6" spans="1:25">
      <c r="A6" s="4" t="s">
        <v>2</v>
      </c>
      <c r="B6" s="1" t="s">
        <v>123</v>
      </c>
    </row>
    <row r="7" spans="1:25">
      <c r="A7" s="4" t="s">
        <v>81</v>
      </c>
      <c r="B7" s="1" t="s">
        <v>123</v>
      </c>
    </row>
    <row r="8" spans="1:25">
      <c r="A8" s="4" t="s">
        <v>82</v>
      </c>
      <c r="B8" s="1" t="s">
        <v>123</v>
      </c>
    </row>
    <row r="9" spans="1:25">
      <c r="A9" s="4" t="s">
        <v>83</v>
      </c>
      <c r="B9" s="1" t="s">
        <v>123</v>
      </c>
    </row>
    <row r="10" spans="1:25">
      <c r="A10" s="4" t="s">
        <v>6</v>
      </c>
      <c r="B10" s="1" t="s">
        <v>123</v>
      </c>
    </row>
    <row r="11" spans="1:25">
      <c r="A11" s="4" t="s">
        <v>84</v>
      </c>
      <c r="B11" s="1" t="s">
        <v>123</v>
      </c>
    </row>
    <row r="12" spans="1:25">
      <c r="A12" s="4" t="s">
        <v>85</v>
      </c>
      <c r="B12" s="1" t="s">
        <v>123</v>
      </c>
    </row>
    <row r="13" spans="1:25">
      <c r="A13" s="4" t="s">
        <v>86</v>
      </c>
      <c r="B13" s="1" t="s">
        <v>74</v>
      </c>
      <c r="C13" s="1">
        <f>(54.8+65.1)/2</f>
        <v>59.949999999999996</v>
      </c>
      <c r="D13" s="4">
        <f>IF(100-C13&lt;=0, 0,100- C13)-F13/3</f>
        <v>24.1</v>
      </c>
      <c r="E13" s="1" t="s">
        <v>162</v>
      </c>
      <c r="F13" s="1">
        <f>(43.7+52)/2</f>
        <v>47.85</v>
      </c>
      <c r="G13" s="3">
        <f>IF(100-F13&lt;=0, 0,100- F13)</f>
        <v>52.15</v>
      </c>
      <c r="H13" s="1" t="s">
        <v>177</v>
      </c>
      <c r="I13" s="1">
        <v>0</v>
      </c>
      <c r="J13" s="4">
        <f>IF(D13-I13&lt;=0, 0,D13- I13)-L13/3</f>
        <v>8.15</v>
      </c>
      <c r="K13" s="1" t="s">
        <v>162</v>
      </c>
      <c r="L13" s="1">
        <f>(43.7+52)/2</f>
        <v>47.85</v>
      </c>
      <c r="M13" s="3">
        <f>IF(G13-L13&lt;=0, 0,G13- L13)+50</f>
        <v>54.3</v>
      </c>
      <c r="N13" s="1" t="s">
        <v>177</v>
      </c>
      <c r="O13" s="1">
        <v>0</v>
      </c>
      <c r="P13" s="4">
        <f>IF(J13-O13-R13/3&lt;=0, 0,J13- O13-R13/3)</f>
        <v>0</v>
      </c>
      <c r="Q13" s="1" t="s">
        <v>162</v>
      </c>
      <c r="R13" s="1">
        <f>(43.7+52)/2</f>
        <v>47.85</v>
      </c>
      <c r="S13" s="3">
        <f>IF(M13-R13&lt;=0, 0,M13- R13)+50</f>
        <v>56.449999999999996</v>
      </c>
      <c r="T13" s="5">
        <f t="shared" ref="T13" si="0">(S13-P13)/100*1024</f>
        <v>578.048</v>
      </c>
      <c r="U13" s="1">
        <f t="shared" ref="U13:U37" si="1">-1*T13</f>
        <v>-578.048</v>
      </c>
    </row>
    <row r="14" spans="1:25">
      <c r="A14" s="4" t="s">
        <v>87</v>
      </c>
      <c r="B14" s="1" t="s">
        <v>177</v>
      </c>
      <c r="C14" s="1">
        <v>0</v>
      </c>
      <c r="D14" s="4">
        <f>IF(100-C14&lt;=0, 0,100- C14)</f>
        <v>100</v>
      </c>
      <c r="E14" s="1" t="s">
        <v>132</v>
      </c>
      <c r="F14" s="1">
        <f>(55.2+65.6)/2</f>
        <v>60.4</v>
      </c>
      <c r="G14" s="3">
        <f>IF(100-F14&lt;=0, 0,100- F14)+50</f>
        <v>89.6</v>
      </c>
      <c r="H14" s="1" t="s">
        <v>177</v>
      </c>
      <c r="I14" s="1">
        <v>0</v>
      </c>
      <c r="J14" s="4">
        <f>IF(D14-I14&lt;=0, 0,D14- I14)</f>
        <v>100</v>
      </c>
      <c r="K14" s="1" t="s">
        <v>163</v>
      </c>
      <c r="L14" s="1">
        <f>(43.7+52)/2</f>
        <v>47.85</v>
      </c>
      <c r="M14" s="3">
        <f>IF(G14-L14&lt;=0, 0,G14- L14)+50</f>
        <v>91.75</v>
      </c>
      <c r="N14" s="1" t="s">
        <v>177</v>
      </c>
      <c r="O14" s="1">
        <v>0</v>
      </c>
      <c r="P14" s="4">
        <f>IF(J14-O14&lt;=0, 0,J14- O14)</f>
        <v>100</v>
      </c>
      <c r="Q14" s="1" t="s">
        <v>163</v>
      </c>
      <c r="R14" s="1">
        <f>(43.7+52)/2</f>
        <v>47.85</v>
      </c>
      <c r="S14" s="3">
        <f>IF(M14-R14&lt;=0, 0,M14- R14)+50</f>
        <v>93.9</v>
      </c>
      <c r="T14" s="5">
        <f t="shared" ref="T14" si="2">(S14-P14)/100*1024</f>
        <v>-62.463999999999942</v>
      </c>
      <c r="U14" s="1">
        <f t="shared" si="1"/>
        <v>62.463999999999942</v>
      </c>
    </row>
    <row r="15" spans="1:25">
      <c r="A15" s="4" t="s">
        <v>88</v>
      </c>
      <c r="B15" s="1" t="s">
        <v>74</v>
      </c>
      <c r="C15" s="1">
        <f>(64.1+76.2)/2</f>
        <v>70.150000000000006</v>
      </c>
      <c r="D15" s="4">
        <f>IF(100-C15&lt;=0, 0,100- C15)+25</f>
        <v>54.849999999999994</v>
      </c>
      <c r="E15" s="1" t="s">
        <v>60</v>
      </c>
      <c r="F15" s="1">
        <v>6.25</v>
      </c>
      <c r="G15" s="3">
        <f t="shared" ref="G15:G37" si="3">IF(100-F15&lt;=0, 0,100- F15)</f>
        <v>93.75</v>
      </c>
      <c r="H15" s="1" t="s">
        <v>74</v>
      </c>
      <c r="I15" s="1">
        <f>(64.1+76.2)/2</f>
        <v>70.150000000000006</v>
      </c>
      <c r="J15" s="4">
        <f t="shared" ref="J15:J37" si="4">IF(D15-I15&lt;=0, 0,D15- I15)</f>
        <v>0</v>
      </c>
      <c r="L15" s="1">
        <v>6.25</v>
      </c>
      <c r="M15" s="3">
        <f t="shared" ref="M15:M37" si="5">IF(G15-L15&lt;=0, 0,G15- L15)</f>
        <v>87.5</v>
      </c>
      <c r="P15" s="4">
        <f t="shared" ref="P15:P37" si="6">IF(J15-O15&lt;=0, 0,J15- O15)</f>
        <v>0</v>
      </c>
      <c r="S15" s="3">
        <f t="shared" ref="S15:S37" si="7">IF(M15-R15&lt;=0, 0,M15- R15)</f>
        <v>87.5</v>
      </c>
      <c r="T15" s="5">
        <f t="shared" ref="T15:T37" si="8">(S15-P15)/100*1024</f>
        <v>896</v>
      </c>
      <c r="U15" s="1">
        <f t="shared" si="1"/>
        <v>-896</v>
      </c>
    </row>
    <row r="16" spans="1:25">
      <c r="A16" s="4" t="s">
        <v>89</v>
      </c>
      <c r="B16" s="1" t="s">
        <v>74</v>
      </c>
      <c r="C16" s="1">
        <f>(55.2+65)/2</f>
        <v>60.1</v>
      </c>
      <c r="D16" s="4">
        <f>IF(100-C16&lt;=0, 0,100- C16)-10</f>
        <v>29.9</v>
      </c>
      <c r="E16" s="1" t="s">
        <v>62</v>
      </c>
      <c r="F16" s="1">
        <f>(30.2+36.4)/2</f>
        <v>33.299999999999997</v>
      </c>
      <c r="G16" s="3">
        <f t="shared" si="3"/>
        <v>66.7</v>
      </c>
      <c r="H16" s="1" t="s">
        <v>177</v>
      </c>
      <c r="I16" s="1">
        <v>0</v>
      </c>
      <c r="J16" s="4">
        <f>IF(D16-I16&lt;=0, 0,D16- I16)-10</f>
        <v>19.899999999999999</v>
      </c>
      <c r="K16" s="1" t="s">
        <v>62</v>
      </c>
      <c r="L16" s="1">
        <f>(30.2+36.4)/2</f>
        <v>33.299999999999997</v>
      </c>
      <c r="M16" s="3">
        <f>IF(G16-L16&lt;=0, 0,G16- L16)+50</f>
        <v>83.4</v>
      </c>
      <c r="N16" s="1" t="s">
        <v>74</v>
      </c>
      <c r="O16" s="1">
        <f>(55.2+65)/2</f>
        <v>60.1</v>
      </c>
      <c r="P16" s="4">
        <f t="shared" si="6"/>
        <v>0</v>
      </c>
      <c r="Q16" s="1" t="s">
        <v>62</v>
      </c>
      <c r="R16" s="1">
        <f>(30.2+36.4)/2</f>
        <v>33.299999999999997</v>
      </c>
      <c r="S16" s="3">
        <f t="shared" si="7"/>
        <v>50.100000000000009</v>
      </c>
      <c r="T16" s="5">
        <f t="shared" si="8"/>
        <v>513.02400000000011</v>
      </c>
      <c r="U16" s="1">
        <f t="shared" si="1"/>
        <v>-513.02400000000011</v>
      </c>
    </row>
    <row r="17" spans="1:21">
      <c r="A17" s="4" t="s">
        <v>90</v>
      </c>
      <c r="B17" s="1" t="s">
        <v>74</v>
      </c>
      <c r="C17" s="1">
        <f>(55.2+65)/2</f>
        <v>60.1</v>
      </c>
      <c r="D17" s="4">
        <f>IF(100-C17&lt;=0, 0,100- C17)-10</f>
        <v>29.9</v>
      </c>
      <c r="E17" s="1" t="s">
        <v>64</v>
      </c>
      <c r="F17" s="1">
        <f>(44.7+52.6)/2</f>
        <v>48.650000000000006</v>
      </c>
      <c r="G17" s="3">
        <f t="shared" si="3"/>
        <v>51.349999999999994</v>
      </c>
      <c r="H17" s="1" t="s">
        <v>177</v>
      </c>
      <c r="I17" s="1">
        <v>0</v>
      </c>
      <c r="J17" s="4">
        <f>IF(D17-I17&lt;=0, 0,D17- I17)-10</f>
        <v>19.899999999999999</v>
      </c>
      <c r="K17" s="1" t="s">
        <v>64</v>
      </c>
      <c r="L17" s="1">
        <f>(22.3+27)/2</f>
        <v>24.65</v>
      </c>
      <c r="M17" s="3">
        <f>IF(G17-L17&lt;=0, 0,G17- L17)+50</f>
        <v>76.699999999999989</v>
      </c>
      <c r="N17" s="1" t="s">
        <v>74</v>
      </c>
      <c r="O17" s="1">
        <f>(55.2+65)/2</f>
        <v>60.1</v>
      </c>
      <c r="P17" s="4">
        <f t="shared" si="6"/>
        <v>0</v>
      </c>
      <c r="Q17" s="1" t="s">
        <v>64</v>
      </c>
      <c r="R17" s="1">
        <f>(15.1+18.2)/2</f>
        <v>16.649999999999999</v>
      </c>
      <c r="S17" s="3">
        <f t="shared" si="7"/>
        <v>60.04999999999999</v>
      </c>
      <c r="T17" s="5">
        <f t="shared" si="8"/>
        <v>614.91199999999992</v>
      </c>
      <c r="U17" s="1">
        <f t="shared" si="1"/>
        <v>-614.91199999999992</v>
      </c>
    </row>
    <row r="18" spans="1:21">
      <c r="A18" s="4" t="s">
        <v>91</v>
      </c>
      <c r="B18" s="1" t="s">
        <v>74</v>
      </c>
      <c r="C18" s="1">
        <f>(62.1+74.3)/2</f>
        <v>68.2</v>
      </c>
      <c r="D18" s="4">
        <f>IF(100-C18&lt;=0, 0,100- C18)-10</f>
        <v>21.799999999999997</v>
      </c>
      <c r="E18" s="1" t="s">
        <v>163</v>
      </c>
      <c r="F18" s="1">
        <f>(38.5+45.3)/2</f>
        <v>41.9</v>
      </c>
      <c r="G18" s="3">
        <f t="shared" si="3"/>
        <v>58.1</v>
      </c>
      <c r="H18" s="1" t="s">
        <v>177</v>
      </c>
      <c r="I18" s="1">
        <v>0</v>
      </c>
      <c r="J18" s="4">
        <f>IF(D18-I18&lt;=0, 0,D18- I18)-10</f>
        <v>11.799999999999997</v>
      </c>
      <c r="K18" s="1" t="s">
        <v>64</v>
      </c>
      <c r="L18" s="1">
        <f>(51.5+61.4)/2</f>
        <v>56.45</v>
      </c>
      <c r="M18" s="3">
        <f>IF(G18-L18&lt;=0, 0,G18- L18)+50</f>
        <v>51.65</v>
      </c>
      <c r="N18" s="1" t="s">
        <v>74</v>
      </c>
      <c r="O18" s="1">
        <f>(62.1+74.3)/2</f>
        <v>68.2</v>
      </c>
      <c r="P18" s="4">
        <f t="shared" si="6"/>
        <v>0</v>
      </c>
      <c r="Q18" s="1" t="s">
        <v>64</v>
      </c>
      <c r="R18" s="1">
        <f>(26.5+31.2)/2</f>
        <v>28.85</v>
      </c>
      <c r="S18" s="3">
        <f t="shared" si="7"/>
        <v>22.799999999999997</v>
      </c>
      <c r="T18" s="5">
        <f t="shared" si="8"/>
        <v>233.47199999999998</v>
      </c>
      <c r="U18" s="1">
        <f t="shared" si="1"/>
        <v>-233.47199999999998</v>
      </c>
    </row>
    <row r="19" spans="1:21">
      <c r="A19" s="4" t="s">
        <v>92</v>
      </c>
      <c r="B19" s="1" t="s">
        <v>58</v>
      </c>
      <c r="C19" s="1">
        <f>102.7</f>
        <v>102.7</v>
      </c>
      <c r="D19" s="4">
        <f>IF(100-C19&lt;=0, 1,100- C19)</f>
        <v>1</v>
      </c>
      <c r="E19" s="1" t="s">
        <v>112</v>
      </c>
      <c r="F19" s="1">
        <f>(62.5+75)/2</f>
        <v>68.75</v>
      </c>
      <c r="G19" s="3">
        <f t="shared" si="3"/>
        <v>31.25</v>
      </c>
      <c r="J19" s="4">
        <f t="shared" si="4"/>
        <v>1</v>
      </c>
      <c r="K19" s="1" t="s">
        <v>112</v>
      </c>
      <c r="L19" s="1">
        <f>(62.5+75)/2</f>
        <v>68.75</v>
      </c>
      <c r="M19" s="3">
        <f t="shared" si="5"/>
        <v>0</v>
      </c>
      <c r="P19" s="4">
        <f t="shared" si="6"/>
        <v>1</v>
      </c>
      <c r="S19" s="3">
        <f t="shared" si="7"/>
        <v>0</v>
      </c>
      <c r="T19" s="5">
        <f t="shared" si="8"/>
        <v>-10.24</v>
      </c>
      <c r="U19" s="1">
        <f t="shared" si="1"/>
        <v>10.24</v>
      </c>
    </row>
    <row r="20" spans="1:21">
      <c r="A20" s="4" t="s">
        <v>93</v>
      </c>
      <c r="B20" s="1" t="s">
        <v>74</v>
      </c>
      <c r="C20" s="1">
        <f>(36.3+43.6)/2</f>
        <v>39.950000000000003</v>
      </c>
      <c r="D20" s="4">
        <f t="shared" ref="D20:D35" si="9">IF(100-C20&lt;=0, 0,100- C20)</f>
        <v>60.05</v>
      </c>
      <c r="E20" s="1" t="s">
        <v>166</v>
      </c>
      <c r="F20" s="1">
        <v>0</v>
      </c>
      <c r="G20" s="3">
        <f t="shared" si="3"/>
        <v>100</v>
      </c>
      <c r="H20" s="1" t="s">
        <v>74</v>
      </c>
      <c r="I20" s="1">
        <f>(36.3+43.6)/2</f>
        <v>39.950000000000003</v>
      </c>
      <c r="J20" s="4">
        <f t="shared" si="4"/>
        <v>20.099999999999994</v>
      </c>
      <c r="K20" s="1" t="s">
        <v>52</v>
      </c>
      <c r="L20" s="1">
        <f>(85.9+101.5)/2</f>
        <v>93.7</v>
      </c>
      <c r="M20" s="3">
        <f t="shared" si="5"/>
        <v>6.2999999999999972</v>
      </c>
      <c r="P20" s="4">
        <f t="shared" si="6"/>
        <v>20.099999999999994</v>
      </c>
      <c r="Q20" s="1" t="s">
        <v>52</v>
      </c>
      <c r="R20" s="1">
        <f>(85.9+101.5)/2</f>
        <v>93.7</v>
      </c>
      <c r="S20" s="3">
        <f t="shared" si="7"/>
        <v>0</v>
      </c>
      <c r="T20" s="5">
        <f t="shared" si="8"/>
        <v>-205.82399999999996</v>
      </c>
      <c r="U20" s="1">
        <f t="shared" si="1"/>
        <v>205.82399999999996</v>
      </c>
    </row>
    <row r="21" spans="1:21">
      <c r="A21" s="4" t="s">
        <v>94</v>
      </c>
      <c r="B21" s="1" t="s">
        <v>58</v>
      </c>
      <c r="C21" s="1">
        <f>(52.7+61.9)/2</f>
        <v>57.3</v>
      </c>
      <c r="D21" s="4">
        <f t="shared" si="9"/>
        <v>42.7</v>
      </c>
      <c r="E21" s="1" t="s">
        <v>71</v>
      </c>
      <c r="F21" s="1">
        <f>(34.8+41.1)/2+12.5</f>
        <v>50.45</v>
      </c>
      <c r="G21" s="3">
        <f t="shared" si="3"/>
        <v>49.55</v>
      </c>
      <c r="H21" s="1" t="s">
        <v>58</v>
      </c>
      <c r="I21" s="1">
        <f>(52.7+61.9)/2</f>
        <v>57.3</v>
      </c>
      <c r="J21" s="4">
        <f t="shared" si="4"/>
        <v>0</v>
      </c>
      <c r="K21" s="1" t="s">
        <v>71</v>
      </c>
      <c r="L21" s="1">
        <f>(34.8+41.1)/2+12.5</f>
        <v>50.45</v>
      </c>
      <c r="M21" s="3">
        <f t="shared" si="5"/>
        <v>0</v>
      </c>
      <c r="P21" s="4">
        <f t="shared" si="6"/>
        <v>0</v>
      </c>
      <c r="S21" s="3">
        <f t="shared" si="7"/>
        <v>0</v>
      </c>
      <c r="T21" s="5">
        <f t="shared" si="8"/>
        <v>0</v>
      </c>
      <c r="U21" s="1">
        <f t="shared" si="1"/>
        <v>0</v>
      </c>
    </row>
    <row r="22" spans="1:21">
      <c r="A22" s="4" t="s">
        <v>95</v>
      </c>
      <c r="B22" s="1" t="s">
        <v>161</v>
      </c>
      <c r="C22" s="1">
        <f>(40+33.5)/2</f>
        <v>36.75</v>
      </c>
      <c r="D22" s="4">
        <f t="shared" si="9"/>
        <v>63.25</v>
      </c>
      <c r="E22" s="1" t="s">
        <v>167</v>
      </c>
      <c r="F22" s="1">
        <f>(23.4+28.1)/2</f>
        <v>25.75</v>
      </c>
      <c r="G22" s="3">
        <f t="shared" si="3"/>
        <v>74.25</v>
      </c>
      <c r="H22" s="1" t="s">
        <v>177</v>
      </c>
      <c r="I22" s="1">
        <v>0</v>
      </c>
      <c r="J22" s="4">
        <f t="shared" si="4"/>
        <v>63.25</v>
      </c>
      <c r="K22" s="1" t="s">
        <v>167</v>
      </c>
      <c r="L22" s="1">
        <f>(23.4+28.1)/2</f>
        <v>25.75</v>
      </c>
      <c r="M22" s="3">
        <f>IF(G22-L22&lt;=0, 0,G22- L22)+50</f>
        <v>98.5</v>
      </c>
      <c r="N22" s="1" t="s">
        <v>161</v>
      </c>
      <c r="O22" s="1">
        <f>(40+33.5)/2</f>
        <v>36.75</v>
      </c>
      <c r="P22" s="4">
        <f t="shared" si="6"/>
        <v>26.5</v>
      </c>
      <c r="Q22" s="1" t="s">
        <v>167</v>
      </c>
      <c r="R22" s="1">
        <f>(23.4+28.1)/2</f>
        <v>25.75</v>
      </c>
      <c r="S22" s="3">
        <f t="shared" si="7"/>
        <v>72.75</v>
      </c>
      <c r="T22" s="5">
        <f t="shared" si="8"/>
        <v>473.6</v>
      </c>
      <c r="U22" s="1">
        <f t="shared" si="1"/>
        <v>-473.6</v>
      </c>
    </row>
    <row r="23" spans="1:21">
      <c r="A23" s="4" t="s">
        <v>96</v>
      </c>
      <c r="B23" s="1" t="s">
        <v>58</v>
      </c>
      <c r="C23" s="1">
        <f>(17.1+20.2)/2</f>
        <v>18.649999999999999</v>
      </c>
      <c r="D23" s="4">
        <f t="shared" si="9"/>
        <v>81.349999999999994</v>
      </c>
      <c r="E23" s="1" t="s">
        <v>73</v>
      </c>
      <c r="F23" s="1">
        <v>0</v>
      </c>
      <c r="G23" s="3">
        <f t="shared" si="3"/>
        <v>100</v>
      </c>
      <c r="H23" s="1" t="s">
        <v>58</v>
      </c>
      <c r="I23" s="1">
        <f>(13.2+15.8)/2</f>
        <v>14.5</v>
      </c>
      <c r="J23" s="4">
        <f t="shared" si="4"/>
        <v>66.849999999999994</v>
      </c>
      <c r="K23" s="1" t="s">
        <v>73</v>
      </c>
      <c r="L23" s="1">
        <v>0</v>
      </c>
      <c r="M23" s="3">
        <f t="shared" si="5"/>
        <v>100</v>
      </c>
      <c r="N23" s="1" t="s">
        <v>58</v>
      </c>
      <c r="O23" s="1">
        <f>(13.2+15.8)/2</f>
        <v>14.5</v>
      </c>
      <c r="P23" s="4">
        <f t="shared" si="6"/>
        <v>52.349999999999994</v>
      </c>
      <c r="Q23" s="1" t="s">
        <v>205</v>
      </c>
      <c r="R23" s="1">
        <f>(43.7+51.5)/2</f>
        <v>47.6</v>
      </c>
      <c r="S23" s="3">
        <f t="shared" si="7"/>
        <v>52.4</v>
      </c>
      <c r="T23" s="5">
        <f t="shared" si="8"/>
        <v>0.51200000000004364</v>
      </c>
      <c r="U23" s="1">
        <f t="shared" si="1"/>
        <v>-0.51200000000004364</v>
      </c>
    </row>
    <row r="24" spans="1:21">
      <c r="A24" s="4" t="s">
        <v>97</v>
      </c>
      <c r="B24" s="1" t="s">
        <v>161</v>
      </c>
      <c r="C24" s="1">
        <f>(15.6+18.6)/2</f>
        <v>17.100000000000001</v>
      </c>
      <c r="D24" s="4">
        <f t="shared" si="9"/>
        <v>82.9</v>
      </c>
      <c r="E24" s="1" t="s">
        <v>187</v>
      </c>
      <c r="F24" s="1">
        <f>(34.8+41.1)/2+12.5</f>
        <v>50.45</v>
      </c>
      <c r="G24" s="3">
        <f t="shared" si="3"/>
        <v>49.55</v>
      </c>
      <c r="H24" s="1" t="s">
        <v>177</v>
      </c>
      <c r="I24" s="1">
        <v>0</v>
      </c>
      <c r="J24" s="4">
        <f t="shared" si="4"/>
        <v>82.9</v>
      </c>
      <c r="K24" s="1" t="s">
        <v>187</v>
      </c>
      <c r="L24" s="1">
        <f>(34.8+41.1)/2+12.5</f>
        <v>50.45</v>
      </c>
      <c r="M24" s="3">
        <f>IF(G24-L24+50&lt;=0, 0,G24- L24+50)</f>
        <v>49.099999999999994</v>
      </c>
      <c r="N24" s="1" t="s">
        <v>177</v>
      </c>
      <c r="O24" s="1">
        <v>0</v>
      </c>
      <c r="P24" s="4">
        <f t="shared" si="6"/>
        <v>82.9</v>
      </c>
      <c r="Q24" s="1" t="s">
        <v>187</v>
      </c>
      <c r="R24" s="1">
        <f>(34.8+41.1)/2+12.5</f>
        <v>50.45</v>
      </c>
      <c r="S24" s="3">
        <f>IF(M24-R24+50&lt;=0, 0,M24- R24+50)</f>
        <v>48.649999999999991</v>
      </c>
      <c r="T24" s="5">
        <f t="shared" si="8"/>
        <v>-350.72000000000014</v>
      </c>
      <c r="U24" s="1">
        <f t="shared" si="1"/>
        <v>350.72000000000014</v>
      </c>
    </row>
    <row r="25" spans="1:21">
      <c r="A25" s="4" t="s">
        <v>98</v>
      </c>
      <c r="B25" s="1" t="s">
        <v>58</v>
      </c>
      <c r="C25" s="1">
        <f>(14.3+16.7)/2</f>
        <v>15.5</v>
      </c>
      <c r="D25" s="4">
        <f t="shared" si="9"/>
        <v>84.5</v>
      </c>
      <c r="E25" s="1" t="s">
        <v>76</v>
      </c>
      <c r="F25" s="1">
        <f>(28.1+33.3)/2</f>
        <v>30.7</v>
      </c>
      <c r="G25" s="3">
        <f t="shared" si="3"/>
        <v>69.3</v>
      </c>
      <c r="H25" s="1" t="s">
        <v>177</v>
      </c>
      <c r="I25" s="1">
        <v>0</v>
      </c>
      <c r="J25" s="4">
        <f t="shared" si="4"/>
        <v>84.5</v>
      </c>
      <c r="K25" s="1" t="s">
        <v>76</v>
      </c>
      <c r="L25" s="1">
        <f>(28.1+33.3)/2</f>
        <v>30.7</v>
      </c>
      <c r="M25" s="3">
        <f>IF(G25-L25&lt;=0, 0,G25- L25)+50</f>
        <v>88.6</v>
      </c>
      <c r="N25" s="1" t="s">
        <v>74</v>
      </c>
      <c r="O25" s="1">
        <f>(86.2+102.9)/2</f>
        <v>94.550000000000011</v>
      </c>
      <c r="P25" s="4">
        <f t="shared" si="6"/>
        <v>0</v>
      </c>
      <c r="Q25" s="1" t="s">
        <v>76</v>
      </c>
      <c r="R25" s="1">
        <f>(28.1+33.3)/2</f>
        <v>30.7</v>
      </c>
      <c r="S25" s="3">
        <f t="shared" si="7"/>
        <v>57.899999999999991</v>
      </c>
      <c r="T25" s="5">
        <f t="shared" si="8"/>
        <v>592.89599999999996</v>
      </c>
      <c r="U25" s="1">
        <f t="shared" si="1"/>
        <v>-592.89599999999996</v>
      </c>
    </row>
    <row r="26" spans="1:21">
      <c r="A26" s="4" t="s">
        <v>99</v>
      </c>
      <c r="B26" s="1" t="s">
        <v>161</v>
      </c>
      <c r="C26" s="1">
        <v>122.2</v>
      </c>
      <c r="D26" s="4">
        <f>IF(100-C26&lt;=0, 1,100- C26)</f>
        <v>1</v>
      </c>
      <c r="E26" s="1" t="s">
        <v>112</v>
      </c>
      <c r="F26" s="1">
        <f>(56.2+66.6)/2</f>
        <v>61.4</v>
      </c>
      <c r="G26" s="3">
        <f t="shared" si="3"/>
        <v>38.6</v>
      </c>
      <c r="J26" s="4">
        <f t="shared" si="4"/>
        <v>1</v>
      </c>
      <c r="K26" s="1" t="s">
        <v>112</v>
      </c>
      <c r="L26" s="1">
        <f>(56.2+66.6)/2</f>
        <v>61.4</v>
      </c>
      <c r="M26" s="3">
        <f t="shared" si="5"/>
        <v>0</v>
      </c>
      <c r="P26" s="4">
        <f t="shared" si="6"/>
        <v>1</v>
      </c>
      <c r="S26" s="3">
        <f t="shared" si="7"/>
        <v>0</v>
      </c>
      <c r="T26" s="5">
        <f t="shared" si="8"/>
        <v>-10.24</v>
      </c>
      <c r="U26" s="1">
        <f t="shared" si="1"/>
        <v>10.24</v>
      </c>
    </row>
    <row r="27" spans="1:21">
      <c r="A27" s="4" t="s">
        <v>100</v>
      </c>
      <c r="B27" s="1" t="s">
        <v>58</v>
      </c>
      <c r="C27" s="1">
        <f>(32.3+38.1)/2</f>
        <v>35.200000000000003</v>
      </c>
      <c r="D27" s="4">
        <f t="shared" si="9"/>
        <v>64.8</v>
      </c>
      <c r="E27" s="1" t="s">
        <v>112</v>
      </c>
      <c r="F27" s="1">
        <f>(52+43.7)/2</f>
        <v>47.85</v>
      </c>
      <c r="G27" s="3">
        <f t="shared" si="3"/>
        <v>52.15</v>
      </c>
      <c r="H27" s="1" t="s">
        <v>58</v>
      </c>
      <c r="I27" s="1">
        <f>(32.3+38.1)/2</f>
        <v>35.200000000000003</v>
      </c>
      <c r="J27" s="4">
        <f t="shared" si="4"/>
        <v>29.599999999999994</v>
      </c>
      <c r="K27" s="1" t="s">
        <v>112</v>
      </c>
      <c r="L27" s="1">
        <f>(52+43.7)/2</f>
        <v>47.85</v>
      </c>
      <c r="M27" s="3">
        <f t="shared" si="5"/>
        <v>4.2999999999999972</v>
      </c>
      <c r="N27" s="1" t="s">
        <v>58</v>
      </c>
      <c r="O27" s="1">
        <f>(32.3+38.1)/2</f>
        <v>35.200000000000003</v>
      </c>
      <c r="P27" s="4">
        <f t="shared" si="6"/>
        <v>0</v>
      </c>
      <c r="S27" s="3">
        <f t="shared" si="7"/>
        <v>4.2999999999999972</v>
      </c>
      <c r="T27" s="5">
        <f t="shared" si="8"/>
        <v>44.031999999999968</v>
      </c>
      <c r="U27" s="1">
        <f t="shared" si="1"/>
        <v>-44.031999999999968</v>
      </c>
    </row>
    <row r="28" spans="1:21">
      <c r="A28" s="4" t="s">
        <v>101</v>
      </c>
      <c r="B28" s="1" t="s">
        <v>58</v>
      </c>
      <c r="C28" s="1">
        <f>(36.7+43.9)/2</f>
        <v>40.299999999999997</v>
      </c>
      <c r="D28" s="4">
        <f t="shared" si="9"/>
        <v>59.7</v>
      </c>
      <c r="E28" s="1" t="s">
        <v>60</v>
      </c>
      <c r="F28" s="1">
        <v>0</v>
      </c>
      <c r="G28" s="3">
        <f t="shared" si="3"/>
        <v>100</v>
      </c>
      <c r="H28" s="1" t="s">
        <v>58</v>
      </c>
      <c r="I28" s="1">
        <f>(36.7+43.9)/2</f>
        <v>40.299999999999997</v>
      </c>
      <c r="J28" s="4">
        <f>IF(D28-I28&lt;=0, 0,D28- I28)+25</f>
        <v>44.400000000000006</v>
      </c>
      <c r="K28" s="1" t="s">
        <v>39</v>
      </c>
      <c r="L28" s="1">
        <f>(17.1+20.3)/2</f>
        <v>18.700000000000003</v>
      </c>
      <c r="M28" s="3">
        <f t="shared" si="5"/>
        <v>81.3</v>
      </c>
      <c r="N28" s="1" t="s">
        <v>61</v>
      </c>
      <c r="O28" s="1">
        <v>0</v>
      </c>
      <c r="P28" s="4">
        <f t="shared" si="6"/>
        <v>44.400000000000006</v>
      </c>
      <c r="Q28" s="1" t="s">
        <v>39</v>
      </c>
      <c r="R28" s="1">
        <f>(17.1+20.3)/2</f>
        <v>18.700000000000003</v>
      </c>
      <c r="S28" s="3">
        <f t="shared" si="7"/>
        <v>62.599999999999994</v>
      </c>
      <c r="T28" s="5">
        <f t="shared" si="8"/>
        <v>186.36799999999988</v>
      </c>
      <c r="U28" s="1">
        <f t="shared" si="1"/>
        <v>-186.36799999999988</v>
      </c>
    </row>
    <row r="29" spans="1:21">
      <c r="A29" s="4" t="s">
        <v>102</v>
      </c>
      <c r="B29" s="1" t="s">
        <v>74</v>
      </c>
      <c r="C29" s="1">
        <f>(25.9+30.9)/2</f>
        <v>28.4</v>
      </c>
      <c r="D29" s="4">
        <f>IF(100-C29&lt;=0, 0,IF(100- C29+6.25+E1/8&gt;100, 100, 100- C29+6.25+E1/8))</f>
        <v>100</v>
      </c>
      <c r="E29" s="1" t="s">
        <v>130</v>
      </c>
      <c r="F29" s="1">
        <v>12.5</v>
      </c>
      <c r="G29" s="3">
        <f t="shared" si="3"/>
        <v>87.5</v>
      </c>
      <c r="H29" s="1" t="s">
        <v>74</v>
      </c>
      <c r="I29" s="1">
        <v>0</v>
      </c>
      <c r="J29" s="4">
        <f t="shared" si="4"/>
        <v>100</v>
      </c>
      <c r="K29" s="1" t="s">
        <v>131</v>
      </c>
      <c r="L29" s="1">
        <v>0</v>
      </c>
      <c r="M29" s="3">
        <f t="shared" si="5"/>
        <v>87.5</v>
      </c>
      <c r="N29" s="1" t="s">
        <v>74</v>
      </c>
      <c r="O29" s="1">
        <f>(25.9+30.9)/2</f>
        <v>28.4</v>
      </c>
      <c r="P29" s="4">
        <f>IF(100-O29&lt;=0, 0,IF(100- O29+6.25+E1/8&gt;100, 100, 100- O29+6.25+E1/8))</f>
        <v>100</v>
      </c>
      <c r="Q29" s="1" t="s">
        <v>170</v>
      </c>
      <c r="R29" s="1">
        <f>(17.1+20.8)/2+12.5</f>
        <v>31.450000000000003</v>
      </c>
      <c r="S29" s="3">
        <f t="shared" si="7"/>
        <v>56.05</v>
      </c>
      <c r="T29" s="5">
        <f t="shared" si="8"/>
        <v>-450.048</v>
      </c>
      <c r="U29" s="1">
        <f t="shared" si="1"/>
        <v>450.048</v>
      </c>
    </row>
    <row r="30" spans="1:21">
      <c r="A30" s="4" t="s">
        <v>103</v>
      </c>
      <c r="B30" s="1" t="s">
        <v>58</v>
      </c>
      <c r="C30" s="1">
        <f>(62.7+74.4)/2</f>
        <v>68.550000000000011</v>
      </c>
      <c r="D30" s="4">
        <f t="shared" si="9"/>
        <v>31.449999999999989</v>
      </c>
      <c r="E30" s="1" t="s">
        <v>78</v>
      </c>
      <c r="F30" s="1">
        <f>(43.7+52)/2</f>
        <v>47.85</v>
      </c>
      <c r="G30" s="3">
        <f t="shared" si="3"/>
        <v>52.15</v>
      </c>
      <c r="H30" s="1" t="s">
        <v>177</v>
      </c>
      <c r="I30" s="1">
        <v>0</v>
      </c>
      <c r="J30" s="4">
        <f t="shared" si="4"/>
        <v>31.449999999999989</v>
      </c>
      <c r="K30" s="1" t="s">
        <v>78</v>
      </c>
      <c r="L30" s="1">
        <f>(43.7+52)/2</f>
        <v>47.85</v>
      </c>
      <c r="M30" s="3">
        <f>IF(G30-L30&lt;=0, 0,G30- L30)+50</f>
        <v>54.3</v>
      </c>
      <c r="N30" s="1" t="s">
        <v>58</v>
      </c>
      <c r="O30" s="1">
        <f>(62.7+74.4)/2</f>
        <v>68.550000000000011</v>
      </c>
      <c r="P30" s="4">
        <f t="shared" si="6"/>
        <v>0</v>
      </c>
      <c r="Q30" s="1" t="s">
        <v>78</v>
      </c>
      <c r="R30" s="1">
        <f>(43.7+52)/2</f>
        <v>47.85</v>
      </c>
      <c r="S30" s="3">
        <f t="shared" si="7"/>
        <v>6.4499999999999957</v>
      </c>
      <c r="T30" s="5">
        <f t="shared" si="8"/>
        <v>66.047999999999959</v>
      </c>
      <c r="U30" s="1">
        <f t="shared" si="1"/>
        <v>-66.047999999999959</v>
      </c>
    </row>
    <row r="31" spans="1:21">
      <c r="A31" s="4" t="s">
        <v>104</v>
      </c>
      <c r="B31" s="1" t="s">
        <v>74</v>
      </c>
      <c r="C31" s="1">
        <v>101.1</v>
      </c>
      <c r="D31" s="4">
        <f t="shared" si="9"/>
        <v>0</v>
      </c>
      <c r="E31" s="1" t="s">
        <v>76</v>
      </c>
      <c r="F31" s="1">
        <f>(37.5+44.7)/2</f>
        <v>41.1</v>
      </c>
      <c r="G31" s="3">
        <f t="shared" si="3"/>
        <v>58.9</v>
      </c>
      <c r="J31" s="4">
        <f t="shared" si="4"/>
        <v>0</v>
      </c>
      <c r="M31" s="3">
        <f t="shared" si="5"/>
        <v>58.9</v>
      </c>
      <c r="P31" s="4">
        <f t="shared" si="6"/>
        <v>0</v>
      </c>
      <c r="S31" s="3">
        <f t="shared" si="7"/>
        <v>58.9</v>
      </c>
      <c r="T31" s="5">
        <f t="shared" si="8"/>
        <v>603.13599999999997</v>
      </c>
      <c r="U31" s="1">
        <f t="shared" si="1"/>
        <v>-603.13599999999997</v>
      </c>
    </row>
    <row r="32" spans="1:21">
      <c r="A32" s="4" t="s">
        <v>105</v>
      </c>
      <c r="B32" s="1" t="s">
        <v>74</v>
      </c>
      <c r="C32" s="1">
        <v>101.1</v>
      </c>
      <c r="D32" s="4">
        <f t="shared" si="9"/>
        <v>0</v>
      </c>
      <c r="E32" s="1" t="s">
        <v>64</v>
      </c>
      <c r="F32" s="1">
        <f>(59.3+70.3)/2</f>
        <v>64.8</v>
      </c>
      <c r="G32" s="3">
        <f t="shared" si="3"/>
        <v>35.200000000000003</v>
      </c>
      <c r="J32" s="4">
        <f t="shared" si="4"/>
        <v>0</v>
      </c>
      <c r="M32" s="3">
        <f t="shared" si="5"/>
        <v>35.200000000000003</v>
      </c>
      <c r="P32" s="4">
        <f t="shared" si="6"/>
        <v>0</v>
      </c>
      <c r="S32" s="3">
        <f t="shared" si="7"/>
        <v>35.200000000000003</v>
      </c>
      <c r="T32" s="5">
        <f t="shared" si="8"/>
        <v>360.44800000000004</v>
      </c>
      <c r="U32" s="1">
        <f t="shared" si="1"/>
        <v>-360.44800000000004</v>
      </c>
    </row>
    <row r="33" spans="1:21">
      <c r="A33" s="4" t="s">
        <v>106</v>
      </c>
      <c r="B33" s="1" t="s">
        <v>58</v>
      </c>
      <c r="C33" s="1">
        <f>(36+43.2)/2</f>
        <v>39.6</v>
      </c>
      <c r="D33" s="4">
        <f t="shared" si="9"/>
        <v>60.4</v>
      </c>
      <c r="E33" s="1" t="s">
        <v>144</v>
      </c>
      <c r="F33" s="1">
        <f>(30.2+35.9)/2</f>
        <v>33.049999999999997</v>
      </c>
      <c r="G33" s="3">
        <f t="shared" si="3"/>
        <v>66.95</v>
      </c>
      <c r="H33" s="1" t="s">
        <v>177</v>
      </c>
      <c r="I33" s="1">
        <v>0</v>
      </c>
      <c r="J33" s="4">
        <f t="shared" si="4"/>
        <v>60.4</v>
      </c>
      <c r="K33" s="1" t="s">
        <v>144</v>
      </c>
      <c r="L33" s="1">
        <f>(30.2+35.9)/2</f>
        <v>33.049999999999997</v>
      </c>
      <c r="M33" s="3">
        <f>IF(G33-L33&lt;=0, 0,G33- L33)+50</f>
        <v>83.9</v>
      </c>
      <c r="N33" s="1" t="s">
        <v>58</v>
      </c>
      <c r="O33" s="1">
        <f>(36+43.2)/2</f>
        <v>39.6</v>
      </c>
      <c r="P33" s="4">
        <f>IF(J33-O33&lt;=0, 0,J33- O33)+25</f>
        <v>45.8</v>
      </c>
      <c r="Q33" s="1" t="s">
        <v>144</v>
      </c>
      <c r="R33" s="1">
        <f>(30.2+35.9)/2</f>
        <v>33.049999999999997</v>
      </c>
      <c r="S33" s="3">
        <f t="shared" si="7"/>
        <v>50.850000000000009</v>
      </c>
      <c r="T33" s="5">
        <f t="shared" si="8"/>
        <v>51.712000000000117</v>
      </c>
      <c r="U33" s="1">
        <f t="shared" si="1"/>
        <v>-51.712000000000117</v>
      </c>
    </row>
    <row r="34" spans="1:21">
      <c r="A34" s="4" t="s">
        <v>107</v>
      </c>
      <c r="B34" s="1" t="s">
        <v>58</v>
      </c>
      <c r="C34" s="1">
        <f>(51.1+61.8)/2</f>
        <v>56.45</v>
      </c>
      <c r="D34" s="4">
        <f t="shared" si="9"/>
        <v>43.55</v>
      </c>
      <c r="E34" s="1" t="s">
        <v>111</v>
      </c>
      <c r="F34" s="1">
        <f>(50+59.3)/2</f>
        <v>54.65</v>
      </c>
      <c r="G34" s="3">
        <f t="shared" si="3"/>
        <v>45.35</v>
      </c>
      <c r="J34" s="4">
        <f t="shared" si="4"/>
        <v>43.55</v>
      </c>
      <c r="K34" s="1" t="s">
        <v>111</v>
      </c>
      <c r="L34" s="1">
        <f>(50+59.3)/2</f>
        <v>54.65</v>
      </c>
      <c r="M34" s="3">
        <f t="shared" si="5"/>
        <v>0</v>
      </c>
      <c r="P34" s="4">
        <f t="shared" si="6"/>
        <v>43.55</v>
      </c>
      <c r="S34" s="3">
        <f t="shared" si="7"/>
        <v>0</v>
      </c>
      <c r="T34" s="5">
        <f t="shared" si="8"/>
        <v>-445.952</v>
      </c>
      <c r="U34" s="1">
        <f t="shared" si="1"/>
        <v>445.952</v>
      </c>
    </row>
    <row r="35" spans="1:21">
      <c r="A35" s="4" t="s">
        <v>108</v>
      </c>
      <c r="B35" s="1" t="s">
        <v>74</v>
      </c>
      <c r="C35" s="1">
        <f>(20.7+17.3)/2</f>
        <v>19</v>
      </c>
      <c r="D35" s="4">
        <f t="shared" si="9"/>
        <v>81</v>
      </c>
      <c r="E35" s="1" t="s">
        <v>124</v>
      </c>
      <c r="F35" s="1">
        <f>(26.5+31.2)/2+6.25</f>
        <v>35.1</v>
      </c>
      <c r="G35" s="3">
        <f t="shared" si="3"/>
        <v>64.900000000000006</v>
      </c>
      <c r="H35" s="1" t="s">
        <v>177</v>
      </c>
      <c r="I35" s="1">
        <v>0</v>
      </c>
      <c r="J35" s="4">
        <f t="shared" si="4"/>
        <v>81</v>
      </c>
      <c r="K35" s="1" t="s">
        <v>124</v>
      </c>
      <c r="L35" s="1">
        <f>(26.5+31.2)/2+6.25</f>
        <v>35.1</v>
      </c>
      <c r="M35" s="3">
        <f>IF(G35-L35&lt;=0, 0,G35- L35)+50</f>
        <v>79.800000000000011</v>
      </c>
      <c r="N35" s="1" t="s">
        <v>74</v>
      </c>
      <c r="O35" s="1">
        <f>(20.7+17.3)/2</f>
        <v>19</v>
      </c>
      <c r="P35" s="4">
        <f t="shared" si="6"/>
        <v>62</v>
      </c>
      <c r="Q35" s="1" t="s">
        <v>124</v>
      </c>
      <c r="R35" s="1">
        <f>(26.5+31.2)/2+6.25</f>
        <v>35.1</v>
      </c>
      <c r="S35" s="3">
        <f t="shared" si="7"/>
        <v>44.70000000000001</v>
      </c>
      <c r="T35" s="5">
        <f t="shared" si="8"/>
        <v>-177.1519999999999</v>
      </c>
      <c r="U35" s="1">
        <f t="shared" si="1"/>
        <v>177.1519999999999</v>
      </c>
    </row>
    <row r="36" spans="1:21">
      <c r="A36" s="4" t="s">
        <v>109</v>
      </c>
      <c r="B36" s="1" t="s">
        <v>74</v>
      </c>
      <c r="C36" s="1">
        <v>135.1</v>
      </c>
      <c r="D36" s="4">
        <f>IF(100-C36&lt;=0, 1,100- C36)</f>
        <v>1</v>
      </c>
      <c r="E36" s="1" t="s">
        <v>50</v>
      </c>
      <c r="F36" s="1">
        <v>0</v>
      </c>
      <c r="G36" s="3">
        <f t="shared" si="3"/>
        <v>100</v>
      </c>
      <c r="H36" s="1" t="s">
        <v>74</v>
      </c>
      <c r="I36" s="1">
        <v>135.1</v>
      </c>
      <c r="J36" s="4">
        <f t="shared" si="4"/>
        <v>0</v>
      </c>
      <c r="K36" s="1" t="s">
        <v>39</v>
      </c>
      <c r="L36" s="1">
        <f>(45.8+54.6)/2</f>
        <v>50.2</v>
      </c>
      <c r="M36" s="3">
        <f t="shared" si="5"/>
        <v>49.8</v>
      </c>
      <c r="P36" s="4">
        <f t="shared" si="6"/>
        <v>0</v>
      </c>
      <c r="S36" s="3">
        <f t="shared" si="7"/>
        <v>49.8</v>
      </c>
      <c r="T36" s="5">
        <f t="shared" si="8"/>
        <v>509.952</v>
      </c>
      <c r="U36" s="1">
        <f t="shared" si="1"/>
        <v>-509.952</v>
      </c>
    </row>
    <row r="37" spans="1:21">
      <c r="A37" s="4" t="s">
        <v>110</v>
      </c>
      <c r="B37" s="1" t="s">
        <v>58</v>
      </c>
      <c r="C37" s="1">
        <f>(91.4+108.5)/2</f>
        <v>99.95</v>
      </c>
      <c r="D37" s="4">
        <f>IF(100-C37&lt;=1, 1,100- C37)</f>
        <v>1</v>
      </c>
      <c r="E37" s="1" t="s">
        <v>112</v>
      </c>
      <c r="F37" s="1">
        <f>(56.2+66.6)/2</f>
        <v>61.4</v>
      </c>
      <c r="G37" s="3">
        <f t="shared" si="3"/>
        <v>38.6</v>
      </c>
      <c r="J37" s="4">
        <f t="shared" si="4"/>
        <v>1</v>
      </c>
      <c r="K37" s="1" t="s">
        <v>112</v>
      </c>
      <c r="L37" s="1">
        <f>(56.2+66.6)/2</f>
        <v>61.4</v>
      </c>
      <c r="M37" s="3">
        <f t="shared" si="5"/>
        <v>0</v>
      </c>
      <c r="P37" s="4">
        <f t="shared" si="6"/>
        <v>1</v>
      </c>
      <c r="S37" s="3">
        <f t="shared" si="7"/>
        <v>0</v>
      </c>
      <c r="T37" s="5">
        <f t="shared" si="8"/>
        <v>-10.24</v>
      </c>
      <c r="U37" s="1">
        <f t="shared" si="1"/>
        <v>10.24</v>
      </c>
    </row>
    <row r="38" spans="1:2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1524D-6A64-4063-952B-21AB8EF29EE7}">
  <dimension ref="A1:Y3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X37" sqref="X37"/>
    </sheetView>
  </sheetViews>
  <sheetFormatPr defaultRowHeight="18.75"/>
  <cols>
    <col min="1" max="1" width="15.875" style="1" customWidth="1"/>
    <col min="2" max="16384" width="9" style="1"/>
  </cols>
  <sheetData>
    <row r="1" spans="1:25">
      <c r="A1" s="3" t="s">
        <v>86</v>
      </c>
      <c r="B1" s="3" t="s">
        <v>195</v>
      </c>
      <c r="C1" s="3"/>
      <c r="D1" s="3" t="s">
        <v>207</v>
      </c>
      <c r="E1" s="3">
        <v>175</v>
      </c>
      <c r="F1" s="3">
        <v>194</v>
      </c>
      <c r="G1" s="3">
        <v>111</v>
      </c>
      <c r="H1" s="3">
        <v>72</v>
      </c>
      <c r="I1" s="3">
        <v>122</v>
      </c>
      <c r="J1" s="3">
        <v>137</v>
      </c>
      <c r="K1" s="3" t="s">
        <v>208</v>
      </c>
      <c r="L1" s="3" t="s">
        <v>209</v>
      </c>
      <c r="M1" s="3" t="s">
        <v>210</v>
      </c>
      <c r="N1" s="3" t="s">
        <v>59</v>
      </c>
      <c r="O1" s="3" t="s">
        <v>195</v>
      </c>
      <c r="P1" s="3">
        <v>70</v>
      </c>
      <c r="Q1" s="3" t="s">
        <v>192</v>
      </c>
      <c r="R1" s="3" t="s">
        <v>70</v>
      </c>
      <c r="S1" s="3">
        <v>65</v>
      </c>
      <c r="T1" s="3" t="s">
        <v>211</v>
      </c>
      <c r="U1" s="3" t="s">
        <v>115</v>
      </c>
      <c r="V1" s="3">
        <v>95</v>
      </c>
      <c r="W1" s="3" t="s">
        <v>162</v>
      </c>
      <c r="X1" s="3" t="s">
        <v>195</v>
      </c>
      <c r="Y1" s="3">
        <v>120</v>
      </c>
    </row>
    <row r="2" spans="1:25">
      <c r="B2" s="1" t="s">
        <v>54</v>
      </c>
      <c r="H2" s="1" t="s">
        <v>55</v>
      </c>
      <c r="N2" s="1" t="s">
        <v>56</v>
      </c>
    </row>
    <row r="3" spans="1:25">
      <c r="A3" s="4" t="s">
        <v>128</v>
      </c>
      <c r="B3" s="1" t="s">
        <v>35</v>
      </c>
      <c r="C3" s="1" t="s">
        <v>36</v>
      </c>
      <c r="D3" s="4" t="s">
        <v>42</v>
      </c>
      <c r="E3" s="1" t="s">
        <v>37</v>
      </c>
      <c r="F3" s="1" t="s">
        <v>38</v>
      </c>
      <c r="G3" s="3" t="s">
        <v>41</v>
      </c>
      <c r="H3" s="1" t="s">
        <v>35</v>
      </c>
      <c r="I3" s="1" t="s">
        <v>36</v>
      </c>
      <c r="J3" s="4" t="s">
        <v>42</v>
      </c>
      <c r="K3" s="1" t="s">
        <v>37</v>
      </c>
      <c r="L3" s="1" t="s">
        <v>38</v>
      </c>
      <c r="M3" s="3" t="s">
        <v>41</v>
      </c>
      <c r="N3" s="1" t="s">
        <v>35</v>
      </c>
      <c r="O3" s="1" t="s">
        <v>36</v>
      </c>
      <c r="P3" s="4" t="s">
        <v>42</v>
      </c>
      <c r="Q3" s="1" t="s">
        <v>37</v>
      </c>
      <c r="R3" s="1" t="s">
        <v>38</v>
      </c>
      <c r="S3" s="3" t="s">
        <v>41</v>
      </c>
      <c r="T3" s="5" t="s">
        <v>45</v>
      </c>
      <c r="U3" s="1" t="s">
        <v>114</v>
      </c>
    </row>
    <row r="4" spans="1:25">
      <c r="A4" s="4" t="s">
        <v>80</v>
      </c>
      <c r="B4" s="1" t="s">
        <v>123</v>
      </c>
    </row>
    <row r="5" spans="1:25">
      <c r="A5" s="4" t="s">
        <v>79</v>
      </c>
      <c r="B5" s="2" t="s">
        <v>123</v>
      </c>
    </row>
    <row r="6" spans="1:25">
      <c r="A6" s="4" t="s">
        <v>2</v>
      </c>
      <c r="B6" s="1" t="s">
        <v>123</v>
      </c>
    </row>
    <row r="7" spans="1:25">
      <c r="A7" s="4" t="s">
        <v>81</v>
      </c>
      <c r="B7" s="1" t="s">
        <v>123</v>
      </c>
    </row>
    <row r="8" spans="1:25">
      <c r="A8" s="4" t="s">
        <v>82</v>
      </c>
      <c r="B8" s="1" t="s">
        <v>123</v>
      </c>
    </row>
    <row r="9" spans="1:25">
      <c r="A9" s="4" t="s">
        <v>83</v>
      </c>
      <c r="B9" s="1" t="s">
        <v>123</v>
      </c>
    </row>
    <row r="10" spans="1:25">
      <c r="A10" s="4" t="s">
        <v>6</v>
      </c>
      <c r="B10" s="1" t="s">
        <v>123</v>
      </c>
    </row>
    <row r="11" spans="1:25">
      <c r="A11" s="4" t="s">
        <v>84</v>
      </c>
      <c r="B11" s="1" t="s">
        <v>123</v>
      </c>
    </row>
    <row r="12" spans="1:25">
      <c r="A12" s="4" t="s">
        <v>85</v>
      </c>
      <c r="B12" s="1" t="s">
        <v>123</v>
      </c>
    </row>
    <row r="13" spans="1:25">
      <c r="A13" s="4" t="s">
        <v>86</v>
      </c>
      <c r="B13" s="1" t="s">
        <v>123</v>
      </c>
    </row>
    <row r="14" spans="1:25">
      <c r="A14" s="4" t="s">
        <v>87</v>
      </c>
      <c r="B14" s="1" t="s">
        <v>59</v>
      </c>
      <c r="C14" s="1">
        <f>(92.4+109.1)/2</f>
        <v>100.75</v>
      </c>
      <c r="D14" s="4">
        <f>IF(100-C14&lt;=0, 0,100- C14)</f>
        <v>0</v>
      </c>
      <c r="G14" s="3">
        <f>IF(100-F14&lt;=0, 0,IF(100- F14+6.25&gt;=100, 100, 100- F14+6.25))</f>
        <v>100</v>
      </c>
      <c r="J14" s="4">
        <f>IF(D14-I14&lt;=0, 0,D14- I14)</f>
        <v>0</v>
      </c>
      <c r="M14" s="3">
        <f>IF(G14-L14&lt;=0,0,IF(G14-L14+6.25&gt;=100,100,G14-L14+6.25))</f>
        <v>100</v>
      </c>
      <c r="P14" s="4">
        <f>IF(J14-O14&lt;=0, 0,J14- O14)</f>
        <v>0</v>
      </c>
      <c r="S14" s="3">
        <f t="shared" ref="S14:S15" si="0">IF(P14+O14+R14=0,M14,IF(M14-R14&lt;=0,0,IF(M14-R14+6.25&gt;=100,100,M14-R14+6.25)))</f>
        <v>100</v>
      </c>
      <c r="T14" s="5">
        <f t="shared" ref="T14" si="1">(S14-P14)/100*1024</f>
        <v>1024</v>
      </c>
      <c r="U14" s="1">
        <f t="shared" ref="U14:U37" si="2">-1*T14</f>
        <v>-1024</v>
      </c>
    </row>
    <row r="15" spans="1:25">
      <c r="A15" s="4" t="s">
        <v>88</v>
      </c>
      <c r="B15" s="1" t="s">
        <v>162</v>
      </c>
      <c r="C15" s="1">
        <f>(98.6+117.2)/2</f>
        <v>107.9</v>
      </c>
      <c r="D15" s="4">
        <f t="shared" ref="D15:D35" si="3">IF(100-C15&lt;=0, 0,100- C15)</f>
        <v>0</v>
      </c>
      <c r="F15" s="1">
        <f>C15/3</f>
        <v>35.966666666666669</v>
      </c>
      <c r="G15" s="3">
        <f t="shared" ref="G15:G37" si="4">IF(100-F15&lt;=0, 0,IF(100- F15+6.25&gt;=100, 100, 100- F15+6.25))</f>
        <v>70.283333333333331</v>
      </c>
      <c r="J15" s="4">
        <f t="shared" ref="J15:J37" si="5">IF(D15-I15&lt;=0, 0,D15- I15)</f>
        <v>0</v>
      </c>
      <c r="M15" s="3">
        <f t="shared" ref="M15:M37" si="6">IF(G15-L15&lt;=0,0,IF(G15-L15+6.25&gt;=100,100,G15-L15+6.25))</f>
        <v>76.533333333333331</v>
      </c>
      <c r="P15" s="4">
        <f t="shared" ref="P15:P37" si="7">IF(J15-O15&lt;=0, 0,J15- O15)</f>
        <v>0</v>
      </c>
      <c r="S15" s="3">
        <f t="shared" si="0"/>
        <v>76.533333333333331</v>
      </c>
      <c r="T15" s="5">
        <f t="shared" ref="T15:T37" si="8">(S15-P15)/100*1024</f>
        <v>783.70133333333331</v>
      </c>
      <c r="U15" s="1">
        <f t="shared" si="2"/>
        <v>-783.70133333333331</v>
      </c>
    </row>
    <row r="16" spans="1:25">
      <c r="A16" s="4" t="s">
        <v>89</v>
      </c>
      <c r="B16" s="1" t="s">
        <v>192</v>
      </c>
      <c r="C16" s="1">
        <f>(68.7+80.9)/2</f>
        <v>74.800000000000011</v>
      </c>
      <c r="D16" s="4">
        <f>IF(100-C16&lt;=0, 0,100- C16)+6.25</f>
        <v>31.449999999999989</v>
      </c>
      <c r="E16" s="1" t="s">
        <v>63</v>
      </c>
      <c r="F16" s="1">
        <v>6.25</v>
      </c>
      <c r="G16" s="3">
        <f t="shared" si="4"/>
        <v>100</v>
      </c>
      <c r="H16" s="1" t="s">
        <v>192</v>
      </c>
      <c r="I16" s="1">
        <f>(46+54.6)/2</f>
        <v>50.3</v>
      </c>
      <c r="J16" s="4">
        <f t="shared" si="5"/>
        <v>0</v>
      </c>
      <c r="K16" s="1" t="s">
        <v>62</v>
      </c>
      <c r="L16" s="1">
        <f>(51.4+61.7)/2+6.25</f>
        <v>62.8</v>
      </c>
      <c r="M16" s="3">
        <f t="shared" si="6"/>
        <v>43.45</v>
      </c>
      <c r="P16" s="4">
        <f t="shared" si="7"/>
        <v>0</v>
      </c>
      <c r="S16" s="3">
        <f>IF(P16+O16+R16=0,M16,IF(M16-R16&lt;=0,0,IF(M16-R16+6.25&gt;=100,100,M16-R16+6.25)))</f>
        <v>43.45</v>
      </c>
      <c r="T16" s="5">
        <f t="shared" si="8"/>
        <v>444.92800000000005</v>
      </c>
      <c r="U16" s="1">
        <f t="shared" si="2"/>
        <v>-444.92800000000005</v>
      </c>
    </row>
    <row r="17" spans="1:21">
      <c r="A17" s="4" t="s">
        <v>90</v>
      </c>
      <c r="B17" s="1" t="s">
        <v>59</v>
      </c>
      <c r="C17" s="1">
        <f>(57+47.8)/2</f>
        <v>52.4</v>
      </c>
      <c r="D17" s="4">
        <f>IF(100-C17&lt;=0, 0,100- C17)-10+6.25</f>
        <v>43.85</v>
      </c>
      <c r="E17" s="1" t="s">
        <v>176</v>
      </c>
      <c r="F17" s="1">
        <v>104</v>
      </c>
      <c r="G17" s="3">
        <f t="shared" si="4"/>
        <v>0</v>
      </c>
      <c r="J17" s="4">
        <f t="shared" si="5"/>
        <v>43.85</v>
      </c>
      <c r="M17" s="3">
        <f t="shared" si="6"/>
        <v>0</v>
      </c>
      <c r="P17" s="4">
        <f t="shared" si="7"/>
        <v>43.85</v>
      </c>
      <c r="S17" s="3">
        <f t="shared" ref="S17:S37" si="9">IF(P17+O17+R17=0,M17,IF(M17-R17&lt;=0,0,IF(M17-R17+6.25&gt;=100,100,M17-R17+6.25)))</f>
        <v>0</v>
      </c>
      <c r="T17" s="5">
        <f t="shared" si="8"/>
        <v>-449.024</v>
      </c>
      <c r="U17" s="1">
        <f t="shared" si="2"/>
        <v>449.024</v>
      </c>
    </row>
    <row r="18" spans="1:21">
      <c r="A18" s="4" t="s">
        <v>91</v>
      </c>
      <c r="B18" s="1" t="s">
        <v>59</v>
      </c>
      <c r="C18" s="1">
        <f>(27+31.7)/2</f>
        <v>29.35</v>
      </c>
      <c r="D18" s="4">
        <f>IF(100-C18&lt;=0, 0,100- C18)-10+6.25</f>
        <v>66.900000000000006</v>
      </c>
      <c r="E18" s="1" t="s">
        <v>176</v>
      </c>
      <c r="F18" s="1">
        <v>123.4</v>
      </c>
      <c r="G18" s="3">
        <f t="shared" si="4"/>
        <v>0</v>
      </c>
      <c r="J18" s="4">
        <f t="shared" si="5"/>
        <v>66.900000000000006</v>
      </c>
      <c r="M18" s="3">
        <f t="shared" si="6"/>
        <v>0</v>
      </c>
      <c r="P18" s="4">
        <f t="shared" si="7"/>
        <v>66.900000000000006</v>
      </c>
      <c r="S18" s="3">
        <f t="shared" si="9"/>
        <v>0</v>
      </c>
      <c r="T18" s="5">
        <f t="shared" si="8"/>
        <v>-685.05600000000004</v>
      </c>
      <c r="U18" s="1">
        <f t="shared" si="2"/>
        <v>685.05600000000004</v>
      </c>
    </row>
    <row r="19" spans="1:21">
      <c r="A19" s="4" t="s">
        <v>92</v>
      </c>
      <c r="B19" s="1" t="s">
        <v>59</v>
      </c>
      <c r="C19" s="1">
        <f>(89.7+105.4)/2</f>
        <v>97.550000000000011</v>
      </c>
      <c r="D19" s="4">
        <f t="shared" si="3"/>
        <v>2.4499999999999886</v>
      </c>
      <c r="E19" s="1" t="s">
        <v>135</v>
      </c>
      <c r="F19" s="1">
        <f>(98.2+117.7)/2</f>
        <v>107.95</v>
      </c>
      <c r="G19" s="3">
        <f t="shared" si="4"/>
        <v>0</v>
      </c>
      <c r="J19" s="4">
        <f t="shared" si="5"/>
        <v>2.4499999999999886</v>
      </c>
      <c r="M19" s="3">
        <f t="shared" si="6"/>
        <v>0</v>
      </c>
      <c r="P19" s="4">
        <f t="shared" si="7"/>
        <v>2.4499999999999886</v>
      </c>
      <c r="S19" s="3">
        <f t="shared" si="9"/>
        <v>0</v>
      </c>
      <c r="T19" s="5">
        <f t="shared" si="8"/>
        <v>-25.087999999999884</v>
      </c>
      <c r="U19" s="1">
        <f t="shared" si="2"/>
        <v>25.087999999999884</v>
      </c>
    </row>
    <row r="20" spans="1:21">
      <c r="A20" s="4" t="s">
        <v>93</v>
      </c>
      <c r="B20" s="1" t="s">
        <v>59</v>
      </c>
      <c r="C20" s="1">
        <f>(40.6+47.8)/2</f>
        <v>44.2</v>
      </c>
      <c r="D20" s="4">
        <f t="shared" si="3"/>
        <v>55.8</v>
      </c>
      <c r="E20" s="1" t="s">
        <v>52</v>
      </c>
      <c r="F20" s="1">
        <v>131.4</v>
      </c>
      <c r="G20" s="3">
        <f t="shared" si="4"/>
        <v>0</v>
      </c>
      <c r="J20" s="4">
        <f t="shared" si="5"/>
        <v>55.8</v>
      </c>
      <c r="M20" s="3">
        <f t="shared" si="6"/>
        <v>0</v>
      </c>
      <c r="P20" s="4">
        <f t="shared" si="7"/>
        <v>55.8</v>
      </c>
      <c r="S20" s="3">
        <f t="shared" si="9"/>
        <v>0</v>
      </c>
      <c r="T20" s="5">
        <f t="shared" si="8"/>
        <v>-571.39199999999994</v>
      </c>
      <c r="U20" s="1">
        <f t="shared" si="2"/>
        <v>571.39199999999994</v>
      </c>
    </row>
    <row r="21" spans="1:21">
      <c r="A21" s="4" t="s">
        <v>94</v>
      </c>
      <c r="B21" s="1" t="s">
        <v>59</v>
      </c>
      <c r="C21" s="1">
        <v>137.4</v>
      </c>
      <c r="D21" s="4">
        <f t="shared" si="3"/>
        <v>0</v>
      </c>
      <c r="G21" s="3">
        <f t="shared" si="4"/>
        <v>100</v>
      </c>
      <c r="J21" s="4">
        <f t="shared" si="5"/>
        <v>0</v>
      </c>
      <c r="M21" s="3">
        <f t="shared" si="6"/>
        <v>100</v>
      </c>
      <c r="P21" s="4">
        <f t="shared" si="7"/>
        <v>0</v>
      </c>
      <c r="S21" s="3">
        <f t="shared" si="9"/>
        <v>100</v>
      </c>
      <c r="T21" s="5">
        <f t="shared" si="8"/>
        <v>1024</v>
      </c>
      <c r="U21" s="1">
        <f t="shared" si="2"/>
        <v>-1024</v>
      </c>
    </row>
    <row r="22" spans="1:21">
      <c r="A22" s="4" t="s">
        <v>95</v>
      </c>
      <c r="B22" s="1" t="s">
        <v>192</v>
      </c>
      <c r="C22" s="1">
        <f>(89.8+75.9)/2</f>
        <v>82.85</v>
      </c>
      <c r="D22" s="4">
        <f>IF(100-C22&lt;=0, 0,100- C22)+6.25</f>
        <v>23.400000000000006</v>
      </c>
      <c r="E22" s="1" t="s">
        <v>139</v>
      </c>
      <c r="F22" s="1">
        <v>118.8</v>
      </c>
      <c r="G22" s="3">
        <f t="shared" si="4"/>
        <v>0</v>
      </c>
      <c r="J22" s="4">
        <f t="shared" si="5"/>
        <v>23.400000000000006</v>
      </c>
      <c r="M22" s="3">
        <f t="shared" si="6"/>
        <v>0</v>
      </c>
      <c r="P22" s="4">
        <f t="shared" si="7"/>
        <v>23.400000000000006</v>
      </c>
      <c r="S22" s="3">
        <f t="shared" si="9"/>
        <v>0</v>
      </c>
      <c r="T22" s="5">
        <f t="shared" si="8"/>
        <v>-239.61600000000007</v>
      </c>
      <c r="U22" s="1">
        <f t="shared" si="2"/>
        <v>239.61600000000007</v>
      </c>
    </row>
    <row r="23" spans="1:21">
      <c r="A23" s="4" t="s">
        <v>96</v>
      </c>
      <c r="B23" s="1" t="s">
        <v>162</v>
      </c>
      <c r="C23" s="1">
        <f>(70.4+59.4)/2</f>
        <v>64.900000000000006</v>
      </c>
      <c r="D23" s="4">
        <f>IF(100-C23&lt;=0, 0,100- C23)</f>
        <v>35.099999999999994</v>
      </c>
      <c r="E23" s="1" t="s">
        <v>74</v>
      </c>
      <c r="F23" s="1">
        <f>(42.2+50.2)/2</f>
        <v>46.2</v>
      </c>
      <c r="G23" s="3">
        <f>IF(100-F23&lt;=0, 0,IF(100- F23+6.25&gt;=100, 100, 100- F23+6.25))-C23/3</f>
        <v>38.416666666666657</v>
      </c>
      <c r="H23" s="1" t="s">
        <v>162</v>
      </c>
      <c r="I23" s="1">
        <f>(40+47.5)/2</f>
        <v>43.75</v>
      </c>
      <c r="J23" s="4">
        <f t="shared" si="5"/>
        <v>0</v>
      </c>
      <c r="M23" s="3">
        <f>IF(G23-L23&lt;=0,0,IF(G23-L23+6.25&gt;=100,100,G23-L23+6.25))-I23/3</f>
        <v>30.083333333333321</v>
      </c>
      <c r="P23" s="4">
        <f t="shared" si="7"/>
        <v>0</v>
      </c>
      <c r="S23" s="3">
        <f t="shared" si="9"/>
        <v>30.083333333333321</v>
      </c>
      <c r="T23" s="5">
        <f t="shared" si="8"/>
        <v>308.05333333333323</v>
      </c>
      <c r="U23" s="1">
        <f t="shared" si="2"/>
        <v>-308.05333333333323</v>
      </c>
    </row>
    <row r="24" spans="1:21">
      <c r="A24" s="4" t="s">
        <v>97</v>
      </c>
      <c r="B24" s="1" t="s">
        <v>211</v>
      </c>
      <c r="C24" s="1">
        <v>167.6</v>
      </c>
      <c r="D24" s="4">
        <f t="shared" si="3"/>
        <v>0</v>
      </c>
      <c r="G24" s="3">
        <f t="shared" si="4"/>
        <v>100</v>
      </c>
      <c r="J24" s="4">
        <f t="shared" si="5"/>
        <v>0</v>
      </c>
      <c r="M24" s="3">
        <f t="shared" si="6"/>
        <v>100</v>
      </c>
      <c r="P24" s="4">
        <f t="shared" si="7"/>
        <v>0</v>
      </c>
      <c r="S24" s="3">
        <f t="shared" si="9"/>
        <v>100</v>
      </c>
      <c r="T24" s="5">
        <f t="shared" si="8"/>
        <v>1024</v>
      </c>
      <c r="U24" s="1">
        <f t="shared" si="2"/>
        <v>-1024</v>
      </c>
    </row>
    <row r="25" spans="1:21">
      <c r="A25" s="4" t="s">
        <v>98</v>
      </c>
      <c r="B25" s="1" t="s">
        <v>192</v>
      </c>
      <c r="C25" s="1">
        <f>(22.2+18.6)/2</f>
        <v>20.399999999999999</v>
      </c>
      <c r="D25" s="4">
        <f t="shared" si="3"/>
        <v>79.599999999999994</v>
      </c>
      <c r="E25" s="1" t="s">
        <v>75</v>
      </c>
      <c r="F25" s="1">
        <v>0</v>
      </c>
      <c r="G25" s="3">
        <f t="shared" si="4"/>
        <v>100</v>
      </c>
      <c r="J25" s="4">
        <f t="shared" si="5"/>
        <v>79.599999999999994</v>
      </c>
      <c r="K25" s="1" t="s">
        <v>169</v>
      </c>
      <c r="L25" s="1">
        <v>132.5</v>
      </c>
      <c r="M25" s="3">
        <f t="shared" si="6"/>
        <v>0</v>
      </c>
      <c r="P25" s="4">
        <f t="shared" si="7"/>
        <v>79.599999999999994</v>
      </c>
      <c r="S25" s="3">
        <f t="shared" si="9"/>
        <v>0</v>
      </c>
      <c r="T25" s="5">
        <f t="shared" si="8"/>
        <v>-815.10399999999993</v>
      </c>
      <c r="U25" s="1">
        <f t="shared" si="2"/>
        <v>815.10399999999993</v>
      </c>
    </row>
    <row r="26" spans="1:21">
      <c r="A26" s="4" t="s">
        <v>99</v>
      </c>
      <c r="B26" s="1" t="s">
        <v>59</v>
      </c>
      <c r="C26" s="1">
        <v>144</v>
      </c>
      <c r="D26" s="4">
        <f>IF(100-C26&lt;=0, 1,100- C26)</f>
        <v>1</v>
      </c>
      <c r="E26" s="1" t="s">
        <v>112</v>
      </c>
      <c r="F26" s="1">
        <f>(63.4+75.4)/2</f>
        <v>69.400000000000006</v>
      </c>
      <c r="G26" s="3">
        <f t="shared" si="4"/>
        <v>36.849999999999994</v>
      </c>
      <c r="H26" s="1" t="s">
        <v>59</v>
      </c>
      <c r="I26" s="1">
        <v>144</v>
      </c>
      <c r="J26" s="4">
        <f t="shared" si="5"/>
        <v>0</v>
      </c>
      <c r="K26" s="1" t="s">
        <v>212</v>
      </c>
      <c r="L26" s="1">
        <f>(10.2+12.5)/2</f>
        <v>11.35</v>
      </c>
      <c r="M26" s="3">
        <f t="shared" si="6"/>
        <v>31.749999999999993</v>
      </c>
      <c r="P26" s="4">
        <f t="shared" si="7"/>
        <v>0</v>
      </c>
      <c r="S26" s="3">
        <f t="shared" si="9"/>
        <v>31.749999999999993</v>
      </c>
      <c r="T26" s="5">
        <f t="shared" si="8"/>
        <v>325.11999999999995</v>
      </c>
      <c r="U26" s="1">
        <f t="shared" si="2"/>
        <v>-325.11999999999995</v>
      </c>
    </row>
    <row r="27" spans="1:21">
      <c r="A27" s="4" t="s">
        <v>100</v>
      </c>
      <c r="B27" s="1" t="s">
        <v>162</v>
      </c>
      <c r="C27" s="1">
        <f>(81.6+97.1)/2</f>
        <v>89.35</v>
      </c>
      <c r="D27" s="4">
        <f>IF(100-C27&lt;=0, 0,100- C27)+6.25</f>
        <v>16.900000000000006</v>
      </c>
      <c r="E27" s="1" t="s">
        <v>140</v>
      </c>
      <c r="F27" s="1">
        <v>106.2</v>
      </c>
      <c r="G27" s="3">
        <f t="shared" si="4"/>
        <v>0</v>
      </c>
      <c r="J27" s="4">
        <f t="shared" si="5"/>
        <v>16.900000000000006</v>
      </c>
      <c r="M27" s="3">
        <f t="shared" si="6"/>
        <v>0</v>
      </c>
      <c r="P27" s="4">
        <f t="shared" si="7"/>
        <v>16.900000000000006</v>
      </c>
      <c r="S27" s="3">
        <f t="shared" si="9"/>
        <v>0</v>
      </c>
      <c r="T27" s="5">
        <f t="shared" si="8"/>
        <v>-173.05600000000007</v>
      </c>
      <c r="U27" s="1">
        <f t="shared" si="2"/>
        <v>173.05600000000007</v>
      </c>
    </row>
    <row r="28" spans="1:21">
      <c r="A28" s="4" t="s">
        <v>101</v>
      </c>
      <c r="B28" s="1" t="s">
        <v>59</v>
      </c>
      <c r="C28" s="1">
        <v>201.8</v>
      </c>
      <c r="D28" s="4">
        <f t="shared" si="3"/>
        <v>0</v>
      </c>
      <c r="G28" s="3">
        <f t="shared" si="4"/>
        <v>100</v>
      </c>
      <c r="J28" s="4">
        <f t="shared" si="5"/>
        <v>0</v>
      </c>
      <c r="M28" s="3">
        <f t="shared" si="6"/>
        <v>100</v>
      </c>
      <c r="P28" s="4">
        <f t="shared" si="7"/>
        <v>0</v>
      </c>
      <c r="S28" s="3">
        <f t="shared" si="9"/>
        <v>100</v>
      </c>
      <c r="T28" s="5">
        <f t="shared" si="8"/>
        <v>1024</v>
      </c>
      <c r="U28" s="1">
        <f t="shared" si="2"/>
        <v>-1024</v>
      </c>
    </row>
    <row r="29" spans="1:21">
      <c r="A29" s="4" t="s">
        <v>102</v>
      </c>
      <c r="B29" s="1" t="s">
        <v>211</v>
      </c>
      <c r="C29" s="1">
        <f>(55+46.3)/2</f>
        <v>50.65</v>
      </c>
      <c r="D29" s="4">
        <f>IF(100-C29&lt;=0, 0,100- C29)+6.25+6.25</f>
        <v>61.85</v>
      </c>
      <c r="E29" s="1" t="s">
        <v>142</v>
      </c>
      <c r="F29" s="1">
        <f>(49.7+58.8)/2</f>
        <v>54.25</v>
      </c>
      <c r="G29" s="3">
        <f>IF(100-F29&lt;=0, 0,IF(100- F29+6.25&gt;=100, 100, 100- F29+6.25))-12.5</f>
        <v>39.5</v>
      </c>
      <c r="H29" s="1" t="s">
        <v>211</v>
      </c>
      <c r="I29" s="1">
        <f>(55+46.3)/2</f>
        <v>50.65</v>
      </c>
      <c r="J29" s="4">
        <f>IF(D29-I29&lt;=0, 0,D29- I29)+6.25+6.25</f>
        <v>23.700000000000003</v>
      </c>
      <c r="K29" s="1" t="s">
        <v>142</v>
      </c>
      <c r="L29" s="1">
        <f>(49.7+58.8)/2</f>
        <v>54.25</v>
      </c>
      <c r="M29" s="3">
        <f t="shared" si="6"/>
        <v>0</v>
      </c>
      <c r="P29" s="4">
        <f t="shared" si="7"/>
        <v>23.700000000000003</v>
      </c>
      <c r="S29" s="3">
        <f t="shared" si="9"/>
        <v>0</v>
      </c>
      <c r="T29" s="5">
        <f t="shared" si="8"/>
        <v>-242.68800000000002</v>
      </c>
      <c r="U29" s="1">
        <f t="shared" si="2"/>
        <v>242.68800000000002</v>
      </c>
    </row>
    <row r="30" spans="1:21">
      <c r="A30" s="4" t="s">
        <v>103</v>
      </c>
      <c r="B30" s="1" t="s">
        <v>59</v>
      </c>
      <c r="C30" s="1">
        <f>(97.7+115.8)/2</f>
        <v>106.75</v>
      </c>
      <c r="D30" s="4">
        <f t="shared" si="3"/>
        <v>0</v>
      </c>
      <c r="G30" s="3">
        <f t="shared" si="4"/>
        <v>100</v>
      </c>
      <c r="J30" s="4">
        <f t="shared" si="5"/>
        <v>0</v>
      </c>
      <c r="M30" s="3">
        <f t="shared" si="6"/>
        <v>100</v>
      </c>
      <c r="P30" s="4">
        <f t="shared" si="7"/>
        <v>0</v>
      </c>
      <c r="S30" s="3">
        <f t="shared" si="9"/>
        <v>100</v>
      </c>
      <c r="T30" s="5">
        <f t="shared" si="8"/>
        <v>1024</v>
      </c>
      <c r="U30" s="1">
        <f t="shared" si="2"/>
        <v>-1024</v>
      </c>
    </row>
    <row r="31" spans="1:21">
      <c r="A31" s="4" t="s">
        <v>104</v>
      </c>
      <c r="B31" s="1" t="s">
        <v>59</v>
      </c>
      <c r="C31" s="1">
        <f>(14.7+17)/2</f>
        <v>15.85</v>
      </c>
      <c r="D31" s="4">
        <f t="shared" si="3"/>
        <v>84.15</v>
      </c>
      <c r="E31" s="1" t="s">
        <v>169</v>
      </c>
      <c r="F31" s="1">
        <v>115.4</v>
      </c>
      <c r="G31" s="3">
        <f t="shared" si="4"/>
        <v>0</v>
      </c>
      <c r="J31" s="4">
        <f t="shared" si="5"/>
        <v>84.15</v>
      </c>
      <c r="M31" s="3">
        <f t="shared" si="6"/>
        <v>0</v>
      </c>
      <c r="P31" s="4">
        <f t="shared" si="7"/>
        <v>84.15</v>
      </c>
      <c r="S31" s="3">
        <f t="shared" si="9"/>
        <v>0</v>
      </c>
      <c r="T31" s="5">
        <f t="shared" si="8"/>
        <v>-861.69600000000003</v>
      </c>
      <c r="U31" s="1">
        <f t="shared" si="2"/>
        <v>861.69600000000003</v>
      </c>
    </row>
    <row r="32" spans="1:21">
      <c r="A32" s="4" t="s">
        <v>105</v>
      </c>
      <c r="B32" s="1" t="s">
        <v>59</v>
      </c>
      <c r="C32" s="1">
        <f>(14.7+17)/2</f>
        <v>15.85</v>
      </c>
      <c r="D32" s="4">
        <f t="shared" si="3"/>
        <v>84.15</v>
      </c>
      <c r="E32" s="1" t="s">
        <v>176</v>
      </c>
      <c r="F32" s="1">
        <v>140.5</v>
      </c>
      <c r="G32" s="3">
        <f t="shared" si="4"/>
        <v>0</v>
      </c>
      <c r="J32" s="4">
        <f t="shared" si="5"/>
        <v>84.15</v>
      </c>
      <c r="M32" s="3">
        <f t="shared" si="6"/>
        <v>0</v>
      </c>
      <c r="P32" s="4">
        <f t="shared" si="7"/>
        <v>84.15</v>
      </c>
      <c r="S32" s="3">
        <f t="shared" si="9"/>
        <v>0</v>
      </c>
      <c r="T32" s="5">
        <f t="shared" si="8"/>
        <v>-861.69600000000003</v>
      </c>
      <c r="U32" s="1">
        <f t="shared" si="2"/>
        <v>861.69600000000003</v>
      </c>
    </row>
    <row r="33" spans="1:21">
      <c r="A33" s="4" t="s">
        <v>106</v>
      </c>
      <c r="B33" s="1" t="s">
        <v>59</v>
      </c>
      <c r="C33" s="1">
        <v>126.4</v>
      </c>
      <c r="D33" s="4">
        <f t="shared" si="3"/>
        <v>0</v>
      </c>
      <c r="G33" s="3">
        <f t="shared" si="4"/>
        <v>100</v>
      </c>
      <c r="J33" s="4">
        <f t="shared" si="5"/>
        <v>0</v>
      </c>
      <c r="M33" s="3">
        <f t="shared" si="6"/>
        <v>100</v>
      </c>
      <c r="P33" s="4">
        <f t="shared" si="7"/>
        <v>0</v>
      </c>
      <c r="S33" s="3">
        <f t="shared" si="9"/>
        <v>100</v>
      </c>
      <c r="T33" s="5">
        <f t="shared" si="8"/>
        <v>1024</v>
      </c>
      <c r="U33" s="1">
        <f t="shared" si="2"/>
        <v>-1024</v>
      </c>
    </row>
    <row r="34" spans="1:21">
      <c r="A34" s="4" t="s">
        <v>107</v>
      </c>
      <c r="B34" s="1" t="s">
        <v>59</v>
      </c>
      <c r="C34" s="1">
        <f>(75.1+89)/2</f>
        <v>82.05</v>
      </c>
      <c r="D34" s="4">
        <f>IF(100-C34&lt;=0, 0,100- C34)+6.25</f>
        <v>24.200000000000003</v>
      </c>
      <c r="E34" s="1" t="s">
        <v>76</v>
      </c>
      <c r="F34" s="1">
        <f>(54.8+65.1)/2</f>
        <v>59.949999999999996</v>
      </c>
      <c r="G34" s="3">
        <f t="shared" si="4"/>
        <v>46.300000000000004</v>
      </c>
      <c r="H34" s="1" t="s">
        <v>59</v>
      </c>
      <c r="I34" s="1">
        <f>(75.1+89)/2</f>
        <v>82.05</v>
      </c>
      <c r="J34" s="4">
        <f t="shared" si="5"/>
        <v>0</v>
      </c>
      <c r="M34" s="3">
        <f t="shared" si="6"/>
        <v>52.550000000000004</v>
      </c>
      <c r="P34" s="4">
        <f t="shared" si="7"/>
        <v>0</v>
      </c>
      <c r="S34" s="3">
        <f t="shared" si="9"/>
        <v>52.550000000000004</v>
      </c>
      <c r="T34" s="5">
        <f t="shared" si="8"/>
        <v>538.11200000000008</v>
      </c>
      <c r="U34" s="1">
        <f t="shared" si="2"/>
        <v>-538.11200000000008</v>
      </c>
    </row>
    <row r="35" spans="1:21">
      <c r="A35" s="4" t="s">
        <v>108</v>
      </c>
      <c r="B35" s="1" t="s">
        <v>59</v>
      </c>
      <c r="C35" s="1">
        <v>111.1</v>
      </c>
      <c r="D35" s="4">
        <f t="shared" si="3"/>
        <v>0</v>
      </c>
      <c r="G35" s="3">
        <f t="shared" si="4"/>
        <v>100</v>
      </c>
      <c r="J35" s="4">
        <f t="shared" si="5"/>
        <v>0</v>
      </c>
      <c r="M35" s="3">
        <f t="shared" si="6"/>
        <v>100</v>
      </c>
      <c r="P35" s="4">
        <f t="shared" si="7"/>
        <v>0</v>
      </c>
      <c r="S35" s="3">
        <f t="shared" si="9"/>
        <v>100</v>
      </c>
      <c r="T35" s="5">
        <f t="shared" si="8"/>
        <v>1024</v>
      </c>
      <c r="U35" s="1">
        <f t="shared" si="2"/>
        <v>-1024</v>
      </c>
    </row>
    <row r="36" spans="1:21">
      <c r="A36" s="4" t="s">
        <v>109</v>
      </c>
      <c r="B36" s="1" t="s">
        <v>59</v>
      </c>
      <c r="C36" s="1">
        <f>(71+84.1)/2</f>
        <v>77.55</v>
      </c>
      <c r="D36" s="4">
        <f>IF(100-C36&lt;=0, 0,100- C36)+6.25</f>
        <v>28.700000000000003</v>
      </c>
      <c r="E36" s="1" t="s">
        <v>76</v>
      </c>
      <c r="F36" s="1">
        <f>(63.4+75.4)/2</f>
        <v>69.400000000000006</v>
      </c>
      <c r="G36" s="3">
        <f>IF(100-F36&lt;=0, 0,IF(100- F36+6.25&gt;=100, 100, 100- F36+6.25))-12.5</f>
        <v>24.349999999999994</v>
      </c>
      <c r="H36" s="1" t="s">
        <v>59</v>
      </c>
      <c r="I36" s="1">
        <f>(71+84.1)/2</f>
        <v>77.55</v>
      </c>
      <c r="J36" s="4">
        <f t="shared" si="5"/>
        <v>0</v>
      </c>
      <c r="M36" s="3">
        <f>IF(G36-L36&lt;=0,0,IF(G36-L36+6.25&gt;=100,100,G36-L36+6.25))-12.5</f>
        <v>18.099999999999994</v>
      </c>
      <c r="P36" s="4">
        <f t="shared" si="7"/>
        <v>0</v>
      </c>
      <c r="S36" s="3">
        <f t="shared" si="9"/>
        <v>18.099999999999994</v>
      </c>
      <c r="T36" s="5">
        <f t="shared" si="8"/>
        <v>185.34399999999994</v>
      </c>
      <c r="U36" s="1">
        <f t="shared" si="2"/>
        <v>-185.34399999999994</v>
      </c>
    </row>
    <row r="37" spans="1:21">
      <c r="A37" s="4" t="s">
        <v>110</v>
      </c>
      <c r="B37" s="1" t="s">
        <v>59</v>
      </c>
      <c r="C37" s="1">
        <f>(72+84.5)/2</f>
        <v>78.25</v>
      </c>
      <c r="D37" s="4">
        <f>IF(100-C37&lt;=0, 0,100- C37)+6.25</f>
        <v>28</v>
      </c>
      <c r="E37" s="1" t="s">
        <v>112</v>
      </c>
      <c r="F37" s="1">
        <f>(63.4+75.4)/2</f>
        <v>69.400000000000006</v>
      </c>
      <c r="G37" s="3">
        <f t="shared" si="4"/>
        <v>36.849999999999994</v>
      </c>
      <c r="H37" s="1" t="s">
        <v>59</v>
      </c>
      <c r="I37" s="1">
        <f>(72+84.5)/2</f>
        <v>78.25</v>
      </c>
      <c r="J37" s="4">
        <f t="shared" si="5"/>
        <v>0</v>
      </c>
      <c r="M37" s="3">
        <f t="shared" si="6"/>
        <v>43.099999999999994</v>
      </c>
      <c r="P37" s="4">
        <f t="shared" si="7"/>
        <v>0</v>
      </c>
      <c r="S37" s="3">
        <f t="shared" si="9"/>
        <v>43.099999999999994</v>
      </c>
      <c r="T37" s="5">
        <f t="shared" si="8"/>
        <v>441.34399999999994</v>
      </c>
      <c r="U37" s="1">
        <f t="shared" si="2"/>
        <v>-441.34399999999994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D4508-0DDC-497A-B31C-E880EFED815E}">
  <dimension ref="A1:Y37"/>
  <sheetViews>
    <sheetView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P42" sqref="P42"/>
    </sheetView>
  </sheetViews>
  <sheetFormatPr defaultRowHeight="18.75"/>
  <cols>
    <col min="1" max="1" width="14.5" style="1" customWidth="1"/>
    <col min="2" max="16384" width="9" style="1"/>
  </cols>
  <sheetData>
    <row r="1" spans="1:25">
      <c r="A1" s="3" t="s">
        <v>87</v>
      </c>
      <c r="B1" s="3" t="s">
        <v>121</v>
      </c>
      <c r="C1" s="3" t="s">
        <v>213</v>
      </c>
      <c r="D1" s="3" t="s">
        <v>189</v>
      </c>
      <c r="E1" s="3">
        <v>185</v>
      </c>
      <c r="F1" s="3">
        <v>65</v>
      </c>
      <c r="G1" s="3">
        <v>67</v>
      </c>
      <c r="H1" s="3">
        <v>179</v>
      </c>
      <c r="I1" s="3">
        <v>151</v>
      </c>
      <c r="J1" s="3">
        <v>170</v>
      </c>
      <c r="K1" s="3" t="s">
        <v>214</v>
      </c>
      <c r="L1" s="3" t="s">
        <v>190</v>
      </c>
      <c r="M1" s="3" t="s">
        <v>215</v>
      </c>
      <c r="N1" s="3" t="s">
        <v>163</v>
      </c>
      <c r="O1" s="3" t="s">
        <v>213</v>
      </c>
      <c r="P1" s="3">
        <v>95</v>
      </c>
      <c r="Q1" s="3" t="s">
        <v>132</v>
      </c>
      <c r="R1" s="3" t="s">
        <v>121</v>
      </c>
      <c r="S1" s="3">
        <v>120</v>
      </c>
      <c r="T1" s="3" t="s">
        <v>216</v>
      </c>
      <c r="U1" s="3" t="s">
        <v>195</v>
      </c>
      <c r="V1" s="3" t="s">
        <v>217</v>
      </c>
      <c r="W1" s="3" t="s">
        <v>78</v>
      </c>
      <c r="X1" s="3" t="s">
        <v>180</v>
      </c>
      <c r="Y1" s="3">
        <v>90</v>
      </c>
    </row>
    <row r="2" spans="1:25">
      <c r="B2" s="1" t="s">
        <v>54</v>
      </c>
      <c r="H2" s="1" t="s">
        <v>55</v>
      </c>
      <c r="N2" s="1" t="s">
        <v>56</v>
      </c>
    </row>
    <row r="3" spans="1:25">
      <c r="A3" s="4" t="s">
        <v>128</v>
      </c>
      <c r="B3" s="1" t="s">
        <v>35</v>
      </c>
      <c r="C3" s="1" t="s">
        <v>36</v>
      </c>
      <c r="D3" s="4" t="s">
        <v>42</v>
      </c>
      <c r="E3" s="1" t="s">
        <v>37</v>
      </c>
      <c r="F3" s="1" t="s">
        <v>38</v>
      </c>
      <c r="G3" s="3" t="s">
        <v>41</v>
      </c>
      <c r="H3" s="1" t="s">
        <v>35</v>
      </c>
      <c r="I3" s="1" t="s">
        <v>36</v>
      </c>
      <c r="J3" s="4" t="s">
        <v>42</v>
      </c>
      <c r="K3" s="1" t="s">
        <v>37</v>
      </c>
      <c r="L3" s="1" t="s">
        <v>38</v>
      </c>
      <c r="M3" s="3" t="s">
        <v>41</v>
      </c>
      <c r="N3" s="1" t="s">
        <v>35</v>
      </c>
      <c r="O3" s="1" t="s">
        <v>36</v>
      </c>
      <c r="P3" s="4" t="s">
        <v>42</v>
      </c>
      <c r="Q3" s="1" t="s">
        <v>37</v>
      </c>
      <c r="R3" s="1" t="s">
        <v>38</v>
      </c>
      <c r="S3" s="3" t="s">
        <v>41</v>
      </c>
      <c r="T3" s="5" t="s">
        <v>45</v>
      </c>
      <c r="U3" s="1" t="s">
        <v>114</v>
      </c>
    </row>
    <row r="4" spans="1:25">
      <c r="A4" s="4" t="s">
        <v>80</v>
      </c>
      <c r="B4" s="1" t="s">
        <v>123</v>
      </c>
    </row>
    <row r="5" spans="1:25">
      <c r="A5" s="4" t="s">
        <v>79</v>
      </c>
      <c r="B5" s="1" t="s">
        <v>123</v>
      </c>
    </row>
    <row r="6" spans="1:25">
      <c r="A6" s="4" t="s">
        <v>2</v>
      </c>
      <c r="B6" s="1" t="s">
        <v>123</v>
      </c>
    </row>
    <row r="7" spans="1:25">
      <c r="A7" s="4" t="s">
        <v>81</v>
      </c>
      <c r="B7" s="1" t="s">
        <v>123</v>
      </c>
    </row>
    <row r="8" spans="1:25">
      <c r="A8" s="4" t="s">
        <v>82</v>
      </c>
      <c r="B8" s="1" t="s">
        <v>123</v>
      </c>
    </row>
    <row r="9" spans="1:25">
      <c r="A9" s="4" t="s">
        <v>83</v>
      </c>
      <c r="B9" s="1" t="s">
        <v>123</v>
      </c>
    </row>
    <row r="10" spans="1:25">
      <c r="A10" s="4" t="s">
        <v>6</v>
      </c>
      <c r="B10" s="1" t="s">
        <v>123</v>
      </c>
    </row>
    <row r="11" spans="1:25">
      <c r="A11" s="4" t="s">
        <v>84</v>
      </c>
      <c r="B11" s="1" t="s">
        <v>123</v>
      </c>
    </row>
    <row r="12" spans="1:25">
      <c r="A12" s="4" t="s">
        <v>85</v>
      </c>
      <c r="B12" s="1" t="s">
        <v>123</v>
      </c>
    </row>
    <row r="13" spans="1:25">
      <c r="A13" s="4" t="s">
        <v>86</v>
      </c>
      <c r="B13" s="1" t="s">
        <v>123</v>
      </c>
    </row>
    <row r="14" spans="1:25">
      <c r="A14" s="4" t="s">
        <v>87</v>
      </c>
      <c r="B14" s="1" t="s">
        <v>123</v>
      </c>
    </row>
    <row r="15" spans="1:25">
      <c r="A15" s="4" t="s">
        <v>88</v>
      </c>
      <c r="B15" s="1" t="s">
        <v>216</v>
      </c>
      <c r="C15" s="1">
        <f>(96.1+113.6)/2</f>
        <v>104.85</v>
      </c>
      <c r="D15" s="4">
        <f>IF(100-C15&lt;=0, 0,100- C15)</f>
        <v>0</v>
      </c>
      <c r="G15" s="3">
        <f>IF(100-F15&lt;=0, 0,100- F15)</f>
        <v>100</v>
      </c>
      <c r="J15" s="4">
        <f>IF(D15-I15&lt;=0, 0,D15- I15)</f>
        <v>0</v>
      </c>
      <c r="M15" s="3">
        <f>IF(G15-L15&lt;=0, 0,G15- L15)</f>
        <v>100</v>
      </c>
      <c r="P15" s="4">
        <f>IF(J15-O15&lt;=0, 0,J15- O15)</f>
        <v>0</v>
      </c>
      <c r="S15" s="3">
        <f>IF(M15-R15&lt;=0, 0,M15- R15)</f>
        <v>100</v>
      </c>
      <c r="T15" s="5">
        <f t="shared" ref="T15" si="0">(S15-P15)/100*1024</f>
        <v>1024</v>
      </c>
      <c r="U15" s="1">
        <f t="shared" ref="U15:U37" si="1">-1*T15</f>
        <v>-1024</v>
      </c>
    </row>
    <row r="16" spans="1:25">
      <c r="A16" s="4" t="s">
        <v>89</v>
      </c>
      <c r="B16" s="1" t="s">
        <v>136</v>
      </c>
      <c r="D16" s="4">
        <f t="shared" ref="D16:D37" si="2">IF(100-C16&lt;=0, 0,100- C16)</f>
        <v>100</v>
      </c>
      <c r="E16" s="1" t="s">
        <v>62</v>
      </c>
      <c r="F16" s="1">
        <v>102.7</v>
      </c>
      <c r="G16" s="3">
        <f t="shared" ref="G16:G37" si="3">IF(100-F16&lt;=0, 0,100- F16)</f>
        <v>0</v>
      </c>
      <c r="J16" s="4">
        <f t="shared" ref="J16:J37" si="4">IF(D16-I16&lt;=0, 0,D16- I16)</f>
        <v>100</v>
      </c>
      <c r="M16" s="3">
        <f t="shared" ref="M16:M37" si="5">IF(G16-L16&lt;=0, 0,G16- L16)</f>
        <v>0</v>
      </c>
      <c r="P16" s="4">
        <f t="shared" ref="P16:P37" si="6">IF(J16-O16&lt;=0, 0,J16- O16)</f>
        <v>100</v>
      </c>
      <c r="S16" s="3">
        <f t="shared" ref="S16:S37" si="7">IF(M16-R16&lt;=0, 0,M16- R16)</f>
        <v>0</v>
      </c>
      <c r="T16" s="5">
        <f t="shared" ref="T16:T37" si="8">(S16-P16)/100*1024</f>
        <v>-1024</v>
      </c>
      <c r="U16" s="1">
        <f t="shared" si="1"/>
        <v>1024</v>
      </c>
    </row>
    <row r="17" spans="1:21">
      <c r="A17" s="4" t="s">
        <v>90</v>
      </c>
      <c r="B17" s="1" t="s">
        <v>132</v>
      </c>
      <c r="C17" s="1">
        <v>115.9</v>
      </c>
      <c r="D17" s="4">
        <f t="shared" si="2"/>
        <v>0</v>
      </c>
      <c r="E17" s="1" t="s">
        <v>144</v>
      </c>
      <c r="F17" s="1">
        <f>(70.2+58.9)/2</f>
        <v>64.55</v>
      </c>
      <c r="G17" s="3">
        <f t="shared" si="3"/>
        <v>35.450000000000003</v>
      </c>
      <c r="J17" s="4">
        <f t="shared" si="4"/>
        <v>0</v>
      </c>
      <c r="M17" s="3">
        <f t="shared" si="5"/>
        <v>35.450000000000003</v>
      </c>
      <c r="P17" s="4">
        <f t="shared" si="6"/>
        <v>0</v>
      </c>
      <c r="S17" s="3">
        <f t="shared" si="7"/>
        <v>35.450000000000003</v>
      </c>
      <c r="T17" s="5">
        <f t="shared" si="8"/>
        <v>363.00800000000004</v>
      </c>
      <c r="U17" s="1">
        <f t="shared" si="1"/>
        <v>-363.00800000000004</v>
      </c>
    </row>
    <row r="18" spans="1:21">
      <c r="A18" s="4" t="s">
        <v>91</v>
      </c>
      <c r="B18" s="1" t="s">
        <v>132</v>
      </c>
      <c r="C18" s="1">
        <v>131.69999999999999</v>
      </c>
      <c r="D18" s="4">
        <f t="shared" si="2"/>
        <v>0</v>
      </c>
      <c r="E18" s="1" t="s">
        <v>64</v>
      </c>
      <c r="F18" s="1">
        <f>(61+72.4)/2</f>
        <v>66.7</v>
      </c>
      <c r="G18" s="3">
        <f t="shared" si="3"/>
        <v>33.299999999999997</v>
      </c>
      <c r="J18" s="4">
        <f t="shared" si="4"/>
        <v>0</v>
      </c>
      <c r="M18" s="3">
        <f t="shared" si="5"/>
        <v>33.299999999999997</v>
      </c>
      <c r="P18" s="4">
        <f t="shared" si="6"/>
        <v>0</v>
      </c>
      <c r="S18" s="3">
        <f t="shared" si="7"/>
        <v>33.299999999999997</v>
      </c>
      <c r="T18" s="5">
        <f t="shared" si="8"/>
        <v>340.99199999999996</v>
      </c>
      <c r="U18" s="1">
        <f t="shared" si="1"/>
        <v>-340.99199999999996</v>
      </c>
    </row>
    <row r="19" spans="1:21">
      <c r="A19" s="4" t="s">
        <v>92</v>
      </c>
      <c r="B19" s="1" t="s">
        <v>136</v>
      </c>
      <c r="D19" s="4">
        <f t="shared" si="2"/>
        <v>100</v>
      </c>
      <c r="E19" s="1" t="s">
        <v>112</v>
      </c>
      <c r="F19" s="1">
        <v>113.5</v>
      </c>
      <c r="G19" s="3">
        <f t="shared" si="3"/>
        <v>0</v>
      </c>
      <c r="J19" s="4">
        <f t="shared" si="4"/>
        <v>100</v>
      </c>
      <c r="M19" s="3">
        <f t="shared" si="5"/>
        <v>0</v>
      </c>
      <c r="P19" s="4">
        <f t="shared" si="6"/>
        <v>100</v>
      </c>
      <c r="S19" s="3">
        <f t="shared" si="7"/>
        <v>0</v>
      </c>
      <c r="T19" s="5">
        <f t="shared" si="8"/>
        <v>-1024</v>
      </c>
      <c r="U19" s="1">
        <f t="shared" si="1"/>
        <v>1024</v>
      </c>
    </row>
    <row r="20" spans="1:21">
      <c r="A20" s="4" t="s">
        <v>93</v>
      </c>
      <c r="B20" s="1" t="s">
        <v>132</v>
      </c>
      <c r="C20" s="1">
        <v>152.69999999999999</v>
      </c>
      <c r="D20" s="4">
        <f t="shared" si="2"/>
        <v>0</v>
      </c>
      <c r="E20" s="1" t="s">
        <v>137</v>
      </c>
      <c r="F20" s="1">
        <f>(27.5+32.9)/2</f>
        <v>30.2</v>
      </c>
      <c r="G20" s="3">
        <f t="shared" si="3"/>
        <v>69.8</v>
      </c>
      <c r="J20" s="4">
        <f t="shared" si="4"/>
        <v>0</v>
      </c>
      <c r="M20" s="3">
        <f t="shared" si="5"/>
        <v>69.8</v>
      </c>
      <c r="P20" s="4">
        <f t="shared" si="6"/>
        <v>0</v>
      </c>
      <c r="S20" s="3">
        <f t="shared" si="7"/>
        <v>69.8</v>
      </c>
      <c r="T20" s="5">
        <f t="shared" si="8"/>
        <v>714.75199999999995</v>
      </c>
      <c r="U20" s="1">
        <f t="shared" si="1"/>
        <v>-714.75199999999995</v>
      </c>
    </row>
    <row r="21" spans="1:21">
      <c r="A21" s="4" t="s">
        <v>94</v>
      </c>
      <c r="B21" s="1" t="s">
        <v>132</v>
      </c>
      <c r="C21" s="1">
        <v>167</v>
      </c>
      <c r="D21" s="4">
        <f t="shared" si="2"/>
        <v>0</v>
      </c>
      <c r="E21" s="1" t="s">
        <v>71</v>
      </c>
      <c r="F21" s="1">
        <f>(41+48.6)/2+12.5</f>
        <v>57.3</v>
      </c>
      <c r="G21" s="3">
        <f>IF(100-F21&lt;=0, 0,100- F21)</f>
        <v>42.7</v>
      </c>
      <c r="J21" s="4">
        <f t="shared" si="4"/>
        <v>0</v>
      </c>
      <c r="M21" s="3">
        <f t="shared" si="5"/>
        <v>42.7</v>
      </c>
      <c r="P21" s="4">
        <f t="shared" si="6"/>
        <v>0</v>
      </c>
      <c r="S21" s="3">
        <f t="shared" si="7"/>
        <v>42.7</v>
      </c>
      <c r="T21" s="5">
        <f t="shared" si="8"/>
        <v>437.24800000000005</v>
      </c>
      <c r="U21" s="1">
        <f t="shared" si="1"/>
        <v>-437.24800000000005</v>
      </c>
    </row>
    <row r="22" spans="1:21">
      <c r="A22" s="4" t="s">
        <v>95</v>
      </c>
      <c r="B22" s="1" t="s">
        <v>132</v>
      </c>
      <c r="C22" s="1">
        <f>(43.8+51.8)/2</f>
        <v>47.8</v>
      </c>
      <c r="D22" s="4">
        <f t="shared" si="2"/>
        <v>52.2</v>
      </c>
      <c r="E22" s="1" t="s">
        <v>167</v>
      </c>
      <c r="F22" s="1">
        <v>168.6</v>
      </c>
      <c r="G22" s="3">
        <f t="shared" si="3"/>
        <v>0</v>
      </c>
      <c r="J22" s="4">
        <f t="shared" si="4"/>
        <v>52.2</v>
      </c>
      <c r="M22" s="3">
        <f t="shared" si="5"/>
        <v>0</v>
      </c>
      <c r="P22" s="4">
        <f t="shared" si="6"/>
        <v>52.2</v>
      </c>
      <c r="S22" s="3">
        <f t="shared" si="7"/>
        <v>0</v>
      </c>
      <c r="T22" s="5">
        <f t="shared" si="8"/>
        <v>-534.52800000000002</v>
      </c>
      <c r="U22" s="1">
        <f t="shared" si="1"/>
        <v>534.52800000000002</v>
      </c>
    </row>
    <row r="23" spans="1:21">
      <c r="A23" s="4" t="s">
        <v>96</v>
      </c>
      <c r="B23" s="1" t="s">
        <v>132</v>
      </c>
      <c r="C23" s="1">
        <f>(53.3+63.4)/2</f>
        <v>58.349999999999994</v>
      </c>
      <c r="D23" s="4">
        <f t="shared" si="2"/>
        <v>41.650000000000006</v>
      </c>
      <c r="E23" s="1" t="s">
        <v>73</v>
      </c>
      <c r="F23" s="1">
        <v>0</v>
      </c>
      <c r="G23" s="3">
        <f t="shared" si="3"/>
        <v>100</v>
      </c>
      <c r="H23" s="1" t="s">
        <v>163</v>
      </c>
      <c r="I23" s="1">
        <f>(33.4+28.1)/2</f>
        <v>30.75</v>
      </c>
      <c r="J23" s="4">
        <f>IF(D23-I23&lt;=0, 0,D23- I23)+50</f>
        <v>60.900000000000006</v>
      </c>
      <c r="K23" s="1" t="s">
        <v>72</v>
      </c>
      <c r="L23" s="1">
        <v>0</v>
      </c>
      <c r="M23" s="3">
        <f t="shared" si="5"/>
        <v>100</v>
      </c>
      <c r="N23" s="1" t="s">
        <v>163</v>
      </c>
      <c r="O23" s="1">
        <f>(33.4+28.1)/2</f>
        <v>30.75</v>
      </c>
      <c r="P23" s="4">
        <f>IF(J23-O23&lt;=0, 0,J23- O23)+50</f>
        <v>80.150000000000006</v>
      </c>
      <c r="Q23" s="1" t="s">
        <v>72</v>
      </c>
      <c r="R23" s="1">
        <v>0</v>
      </c>
      <c r="S23" s="3">
        <f t="shared" si="7"/>
        <v>100</v>
      </c>
      <c r="T23" s="5">
        <f t="shared" si="8"/>
        <v>203.26399999999995</v>
      </c>
      <c r="U23" s="1">
        <f t="shared" si="1"/>
        <v>-203.26399999999995</v>
      </c>
    </row>
    <row r="24" spans="1:21">
      <c r="A24" s="4" t="s">
        <v>97</v>
      </c>
      <c r="B24" s="1" t="s">
        <v>132</v>
      </c>
      <c r="C24" s="1">
        <f>(57.5+48.4)/2</f>
        <v>52.95</v>
      </c>
      <c r="D24" s="4">
        <f t="shared" si="2"/>
        <v>47.05</v>
      </c>
      <c r="E24" s="1" t="s">
        <v>218</v>
      </c>
      <c r="F24" s="1">
        <f>(97.2+116.7)/2</f>
        <v>106.95</v>
      </c>
      <c r="G24" s="3">
        <f t="shared" si="3"/>
        <v>0</v>
      </c>
      <c r="J24" s="4">
        <f t="shared" si="4"/>
        <v>47.05</v>
      </c>
      <c r="M24" s="3">
        <f t="shared" si="5"/>
        <v>0</v>
      </c>
      <c r="P24" s="4">
        <f t="shared" si="6"/>
        <v>47.05</v>
      </c>
      <c r="S24" s="3">
        <f t="shared" si="7"/>
        <v>0</v>
      </c>
      <c r="T24" s="5">
        <f t="shared" si="8"/>
        <v>-481.79199999999997</v>
      </c>
      <c r="U24" s="1">
        <f t="shared" si="1"/>
        <v>481.79199999999997</v>
      </c>
    </row>
    <row r="25" spans="1:21">
      <c r="A25" s="4" t="s">
        <v>98</v>
      </c>
      <c r="B25" s="1" t="s">
        <v>132</v>
      </c>
      <c r="C25" s="1">
        <f>(106.5+90.4)/2</f>
        <v>98.45</v>
      </c>
      <c r="D25" s="4">
        <f t="shared" si="2"/>
        <v>1.5499999999999972</v>
      </c>
      <c r="E25" s="1" t="s">
        <v>76</v>
      </c>
      <c r="F25" s="1">
        <v>202.7</v>
      </c>
      <c r="G25" s="3">
        <f t="shared" si="3"/>
        <v>0</v>
      </c>
      <c r="J25" s="4">
        <f t="shared" si="4"/>
        <v>1.5499999999999972</v>
      </c>
      <c r="M25" s="3">
        <f t="shared" si="5"/>
        <v>0</v>
      </c>
      <c r="P25" s="4">
        <f t="shared" si="6"/>
        <v>1.5499999999999972</v>
      </c>
      <c r="S25" s="3">
        <f t="shared" si="7"/>
        <v>0</v>
      </c>
      <c r="T25" s="5">
        <f t="shared" si="8"/>
        <v>-15.871999999999971</v>
      </c>
      <c r="U25" s="1">
        <f t="shared" si="1"/>
        <v>15.871999999999971</v>
      </c>
    </row>
    <row r="26" spans="1:21">
      <c r="A26" s="4" t="s">
        <v>99</v>
      </c>
      <c r="B26" s="1" t="s">
        <v>78</v>
      </c>
      <c r="C26" s="1">
        <f>(86.8+102.8)/2</f>
        <v>94.8</v>
      </c>
      <c r="D26" s="4">
        <f t="shared" si="2"/>
        <v>5.2000000000000028</v>
      </c>
      <c r="E26" s="1" t="s">
        <v>113</v>
      </c>
      <c r="F26" s="1">
        <v>188.1</v>
      </c>
      <c r="G26" s="3">
        <f t="shared" si="3"/>
        <v>0</v>
      </c>
      <c r="J26" s="4">
        <f t="shared" si="4"/>
        <v>5.2000000000000028</v>
      </c>
      <c r="M26" s="3">
        <f t="shared" si="5"/>
        <v>0</v>
      </c>
      <c r="P26" s="4">
        <f t="shared" si="6"/>
        <v>5.2000000000000028</v>
      </c>
      <c r="S26" s="3">
        <f t="shared" si="7"/>
        <v>0</v>
      </c>
      <c r="T26" s="5">
        <f t="shared" si="8"/>
        <v>-53.248000000000026</v>
      </c>
      <c r="U26" s="1">
        <f t="shared" si="1"/>
        <v>53.248000000000026</v>
      </c>
    </row>
    <row r="27" spans="1:21">
      <c r="A27" s="4" t="s">
        <v>100</v>
      </c>
      <c r="B27" s="1" t="s">
        <v>132</v>
      </c>
      <c r="C27" s="1">
        <v>134.19999999999999</v>
      </c>
      <c r="D27" s="4">
        <f t="shared" si="2"/>
        <v>0</v>
      </c>
      <c r="G27" s="3">
        <f t="shared" si="3"/>
        <v>100</v>
      </c>
      <c r="J27" s="4">
        <f t="shared" si="4"/>
        <v>0</v>
      </c>
      <c r="M27" s="3">
        <f t="shared" si="5"/>
        <v>100</v>
      </c>
      <c r="P27" s="4">
        <f t="shared" si="6"/>
        <v>0</v>
      </c>
      <c r="S27" s="3">
        <f t="shared" si="7"/>
        <v>100</v>
      </c>
      <c r="T27" s="5">
        <f t="shared" si="8"/>
        <v>1024</v>
      </c>
      <c r="U27" s="1">
        <f t="shared" si="1"/>
        <v>-1024</v>
      </c>
    </row>
    <row r="28" spans="1:21">
      <c r="A28" s="4" t="s">
        <v>101</v>
      </c>
      <c r="B28" s="1" t="s">
        <v>216</v>
      </c>
      <c r="C28" s="1">
        <f>(94.6+112)/2</f>
        <v>103.3</v>
      </c>
      <c r="D28" s="4">
        <f t="shared" si="2"/>
        <v>0</v>
      </c>
      <c r="G28" s="3">
        <f t="shared" si="3"/>
        <v>100</v>
      </c>
      <c r="J28" s="4">
        <f t="shared" si="4"/>
        <v>0</v>
      </c>
      <c r="M28" s="3">
        <f t="shared" si="5"/>
        <v>100</v>
      </c>
      <c r="P28" s="4">
        <f t="shared" si="6"/>
        <v>0</v>
      </c>
      <c r="S28" s="3">
        <f t="shared" si="7"/>
        <v>100</v>
      </c>
      <c r="T28" s="5">
        <f t="shared" si="8"/>
        <v>1024</v>
      </c>
      <c r="U28" s="1">
        <f t="shared" si="1"/>
        <v>-1024</v>
      </c>
    </row>
    <row r="29" spans="1:21">
      <c r="A29" s="4" t="s">
        <v>102</v>
      </c>
      <c r="B29" s="1" t="s">
        <v>132</v>
      </c>
      <c r="C29" s="1">
        <f>(43+36.4)/2</f>
        <v>39.700000000000003</v>
      </c>
      <c r="D29" s="4">
        <f>IF(100-C29&lt;=0, 0,100- C29)+6.25</f>
        <v>66.55</v>
      </c>
      <c r="E29" s="1" t="s">
        <v>142</v>
      </c>
      <c r="F29" s="1">
        <v>155.6</v>
      </c>
      <c r="G29" s="3">
        <f t="shared" si="3"/>
        <v>0</v>
      </c>
      <c r="J29" s="4">
        <f t="shared" si="4"/>
        <v>66.55</v>
      </c>
      <c r="M29" s="3">
        <f t="shared" si="5"/>
        <v>0</v>
      </c>
      <c r="P29" s="4">
        <f t="shared" si="6"/>
        <v>66.55</v>
      </c>
      <c r="S29" s="3">
        <f t="shared" si="7"/>
        <v>0</v>
      </c>
      <c r="T29" s="5">
        <f t="shared" si="8"/>
        <v>-681.47199999999998</v>
      </c>
      <c r="U29" s="1">
        <f t="shared" si="1"/>
        <v>681.47199999999998</v>
      </c>
    </row>
    <row r="30" spans="1:21">
      <c r="A30" s="4" t="s">
        <v>103</v>
      </c>
      <c r="B30" s="1" t="s">
        <v>132</v>
      </c>
      <c r="C30" s="1">
        <v>131</v>
      </c>
      <c r="D30" s="4">
        <f t="shared" si="2"/>
        <v>0</v>
      </c>
      <c r="E30" s="1" t="s">
        <v>78</v>
      </c>
      <c r="F30" s="1">
        <f>(52.4+62.1)/2</f>
        <v>57.25</v>
      </c>
      <c r="G30" s="3">
        <f t="shared" si="3"/>
        <v>42.75</v>
      </c>
      <c r="J30" s="4">
        <f t="shared" si="4"/>
        <v>0</v>
      </c>
      <c r="M30" s="3">
        <f t="shared" si="5"/>
        <v>42.75</v>
      </c>
      <c r="P30" s="4">
        <f t="shared" si="6"/>
        <v>0</v>
      </c>
      <c r="S30" s="3">
        <f t="shared" si="7"/>
        <v>42.75</v>
      </c>
      <c r="T30" s="5">
        <f t="shared" si="8"/>
        <v>437.76</v>
      </c>
      <c r="U30" s="1">
        <f t="shared" si="1"/>
        <v>-437.76</v>
      </c>
    </row>
    <row r="31" spans="1:21">
      <c r="A31" s="4" t="s">
        <v>104</v>
      </c>
      <c r="B31" s="1" t="s">
        <v>132</v>
      </c>
      <c r="C31" s="1">
        <v>211.6</v>
      </c>
      <c r="D31" s="4">
        <f t="shared" si="2"/>
        <v>0</v>
      </c>
      <c r="G31" s="3">
        <f t="shared" si="3"/>
        <v>100</v>
      </c>
      <c r="J31" s="4">
        <f t="shared" si="4"/>
        <v>0</v>
      </c>
      <c r="M31" s="3">
        <f t="shared" si="5"/>
        <v>100</v>
      </c>
      <c r="P31" s="4">
        <f t="shared" si="6"/>
        <v>0</v>
      </c>
      <c r="S31" s="3">
        <f t="shared" si="7"/>
        <v>100</v>
      </c>
      <c r="T31" s="5">
        <f t="shared" si="8"/>
        <v>1024</v>
      </c>
      <c r="U31" s="1">
        <f t="shared" si="1"/>
        <v>-1024</v>
      </c>
    </row>
    <row r="32" spans="1:21">
      <c r="A32" s="4" t="s">
        <v>105</v>
      </c>
      <c r="B32" s="1" t="s">
        <v>132</v>
      </c>
      <c r="C32" s="1">
        <v>211.6</v>
      </c>
      <c r="D32" s="4">
        <f t="shared" si="2"/>
        <v>0</v>
      </c>
      <c r="G32" s="3">
        <f t="shared" si="3"/>
        <v>100</v>
      </c>
      <c r="J32" s="4">
        <f t="shared" si="4"/>
        <v>0</v>
      </c>
      <c r="M32" s="3">
        <f t="shared" si="5"/>
        <v>100</v>
      </c>
      <c r="P32" s="4">
        <f t="shared" si="6"/>
        <v>0</v>
      </c>
      <c r="S32" s="3">
        <f t="shared" si="7"/>
        <v>100</v>
      </c>
      <c r="T32" s="5">
        <f t="shared" si="8"/>
        <v>1024</v>
      </c>
      <c r="U32" s="1">
        <f t="shared" si="1"/>
        <v>-1024</v>
      </c>
    </row>
    <row r="33" spans="1:21">
      <c r="A33" s="4" t="s">
        <v>106</v>
      </c>
      <c r="B33" s="1" t="s">
        <v>132</v>
      </c>
      <c r="C33" s="1">
        <v>113.6</v>
      </c>
      <c r="D33" s="4">
        <f t="shared" si="2"/>
        <v>0</v>
      </c>
      <c r="G33" s="3">
        <f t="shared" si="3"/>
        <v>100</v>
      </c>
      <c r="J33" s="4">
        <f t="shared" si="4"/>
        <v>0</v>
      </c>
      <c r="M33" s="3">
        <f t="shared" si="5"/>
        <v>100</v>
      </c>
      <c r="P33" s="4">
        <f t="shared" si="6"/>
        <v>0</v>
      </c>
      <c r="S33" s="3">
        <f t="shared" si="7"/>
        <v>100</v>
      </c>
      <c r="T33" s="5">
        <f t="shared" si="8"/>
        <v>1024</v>
      </c>
      <c r="U33" s="1">
        <f t="shared" si="1"/>
        <v>-1024</v>
      </c>
    </row>
    <row r="34" spans="1:21">
      <c r="A34" s="4" t="s">
        <v>107</v>
      </c>
      <c r="B34" s="1" t="s">
        <v>136</v>
      </c>
      <c r="D34" s="4">
        <f t="shared" si="2"/>
        <v>100</v>
      </c>
      <c r="E34" s="1" t="s">
        <v>111</v>
      </c>
      <c r="F34" s="1">
        <v>361</v>
      </c>
      <c r="G34" s="3">
        <f t="shared" si="3"/>
        <v>0</v>
      </c>
      <c r="J34" s="4">
        <f t="shared" si="4"/>
        <v>100</v>
      </c>
      <c r="M34" s="3">
        <f t="shared" si="5"/>
        <v>0</v>
      </c>
      <c r="P34" s="4">
        <f t="shared" si="6"/>
        <v>100</v>
      </c>
      <c r="S34" s="3">
        <f t="shared" si="7"/>
        <v>0</v>
      </c>
      <c r="T34" s="5">
        <f t="shared" si="8"/>
        <v>-1024</v>
      </c>
      <c r="U34" s="1">
        <f t="shared" si="1"/>
        <v>1024</v>
      </c>
    </row>
    <row r="35" spans="1:21">
      <c r="A35" s="4" t="s">
        <v>108</v>
      </c>
      <c r="B35" s="1" t="s">
        <v>132</v>
      </c>
      <c r="C35" s="1">
        <f>(32.3+39.1)/2</f>
        <v>35.700000000000003</v>
      </c>
      <c r="D35" s="4">
        <f t="shared" si="2"/>
        <v>64.3</v>
      </c>
      <c r="E35" s="1" t="s">
        <v>39</v>
      </c>
      <c r="F35" s="1">
        <v>246.4</v>
      </c>
      <c r="G35" s="3">
        <f t="shared" si="3"/>
        <v>0</v>
      </c>
      <c r="J35" s="4">
        <f t="shared" si="4"/>
        <v>64.3</v>
      </c>
      <c r="M35" s="3">
        <f t="shared" si="5"/>
        <v>0</v>
      </c>
      <c r="P35" s="4">
        <f t="shared" si="6"/>
        <v>64.3</v>
      </c>
      <c r="S35" s="3">
        <f t="shared" si="7"/>
        <v>0</v>
      </c>
      <c r="T35" s="5">
        <f t="shared" si="8"/>
        <v>-658.43200000000002</v>
      </c>
      <c r="U35" s="1">
        <f t="shared" si="1"/>
        <v>658.43200000000002</v>
      </c>
    </row>
    <row r="36" spans="1:21">
      <c r="A36" s="4" t="s">
        <v>109</v>
      </c>
      <c r="B36" s="1" t="s">
        <v>132</v>
      </c>
      <c r="C36" s="1">
        <f>(46.9+55.7)/2</f>
        <v>51.3</v>
      </c>
      <c r="D36" s="4">
        <f t="shared" si="2"/>
        <v>48.7</v>
      </c>
      <c r="E36" s="1" t="s">
        <v>39</v>
      </c>
      <c r="F36" s="1">
        <v>330.8</v>
      </c>
      <c r="G36" s="3">
        <f t="shared" si="3"/>
        <v>0</v>
      </c>
      <c r="J36" s="4">
        <f t="shared" si="4"/>
        <v>48.7</v>
      </c>
      <c r="M36" s="3">
        <f t="shared" si="5"/>
        <v>0</v>
      </c>
      <c r="P36" s="4">
        <f t="shared" si="6"/>
        <v>48.7</v>
      </c>
      <c r="S36" s="3">
        <f t="shared" si="7"/>
        <v>0</v>
      </c>
      <c r="T36" s="5">
        <f t="shared" si="8"/>
        <v>-498.68800000000005</v>
      </c>
      <c r="U36" s="1">
        <f t="shared" si="1"/>
        <v>498.68800000000005</v>
      </c>
    </row>
    <row r="37" spans="1:21">
      <c r="A37" s="4" t="s">
        <v>110</v>
      </c>
      <c r="B37" s="1" t="s">
        <v>132</v>
      </c>
      <c r="C37" s="1">
        <f>(64.5+76)/2</f>
        <v>70.25</v>
      </c>
      <c r="D37" s="4">
        <f t="shared" si="2"/>
        <v>29.75</v>
      </c>
      <c r="E37" s="1" t="s">
        <v>112</v>
      </c>
      <c r="F37" s="1">
        <v>100</v>
      </c>
      <c r="G37" s="3">
        <f t="shared" si="3"/>
        <v>0</v>
      </c>
      <c r="J37" s="4">
        <f t="shared" si="4"/>
        <v>29.75</v>
      </c>
      <c r="M37" s="3">
        <f t="shared" si="5"/>
        <v>0</v>
      </c>
      <c r="P37" s="4">
        <f t="shared" si="6"/>
        <v>29.75</v>
      </c>
      <c r="S37" s="3">
        <f t="shared" si="7"/>
        <v>0</v>
      </c>
      <c r="T37" s="5">
        <f t="shared" si="8"/>
        <v>-304.64</v>
      </c>
      <c r="U37" s="1">
        <f t="shared" si="1"/>
        <v>304.64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2232-E022-4D9E-96FD-2FC4DC32B43F}">
  <dimension ref="A1:Y104857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V18" sqref="V18"/>
    </sheetView>
  </sheetViews>
  <sheetFormatPr defaultRowHeight="18.75"/>
  <cols>
    <col min="1" max="1" width="12.875" style="1" customWidth="1"/>
    <col min="2" max="16384" width="9" style="1"/>
  </cols>
  <sheetData>
    <row r="1" spans="1:25">
      <c r="A1" s="3" t="s">
        <v>88</v>
      </c>
      <c r="B1" s="3" t="s">
        <v>115</v>
      </c>
      <c r="C1" s="3"/>
      <c r="D1" s="3" t="s">
        <v>219</v>
      </c>
      <c r="E1" s="3">
        <v>215</v>
      </c>
      <c r="F1" s="3">
        <v>132</v>
      </c>
      <c r="G1" s="3">
        <v>187</v>
      </c>
      <c r="H1" s="3">
        <v>79</v>
      </c>
      <c r="I1" s="3">
        <v>93</v>
      </c>
      <c r="J1" s="3">
        <v>67</v>
      </c>
      <c r="K1" s="3" t="s">
        <v>220</v>
      </c>
      <c r="L1" s="3" t="s">
        <v>221</v>
      </c>
      <c r="M1" s="3" t="s">
        <v>118</v>
      </c>
      <c r="N1" s="3" t="s">
        <v>39</v>
      </c>
      <c r="O1" s="3" t="s">
        <v>115</v>
      </c>
      <c r="P1" s="3">
        <v>100</v>
      </c>
      <c r="Q1" s="3" t="s">
        <v>60</v>
      </c>
      <c r="R1" s="3" t="s">
        <v>174</v>
      </c>
      <c r="S1" s="3" t="s">
        <v>222</v>
      </c>
      <c r="T1" s="3" t="s">
        <v>133</v>
      </c>
      <c r="U1" s="3" t="s">
        <v>121</v>
      </c>
      <c r="V1" s="3" t="s">
        <v>223</v>
      </c>
      <c r="W1" s="3" t="s">
        <v>134</v>
      </c>
      <c r="X1" s="3" t="s">
        <v>174</v>
      </c>
      <c r="Y1" s="3" t="s">
        <v>224</v>
      </c>
    </row>
    <row r="2" spans="1:25">
      <c r="B2" s="1" t="s">
        <v>54</v>
      </c>
      <c r="H2" s="1" t="s">
        <v>55</v>
      </c>
      <c r="N2" s="1" t="s">
        <v>56</v>
      </c>
    </row>
    <row r="3" spans="1:25">
      <c r="A3" s="4" t="s">
        <v>128</v>
      </c>
      <c r="B3" s="1" t="s">
        <v>35</v>
      </c>
      <c r="C3" s="1" t="s">
        <v>36</v>
      </c>
      <c r="D3" s="4" t="s">
        <v>42</v>
      </c>
      <c r="E3" s="1" t="s">
        <v>37</v>
      </c>
      <c r="F3" s="1" t="s">
        <v>38</v>
      </c>
      <c r="G3" s="3" t="s">
        <v>41</v>
      </c>
      <c r="H3" s="1" t="s">
        <v>35</v>
      </c>
      <c r="I3" s="1" t="s">
        <v>36</v>
      </c>
      <c r="J3" s="4" t="s">
        <v>42</v>
      </c>
      <c r="K3" s="1" t="s">
        <v>37</v>
      </c>
      <c r="L3" s="1" t="s">
        <v>38</v>
      </c>
      <c r="M3" s="3" t="s">
        <v>41</v>
      </c>
      <c r="N3" s="1" t="s">
        <v>35</v>
      </c>
      <c r="O3" s="1" t="s">
        <v>36</v>
      </c>
      <c r="P3" s="4" t="s">
        <v>42</v>
      </c>
      <c r="Q3" s="1" t="s">
        <v>37</v>
      </c>
      <c r="R3" s="1" t="s">
        <v>38</v>
      </c>
      <c r="S3" s="3" t="s">
        <v>41</v>
      </c>
      <c r="T3" s="5" t="s">
        <v>45</v>
      </c>
      <c r="U3" s="1" t="s">
        <v>114</v>
      </c>
    </row>
    <row r="4" spans="1:25">
      <c r="A4" s="4" t="s">
        <v>80</v>
      </c>
      <c r="B4" s="1" t="s">
        <v>123</v>
      </c>
    </row>
    <row r="5" spans="1:25">
      <c r="A5" s="4" t="s">
        <v>79</v>
      </c>
      <c r="B5" s="1" t="s">
        <v>123</v>
      </c>
    </row>
    <row r="6" spans="1:25">
      <c r="A6" s="4" t="s">
        <v>2</v>
      </c>
      <c r="B6" s="1" t="s">
        <v>123</v>
      </c>
    </row>
    <row r="7" spans="1:25">
      <c r="A7" s="4" t="s">
        <v>81</v>
      </c>
      <c r="B7" s="1" t="s">
        <v>123</v>
      </c>
    </row>
    <row r="8" spans="1:25">
      <c r="A8" s="4" t="s">
        <v>82</v>
      </c>
      <c r="B8" s="1" t="s">
        <v>123</v>
      </c>
    </row>
    <row r="9" spans="1:25">
      <c r="A9" s="4" t="s">
        <v>83</v>
      </c>
      <c r="B9" s="1" t="s">
        <v>123</v>
      </c>
    </row>
    <row r="10" spans="1:25">
      <c r="A10" s="4" t="s">
        <v>6</v>
      </c>
      <c r="B10" s="2" t="s">
        <v>123</v>
      </c>
    </row>
    <row r="11" spans="1:25">
      <c r="A11" s="4" t="s">
        <v>84</v>
      </c>
      <c r="B11" s="1" t="s">
        <v>123</v>
      </c>
    </row>
    <row r="12" spans="1:25">
      <c r="A12" s="4" t="s">
        <v>85</v>
      </c>
      <c r="B12" s="1" t="s">
        <v>123</v>
      </c>
    </row>
    <row r="13" spans="1:25">
      <c r="A13" s="4" t="s">
        <v>86</v>
      </c>
      <c r="B13" s="1" t="s">
        <v>123</v>
      </c>
    </row>
    <row r="14" spans="1:25">
      <c r="A14" s="4" t="s">
        <v>87</v>
      </c>
      <c r="B14" s="1" t="s">
        <v>123</v>
      </c>
    </row>
    <row r="15" spans="1:25">
      <c r="A15" s="4" t="s">
        <v>88</v>
      </c>
      <c r="B15" s="1" t="s">
        <v>123</v>
      </c>
    </row>
    <row r="16" spans="1:25">
      <c r="A16" s="4" t="s">
        <v>89</v>
      </c>
      <c r="B16" s="1" t="s">
        <v>60</v>
      </c>
      <c r="C16" s="1">
        <v>6.25</v>
      </c>
      <c r="D16" s="4">
        <f>IF(100-C16&lt;=0, 0,100- C16)-10</f>
        <v>83.75</v>
      </c>
      <c r="E16" s="1" t="s">
        <v>62</v>
      </c>
      <c r="F16" s="1">
        <f>(32.5+40)/2</f>
        <v>36.25</v>
      </c>
      <c r="G16" s="3">
        <f>IF(100-F16&lt;=0, 0,100- F16)</f>
        <v>63.75</v>
      </c>
      <c r="H16" s="1" t="s">
        <v>133</v>
      </c>
      <c r="I16" s="1">
        <v>6.25</v>
      </c>
      <c r="J16" s="4">
        <f>IF(D16-I16&lt;=0, 0,D16- I16)-10</f>
        <v>67.5</v>
      </c>
      <c r="K16" s="1" t="s">
        <v>62</v>
      </c>
      <c r="L16" s="1">
        <f>(32.5+40)/2</f>
        <v>36.25</v>
      </c>
      <c r="M16" s="3">
        <f>IF(G16-L16&lt;=0, 0,G16- L16)+25</f>
        <v>52.5</v>
      </c>
      <c r="N16" s="1" t="s">
        <v>134</v>
      </c>
      <c r="O16" s="1">
        <f>12.5</f>
        <v>12.5</v>
      </c>
      <c r="P16" s="4">
        <f>IF(J16-O16&lt;=0, 0,J16- O16)</f>
        <v>55</v>
      </c>
      <c r="Q16" s="1" t="s">
        <v>61</v>
      </c>
      <c r="R16" s="1">
        <v>0</v>
      </c>
      <c r="S16" s="3">
        <f>IF(M16-R16&lt;=0, 0,M16- R16)</f>
        <v>52.5</v>
      </c>
      <c r="T16" s="5">
        <f t="shared" ref="T16" si="0">(S16-P16)/100*1024</f>
        <v>-25.6</v>
      </c>
      <c r="U16" s="1">
        <f t="shared" ref="U16:U37" si="1">-1*T16</f>
        <v>25.6</v>
      </c>
    </row>
    <row r="17" spans="1:21">
      <c r="A17" s="4" t="s">
        <v>90</v>
      </c>
      <c r="B17" s="1" t="s">
        <v>60</v>
      </c>
      <c r="C17" s="1">
        <v>6.25</v>
      </c>
      <c r="D17" s="4">
        <f>IF(100-C17&lt;=0, 0,100- C17)-10</f>
        <v>83.75</v>
      </c>
      <c r="E17" s="1" t="s">
        <v>144</v>
      </c>
      <c r="F17" s="1">
        <f>(82.3+98.1)/2</f>
        <v>90.199999999999989</v>
      </c>
      <c r="G17" s="3">
        <f>IF(100-F17&lt;=0, 0,100- F17)+25</f>
        <v>34.800000000000011</v>
      </c>
      <c r="I17" s="1">
        <v>6.25</v>
      </c>
      <c r="J17" s="4">
        <f>IF(D17-I17&lt;=0, 0,D17- I17)-10</f>
        <v>67.5</v>
      </c>
      <c r="K17" s="1" t="s">
        <v>144</v>
      </c>
      <c r="L17" s="1">
        <f>(82.3+98.1)/2</f>
        <v>90.199999999999989</v>
      </c>
      <c r="M17" s="3">
        <f t="shared" ref="M17:M32" si="2">IF(G17-L17&lt;=0, 0,G17- L17)</f>
        <v>0</v>
      </c>
      <c r="P17" s="4">
        <f t="shared" ref="P17:P32" si="3">IF(J17-O17&lt;=0, 0,J17- O17)</f>
        <v>67.5</v>
      </c>
      <c r="S17" s="3">
        <f t="shared" ref="S17:S32" si="4">IF(M17-R17&lt;=0, 0,M17- R17)</f>
        <v>0</v>
      </c>
      <c r="T17" s="5">
        <f t="shared" ref="T17:T32" si="5">(S17-P17)/100*1024</f>
        <v>-691.2</v>
      </c>
      <c r="U17" s="1">
        <f t="shared" si="1"/>
        <v>691.2</v>
      </c>
    </row>
    <row r="18" spans="1:21">
      <c r="A18" s="4" t="s">
        <v>91</v>
      </c>
      <c r="B18" s="1" t="s">
        <v>60</v>
      </c>
      <c r="C18" s="1">
        <v>6.25</v>
      </c>
      <c r="D18" s="4">
        <f>IF(100-C18&lt;=0, 0,100- C18)-10</f>
        <v>83.75</v>
      </c>
      <c r="E18" s="1" t="s">
        <v>64</v>
      </c>
      <c r="F18" s="1">
        <f>(86.9+102.3)/2</f>
        <v>94.6</v>
      </c>
      <c r="G18" s="3">
        <f>IF(100-F18&lt;=0, 0,100- F18)+25</f>
        <v>30.400000000000006</v>
      </c>
      <c r="I18" s="1">
        <v>6.25</v>
      </c>
      <c r="J18" s="4">
        <f>IF(D18-I18&lt;=0, 0,D18- I18)-10</f>
        <v>67.5</v>
      </c>
      <c r="K18" s="1" t="s">
        <v>163</v>
      </c>
      <c r="L18" s="1">
        <v>31.6</v>
      </c>
      <c r="M18" s="3">
        <f t="shared" si="2"/>
        <v>0</v>
      </c>
      <c r="P18" s="4">
        <f t="shared" si="3"/>
        <v>67.5</v>
      </c>
      <c r="S18" s="3">
        <f t="shared" si="4"/>
        <v>0</v>
      </c>
      <c r="T18" s="5">
        <f t="shared" si="5"/>
        <v>-691.2</v>
      </c>
      <c r="U18" s="1">
        <f t="shared" si="1"/>
        <v>691.2</v>
      </c>
    </row>
    <row r="19" spans="1:21">
      <c r="A19" s="4" t="s">
        <v>92</v>
      </c>
      <c r="B19" s="1" t="s">
        <v>60</v>
      </c>
      <c r="C19" s="1">
        <v>6.25</v>
      </c>
      <c r="D19" s="4">
        <f t="shared" ref="D19:D37" si="6">IF(100-C19&lt;=0, 0,100- C19)</f>
        <v>93.75</v>
      </c>
      <c r="E19" s="1" t="s">
        <v>135</v>
      </c>
      <c r="F19" s="1">
        <f>(48.3+58.6)/2</f>
        <v>53.45</v>
      </c>
      <c r="G19" s="3">
        <f>IF(100-F19&lt;=0, 0,100- F19)+25</f>
        <v>71.55</v>
      </c>
      <c r="H19" s="1" t="s">
        <v>133</v>
      </c>
      <c r="I19" s="1">
        <v>6.25</v>
      </c>
      <c r="J19" s="4">
        <f t="shared" ref="J19:J32" si="7">IF(D19-I19&lt;=0, 0,D19- I19)</f>
        <v>87.5</v>
      </c>
      <c r="K19" s="1" t="s">
        <v>135</v>
      </c>
      <c r="L19" s="1">
        <f>(48.3+58.6)/2</f>
        <v>53.45</v>
      </c>
      <c r="M19" s="3">
        <f t="shared" si="2"/>
        <v>18.099999999999994</v>
      </c>
      <c r="N19" s="1" t="s">
        <v>134</v>
      </c>
      <c r="O19" s="1">
        <f>12.5</f>
        <v>12.5</v>
      </c>
      <c r="P19" s="4">
        <f t="shared" si="3"/>
        <v>75</v>
      </c>
      <c r="Q19" s="1" t="s">
        <v>61</v>
      </c>
      <c r="R19" s="1">
        <v>0</v>
      </c>
      <c r="S19" s="3">
        <f t="shared" si="4"/>
        <v>18.099999999999994</v>
      </c>
      <c r="T19" s="5">
        <f t="shared" si="5"/>
        <v>-582.65600000000006</v>
      </c>
      <c r="U19" s="1">
        <f t="shared" si="1"/>
        <v>582.65600000000006</v>
      </c>
    </row>
    <row r="20" spans="1:21">
      <c r="A20" s="4" t="s">
        <v>93</v>
      </c>
      <c r="B20" s="1" t="s">
        <v>225</v>
      </c>
      <c r="C20" s="1">
        <v>6.25</v>
      </c>
      <c r="D20" s="4">
        <f t="shared" si="6"/>
        <v>93.75</v>
      </c>
      <c r="E20" s="1" t="s">
        <v>158</v>
      </c>
      <c r="F20" s="1">
        <v>0</v>
      </c>
      <c r="G20" s="3">
        <f t="shared" ref="G20:G37" si="8">IF(100-F20&lt;=0, 0,100- F20)</f>
        <v>100</v>
      </c>
      <c r="H20" s="1" t="s">
        <v>39</v>
      </c>
      <c r="I20" s="1">
        <v>6.25</v>
      </c>
      <c r="J20" s="4">
        <f t="shared" si="7"/>
        <v>87.5</v>
      </c>
      <c r="K20" s="1" t="s">
        <v>166</v>
      </c>
      <c r="L20" s="1">
        <v>0</v>
      </c>
      <c r="M20" s="3">
        <f t="shared" si="2"/>
        <v>100</v>
      </c>
      <c r="O20" s="1">
        <v>6.25</v>
      </c>
      <c r="P20" s="4">
        <f t="shared" si="3"/>
        <v>81.25</v>
      </c>
      <c r="Q20" s="1" t="s">
        <v>137</v>
      </c>
      <c r="R20" s="1">
        <v>136.19999999999999</v>
      </c>
      <c r="S20" s="3">
        <f t="shared" si="4"/>
        <v>0</v>
      </c>
      <c r="T20" s="5">
        <f t="shared" si="5"/>
        <v>-832</v>
      </c>
      <c r="U20" s="1">
        <f t="shared" si="1"/>
        <v>832</v>
      </c>
    </row>
    <row r="21" spans="1:21">
      <c r="A21" s="4" t="s">
        <v>94</v>
      </c>
      <c r="B21" s="1" t="s">
        <v>60</v>
      </c>
      <c r="C21" s="1">
        <v>6.25</v>
      </c>
      <c r="D21" s="4">
        <f t="shared" si="6"/>
        <v>93.75</v>
      </c>
      <c r="E21" s="1" t="s">
        <v>178</v>
      </c>
      <c r="F21" s="1">
        <v>0</v>
      </c>
      <c r="G21" s="3">
        <f t="shared" si="8"/>
        <v>100</v>
      </c>
      <c r="H21" s="1" t="s">
        <v>39</v>
      </c>
      <c r="I21" s="1">
        <f>(81.2+68.3)/2+6.25</f>
        <v>81</v>
      </c>
      <c r="J21" s="4">
        <f t="shared" si="7"/>
        <v>12.75</v>
      </c>
      <c r="K21" s="1" t="s">
        <v>138</v>
      </c>
      <c r="L21" s="1">
        <f>(47.4+55.8)/2</f>
        <v>51.599999999999994</v>
      </c>
      <c r="M21" s="3">
        <f>IF(G21-L21&lt;=0, 0,G21- L21)+25</f>
        <v>73.400000000000006</v>
      </c>
      <c r="N21" s="1" t="s">
        <v>39</v>
      </c>
      <c r="O21" s="1">
        <f>(81.2+68.3)/2</f>
        <v>74.75</v>
      </c>
      <c r="P21" s="4">
        <f t="shared" si="3"/>
        <v>0</v>
      </c>
      <c r="Q21" s="1" t="s">
        <v>61</v>
      </c>
      <c r="R21" s="1">
        <v>0</v>
      </c>
      <c r="S21" s="3">
        <f t="shared" si="4"/>
        <v>73.400000000000006</v>
      </c>
      <c r="T21" s="5">
        <f t="shared" si="5"/>
        <v>751.6160000000001</v>
      </c>
      <c r="U21" s="1">
        <f t="shared" si="1"/>
        <v>-751.6160000000001</v>
      </c>
    </row>
    <row r="22" spans="1:21">
      <c r="A22" s="4" t="s">
        <v>95</v>
      </c>
      <c r="B22" s="1" t="s">
        <v>60</v>
      </c>
      <c r="C22" s="1">
        <v>0</v>
      </c>
      <c r="D22" s="4">
        <f t="shared" si="6"/>
        <v>100</v>
      </c>
      <c r="E22" s="1" t="s">
        <v>139</v>
      </c>
      <c r="F22" s="1">
        <f>(35.3+29.7)/2</f>
        <v>32.5</v>
      </c>
      <c r="G22" s="3">
        <f t="shared" si="8"/>
        <v>67.5</v>
      </c>
      <c r="H22" s="1" t="s">
        <v>39</v>
      </c>
      <c r="I22" s="1">
        <f>(64.1+54.5)/2</f>
        <v>59.3</v>
      </c>
      <c r="J22" s="4">
        <f t="shared" si="7"/>
        <v>40.700000000000003</v>
      </c>
      <c r="K22" s="1" t="s">
        <v>139</v>
      </c>
      <c r="L22" s="1">
        <f>(35.3+29.7)/2</f>
        <v>32.5</v>
      </c>
      <c r="M22" s="3">
        <f>IF(G22-L22&lt;=0, 0,G22- L22)+25</f>
        <v>60</v>
      </c>
      <c r="N22" s="1" t="s">
        <v>39</v>
      </c>
      <c r="O22" s="1">
        <f>(64.1+54.5)/2</f>
        <v>59.3</v>
      </c>
      <c r="P22" s="4">
        <f t="shared" si="3"/>
        <v>0</v>
      </c>
      <c r="Q22" s="1" t="s">
        <v>61</v>
      </c>
      <c r="R22" s="1">
        <v>0</v>
      </c>
      <c r="S22" s="3">
        <f t="shared" si="4"/>
        <v>60</v>
      </c>
      <c r="T22" s="5">
        <f t="shared" si="5"/>
        <v>614.4</v>
      </c>
      <c r="U22" s="1">
        <f t="shared" si="1"/>
        <v>-614.4</v>
      </c>
    </row>
    <row r="23" spans="1:21">
      <c r="A23" s="4" t="s">
        <v>96</v>
      </c>
      <c r="B23" s="1" t="s">
        <v>60</v>
      </c>
      <c r="C23" s="1">
        <v>6.25</v>
      </c>
      <c r="D23" s="4">
        <f t="shared" si="6"/>
        <v>93.75</v>
      </c>
      <c r="E23" s="1" t="s">
        <v>74</v>
      </c>
      <c r="F23" s="1">
        <f>(32.5+39)/2</f>
        <v>35.75</v>
      </c>
      <c r="G23" s="3">
        <f t="shared" si="8"/>
        <v>64.25</v>
      </c>
      <c r="H23" s="1" t="s">
        <v>133</v>
      </c>
      <c r="I23" s="1">
        <v>6.25</v>
      </c>
      <c r="J23" s="4">
        <f t="shared" si="7"/>
        <v>87.5</v>
      </c>
      <c r="K23" s="1" t="s">
        <v>74</v>
      </c>
      <c r="L23" s="1">
        <f>(32.5+39)/2</f>
        <v>35.75</v>
      </c>
      <c r="M23" s="3">
        <f>IF(G23-L23&lt;=0, 0,G23- L23)+25</f>
        <v>53.5</v>
      </c>
      <c r="N23" s="1" t="s">
        <v>134</v>
      </c>
      <c r="O23" s="1">
        <f>12.5</f>
        <v>12.5</v>
      </c>
      <c r="P23" s="4">
        <f t="shared" si="3"/>
        <v>75</v>
      </c>
      <c r="Q23" s="1" t="s">
        <v>61</v>
      </c>
      <c r="R23" s="1">
        <v>0</v>
      </c>
      <c r="S23" s="3">
        <f t="shared" si="4"/>
        <v>53.5</v>
      </c>
      <c r="T23" s="5">
        <f t="shared" si="5"/>
        <v>-220.16</v>
      </c>
      <c r="U23" s="1">
        <f t="shared" si="1"/>
        <v>220.16</v>
      </c>
    </row>
    <row r="24" spans="1:21">
      <c r="A24" s="4" t="s">
        <v>97</v>
      </c>
      <c r="B24" s="1" t="s">
        <v>39</v>
      </c>
      <c r="C24" s="1">
        <v>121.2</v>
      </c>
      <c r="D24" s="4">
        <f t="shared" si="6"/>
        <v>0</v>
      </c>
      <c r="E24" s="1" t="s">
        <v>187</v>
      </c>
      <c r="F24" s="1">
        <f>(56.2+66.9)/2+12.5</f>
        <v>74.050000000000011</v>
      </c>
      <c r="G24" s="3">
        <f>IF(100-F24&lt;=0, 0,100- F24)+25</f>
        <v>50.949999999999989</v>
      </c>
      <c r="J24" s="4">
        <f t="shared" si="7"/>
        <v>0</v>
      </c>
      <c r="M24" s="3">
        <f t="shared" si="2"/>
        <v>50.949999999999989</v>
      </c>
      <c r="P24" s="4">
        <f t="shared" si="3"/>
        <v>0</v>
      </c>
      <c r="S24" s="3">
        <f t="shared" si="4"/>
        <v>50.949999999999989</v>
      </c>
      <c r="T24" s="5">
        <f t="shared" si="5"/>
        <v>521.72799999999984</v>
      </c>
      <c r="U24" s="1">
        <f t="shared" si="1"/>
        <v>-521.72799999999984</v>
      </c>
    </row>
    <row r="25" spans="1:21">
      <c r="A25" s="4" t="s">
        <v>98</v>
      </c>
      <c r="B25" s="1" t="s">
        <v>60</v>
      </c>
      <c r="C25" s="1">
        <v>6.25</v>
      </c>
      <c r="D25" s="4">
        <f t="shared" si="6"/>
        <v>93.75</v>
      </c>
      <c r="E25" s="1" t="s">
        <v>76</v>
      </c>
      <c r="F25" s="1">
        <f>(31.1+37.6)/2</f>
        <v>34.35</v>
      </c>
      <c r="G25" s="3">
        <f t="shared" si="8"/>
        <v>65.650000000000006</v>
      </c>
      <c r="H25" s="1" t="s">
        <v>133</v>
      </c>
      <c r="I25" s="1">
        <v>6.25</v>
      </c>
      <c r="J25" s="4">
        <f t="shared" si="7"/>
        <v>87.5</v>
      </c>
      <c r="K25" s="1" t="s">
        <v>76</v>
      </c>
      <c r="L25" s="1">
        <f>(31.1+37.6)/2</f>
        <v>34.35</v>
      </c>
      <c r="M25" s="3">
        <f>IF(G25-L25&lt;=0, 0,G25- L25)+25</f>
        <v>56.300000000000004</v>
      </c>
      <c r="N25" s="1" t="s">
        <v>134</v>
      </c>
      <c r="O25" s="1">
        <v>25</v>
      </c>
      <c r="P25" s="4">
        <f t="shared" si="3"/>
        <v>62.5</v>
      </c>
      <c r="Q25" s="1" t="s">
        <v>61</v>
      </c>
      <c r="R25" s="1">
        <v>0</v>
      </c>
      <c r="S25" s="3">
        <f t="shared" si="4"/>
        <v>56.300000000000004</v>
      </c>
      <c r="T25" s="5">
        <f t="shared" si="5"/>
        <v>-63.487999999999957</v>
      </c>
      <c r="U25" s="1">
        <f t="shared" si="1"/>
        <v>63.487999999999957</v>
      </c>
    </row>
    <row r="26" spans="1:21">
      <c r="A26" s="4" t="s">
        <v>99</v>
      </c>
      <c r="B26" s="1" t="s">
        <v>60</v>
      </c>
      <c r="C26" s="1">
        <v>6.25</v>
      </c>
      <c r="D26" s="4">
        <f t="shared" si="6"/>
        <v>93.75</v>
      </c>
      <c r="E26" s="1" t="s">
        <v>113</v>
      </c>
      <c r="F26" s="1">
        <f>(61.3+75.3)/2</f>
        <v>68.3</v>
      </c>
      <c r="G26" s="3">
        <f>IF(100-F26&lt;=0, 0,100- F26)+25</f>
        <v>56.7</v>
      </c>
      <c r="I26" s="1">
        <v>6.25</v>
      </c>
      <c r="J26" s="4">
        <f t="shared" si="7"/>
        <v>87.5</v>
      </c>
      <c r="K26" s="1" t="s">
        <v>113</v>
      </c>
      <c r="L26" s="1">
        <f>(61.3+75.3)/2</f>
        <v>68.3</v>
      </c>
      <c r="M26" s="3">
        <f t="shared" si="2"/>
        <v>0</v>
      </c>
      <c r="P26" s="4">
        <f t="shared" si="3"/>
        <v>87.5</v>
      </c>
      <c r="S26" s="3">
        <f t="shared" si="4"/>
        <v>0</v>
      </c>
      <c r="T26" s="5">
        <f t="shared" si="5"/>
        <v>-896</v>
      </c>
      <c r="U26" s="1">
        <f t="shared" si="1"/>
        <v>896</v>
      </c>
    </row>
    <row r="27" spans="1:21">
      <c r="A27" s="4" t="s">
        <v>100</v>
      </c>
      <c r="B27" s="1" t="s">
        <v>60</v>
      </c>
      <c r="C27" s="1">
        <v>6.25</v>
      </c>
      <c r="D27" s="4">
        <f t="shared" si="6"/>
        <v>93.75</v>
      </c>
      <c r="E27" s="1" t="s">
        <v>140</v>
      </c>
      <c r="F27" s="1">
        <f>(53+62.3)/2</f>
        <v>57.65</v>
      </c>
      <c r="G27" s="3">
        <f>IF(100-F27&lt;=0, 0,100- F27)+25</f>
        <v>67.349999999999994</v>
      </c>
      <c r="H27" s="1" t="s">
        <v>133</v>
      </c>
      <c r="I27" s="1">
        <v>6.25</v>
      </c>
      <c r="J27" s="4">
        <f t="shared" si="7"/>
        <v>87.5</v>
      </c>
      <c r="K27" s="1" t="s">
        <v>140</v>
      </c>
      <c r="L27" s="1">
        <f>(53+62.3)/2</f>
        <v>57.65</v>
      </c>
      <c r="M27" s="3">
        <f t="shared" si="2"/>
        <v>9.6999999999999957</v>
      </c>
      <c r="N27" s="1" t="s">
        <v>134</v>
      </c>
      <c r="O27" s="1">
        <v>25</v>
      </c>
      <c r="P27" s="4">
        <f t="shared" si="3"/>
        <v>62.5</v>
      </c>
      <c r="S27" s="3">
        <f t="shared" si="4"/>
        <v>9.6999999999999957</v>
      </c>
      <c r="T27" s="5">
        <f t="shared" si="5"/>
        <v>-540.67200000000003</v>
      </c>
      <c r="U27" s="1">
        <f t="shared" si="1"/>
        <v>540.67200000000003</v>
      </c>
    </row>
    <row r="28" spans="1:21">
      <c r="A28" s="4" t="s">
        <v>101</v>
      </c>
      <c r="B28" s="1" t="s">
        <v>60</v>
      </c>
      <c r="C28" s="1">
        <v>0</v>
      </c>
      <c r="D28" s="4">
        <f t="shared" si="6"/>
        <v>100</v>
      </c>
      <c r="E28" s="1" t="s">
        <v>60</v>
      </c>
      <c r="F28" s="1">
        <v>0</v>
      </c>
      <c r="G28" s="3">
        <f t="shared" si="8"/>
        <v>100</v>
      </c>
      <c r="H28" s="1" t="s">
        <v>39</v>
      </c>
      <c r="I28" s="1">
        <f>(38.2+46.2)/2</f>
        <v>42.2</v>
      </c>
      <c r="J28" s="4">
        <f t="shared" si="7"/>
        <v>57.8</v>
      </c>
      <c r="K28" s="1" t="s">
        <v>141</v>
      </c>
      <c r="L28" s="1">
        <f>(23.2+27.9)/2</f>
        <v>25.549999999999997</v>
      </c>
      <c r="M28" s="3">
        <f t="shared" si="2"/>
        <v>74.45</v>
      </c>
      <c r="N28" s="1" t="s">
        <v>61</v>
      </c>
      <c r="O28" s="1">
        <v>0</v>
      </c>
      <c r="P28" s="4">
        <f t="shared" si="3"/>
        <v>57.8</v>
      </c>
      <c r="Q28" s="1" t="s">
        <v>61</v>
      </c>
      <c r="R28" s="1">
        <v>0</v>
      </c>
      <c r="S28" s="3">
        <f t="shared" si="4"/>
        <v>74.45</v>
      </c>
      <c r="T28" s="5">
        <f t="shared" si="5"/>
        <v>170.49600000000007</v>
      </c>
      <c r="U28" s="1">
        <f t="shared" si="1"/>
        <v>-170.49600000000007</v>
      </c>
    </row>
    <row r="29" spans="1:21">
      <c r="A29" s="4" t="s">
        <v>102</v>
      </c>
      <c r="B29" s="1" t="s">
        <v>60</v>
      </c>
      <c r="C29" s="1">
        <v>0</v>
      </c>
      <c r="D29" s="4">
        <f t="shared" si="6"/>
        <v>100</v>
      </c>
      <c r="E29" s="1" t="s">
        <v>206</v>
      </c>
      <c r="F29" s="1">
        <v>12.5</v>
      </c>
      <c r="G29" s="3">
        <f t="shared" si="8"/>
        <v>87.5</v>
      </c>
      <c r="H29" s="1" t="s">
        <v>133</v>
      </c>
      <c r="I29" s="1">
        <v>0</v>
      </c>
      <c r="J29" s="4">
        <f t="shared" si="7"/>
        <v>100</v>
      </c>
      <c r="K29" s="1" t="s">
        <v>170</v>
      </c>
      <c r="L29" s="1">
        <f>(39+47.4)/2+12.5</f>
        <v>55.7</v>
      </c>
      <c r="M29" s="3">
        <f>IF(G29-L29&lt;=0, 0,G29- L29)+25</f>
        <v>56.8</v>
      </c>
      <c r="N29" s="1" t="s">
        <v>39</v>
      </c>
      <c r="O29" s="1">
        <f>(20.4+24.8)/2</f>
        <v>22.6</v>
      </c>
      <c r="P29" s="4">
        <f>IF(J29-O29&lt;=0, 0,IF(J29- O29+6.25+E1/8&gt;100, 100, J29- O29+6.25+E1/8))</f>
        <v>100</v>
      </c>
      <c r="Q29" s="1" t="s">
        <v>61</v>
      </c>
      <c r="R29" s="1">
        <v>12.5</v>
      </c>
      <c r="S29" s="3">
        <f t="shared" si="4"/>
        <v>44.3</v>
      </c>
      <c r="T29" s="5">
        <f t="shared" si="5"/>
        <v>-570.36800000000005</v>
      </c>
      <c r="U29" s="1">
        <f t="shared" si="1"/>
        <v>570.36800000000005</v>
      </c>
    </row>
    <row r="30" spans="1:21">
      <c r="A30" s="4" t="s">
        <v>103</v>
      </c>
      <c r="B30" s="1" t="s">
        <v>136</v>
      </c>
      <c r="C30" s="1">
        <v>6.25</v>
      </c>
      <c r="D30" s="4">
        <f t="shared" si="6"/>
        <v>93.75</v>
      </c>
      <c r="E30" s="1" t="s">
        <v>216</v>
      </c>
      <c r="F30" s="1">
        <f>(99.5+117.2)/2</f>
        <v>108.35</v>
      </c>
      <c r="G30" s="3">
        <f t="shared" si="8"/>
        <v>0</v>
      </c>
      <c r="J30" s="4">
        <f t="shared" si="7"/>
        <v>93.75</v>
      </c>
      <c r="M30" s="3">
        <f t="shared" si="2"/>
        <v>0</v>
      </c>
      <c r="P30" s="4">
        <f t="shared" si="3"/>
        <v>93.75</v>
      </c>
      <c r="S30" s="3">
        <f t="shared" si="4"/>
        <v>0</v>
      </c>
      <c r="T30" s="5">
        <f t="shared" si="5"/>
        <v>-960</v>
      </c>
      <c r="U30" s="1">
        <f t="shared" si="1"/>
        <v>960</v>
      </c>
    </row>
    <row r="31" spans="1:21">
      <c r="A31" s="4" t="s">
        <v>104</v>
      </c>
      <c r="B31" s="1" t="s">
        <v>60</v>
      </c>
      <c r="C31" s="1">
        <v>6.25</v>
      </c>
      <c r="D31" s="4">
        <f>IF(100-C31&lt;=0, 0,100- C31)-10</f>
        <v>83.75</v>
      </c>
      <c r="E31" s="1" t="s">
        <v>76</v>
      </c>
      <c r="F31" s="1">
        <f>(40.4+48.8)/2</f>
        <v>44.599999999999994</v>
      </c>
      <c r="G31" s="3">
        <f t="shared" si="8"/>
        <v>55.400000000000006</v>
      </c>
      <c r="H31" s="1" t="s">
        <v>133</v>
      </c>
      <c r="I31" s="1">
        <v>6.25</v>
      </c>
      <c r="J31" s="4">
        <f>IF(D31-I31&lt;=0, 0,D31- I31)-10</f>
        <v>67.5</v>
      </c>
      <c r="K31" s="1" t="s">
        <v>76</v>
      </c>
      <c r="L31" s="1">
        <f>(40.4+48.8)/2</f>
        <v>44.599999999999994</v>
      </c>
      <c r="M31" s="3">
        <f t="shared" si="2"/>
        <v>10.800000000000011</v>
      </c>
      <c r="N31" s="1" t="s">
        <v>134</v>
      </c>
      <c r="O31" s="1">
        <v>25</v>
      </c>
      <c r="P31" s="4">
        <f t="shared" si="3"/>
        <v>42.5</v>
      </c>
      <c r="Q31" s="1" t="s">
        <v>61</v>
      </c>
      <c r="R31" s="1">
        <v>0</v>
      </c>
      <c r="S31" s="3">
        <f t="shared" si="4"/>
        <v>10.800000000000011</v>
      </c>
      <c r="T31" s="5">
        <f t="shared" si="5"/>
        <v>-324.60799999999989</v>
      </c>
      <c r="U31" s="1">
        <f t="shared" si="1"/>
        <v>324.60799999999989</v>
      </c>
    </row>
    <row r="32" spans="1:21">
      <c r="A32" s="4" t="s">
        <v>105</v>
      </c>
      <c r="B32" s="1" t="s">
        <v>136</v>
      </c>
      <c r="C32" s="1">
        <v>6.25</v>
      </c>
      <c r="D32" s="4">
        <f t="shared" si="6"/>
        <v>93.75</v>
      </c>
      <c r="E32" s="1" t="s">
        <v>144</v>
      </c>
      <c r="F32" s="1">
        <v>110.6</v>
      </c>
      <c r="G32" s="3">
        <f t="shared" si="8"/>
        <v>0</v>
      </c>
      <c r="J32" s="4">
        <f t="shared" si="7"/>
        <v>93.75</v>
      </c>
      <c r="M32" s="3">
        <f t="shared" si="2"/>
        <v>0</v>
      </c>
      <c r="P32" s="4">
        <f t="shared" si="3"/>
        <v>93.75</v>
      </c>
      <c r="S32" s="3">
        <f t="shared" si="4"/>
        <v>0</v>
      </c>
      <c r="T32" s="5">
        <f t="shared" si="5"/>
        <v>-960</v>
      </c>
      <c r="U32" s="1">
        <f t="shared" si="1"/>
        <v>960</v>
      </c>
    </row>
    <row r="33" spans="1:21">
      <c r="A33" s="4" t="s">
        <v>106</v>
      </c>
      <c r="B33" s="1" t="s">
        <v>136</v>
      </c>
      <c r="C33" s="1">
        <v>6.25</v>
      </c>
      <c r="D33" s="4">
        <f t="shared" si="6"/>
        <v>93.75</v>
      </c>
      <c r="E33" s="1" t="s">
        <v>144</v>
      </c>
      <c r="F33" s="1">
        <f>(97.6+115.3)/2</f>
        <v>106.44999999999999</v>
      </c>
      <c r="G33" s="3">
        <f t="shared" si="8"/>
        <v>0</v>
      </c>
      <c r="J33" s="4">
        <f t="shared" ref="J33:J37" si="9">IF(D33-I33&lt;=0, 0,D33- I33)</f>
        <v>93.75</v>
      </c>
      <c r="M33" s="3">
        <f t="shared" ref="M33:M34" si="10">IF(G33-L33&lt;=0, 0,G33- L33)</f>
        <v>0</v>
      </c>
      <c r="P33" s="4">
        <f t="shared" ref="P33:P37" si="11">IF(J33-O33&lt;=0, 0,J33- O33)</f>
        <v>93.75</v>
      </c>
      <c r="S33" s="3">
        <f t="shared" ref="S33:S37" si="12">IF(M33-R33&lt;=0, 0,M33- R33)</f>
        <v>0</v>
      </c>
      <c r="T33" s="5">
        <f t="shared" ref="T33:T37" si="13">(S33-P33)/100*1024</f>
        <v>-960</v>
      </c>
      <c r="U33" s="1">
        <f t="shared" si="1"/>
        <v>960</v>
      </c>
    </row>
    <row r="34" spans="1:21">
      <c r="A34" s="4" t="s">
        <v>107</v>
      </c>
      <c r="B34" s="1" t="s">
        <v>136</v>
      </c>
      <c r="C34" s="1">
        <v>6.25</v>
      </c>
      <c r="D34" s="4">
        <f t="shared" si="6"/>
        <v>93.75</v>
      </c>
      <c r="E34" s="1" t="s">
        <v>111</v>
      </c>
      <c r="F34" s="1">
        <v>111.6</v>
      </c>
      <c r="G34" s="3">
        <f t="shared" si="8"/>
        <v>0</v>
      </c>
      <c r="J34" s="4">
        <f t="shared" si="9"/>
        <v>93.75</v>
      </c>
      <c r="M34" s="3">
        <f t="shared" si="10"/>
        <v>0</v>
      </c>
      <c r="P34" s="4">
        <f t="shared" si="11"/>
        <v>93.75</v>
      </c>
      <c r="S34" s="3">
        <f t="shared" si="12"/>
        <v>0</v>
      </c>
      <c r="T34" s="5">
        <f t="shared" si="13"/>
        <v>-960</v>
      </c>
      <c r="U34" s="1">
        <f t="shared" si="1"/>
        <v>960</v>
      </c>
    </row>
    <row r="35" spans="1:21">
      <c r="A35" s="4" t="s">
        <v>108</v>
      </c>
      <c r="B35" s="1" t="s">
        <v>60</v>
      </c>
      <c r="C35" s="1">
        <v>0</v>
      </c>
      <c r="D35" s="4">
        <f t="shared" si="6"/>
        <v>100</v>
      </c>
      <c r="E35" s="1" t="s">
        <v>139</v>
      </c>
      <c r="F35" s="1">
        <f>(29.7+35.2)/2</f>
        <v>32.450000000000003</v>
      </c>
      <c r="G35" s="3">
        <f t="shared" si="8"/>
        <v>67.55</v>
      </c>
      <c r="H35" s="1" t="s">
        <v>39</v>
      </c>
      <c r="I35" s="1">
        <f>(56+66.6)/2</f>
        <v>61.3</v>
      </c>
      <c r="J35" s="4">
        <f t="shared" si="9"/>
        <v>38.700000000000003</v>
      </c>
      <c r="K35" s="1" t="s">
        <v>139</v>
      </c>
      <c r="L35" s="1">
        <f>(29.7+35.2)/2</f>
        <v>32.450000000000003</v>
      </c>
      <c r="M35" s="3">
        <f>IF(G35-L35&lt;=0, 0,G35- L35)+25</f>
        <v>60.099999999999994</v>
      </c>
      <c r="N35" s="1" t="s">
        <v>39</v>
      </c>
      <c r="O35" s="1">
        <f>(56+66.6)/2</f>
        <v>61.3</v>
      </c>
      <c r="P35" s="4">
        <f t="shared" si="11"/>
        <v>0</v>
      </c>
      <c r="Q35" s="1" t="s">
        <v>61</v>
      </c>
      <c r="R35" s="1">
        <v>0</v>
      </c>
      <c r="S35" s="3">
        <f t="shared" si="12"/>
        <v>60.099999999999994</v>
      </c>
      <c r="T35" s="5">
        <f t="shared" si="13"/>
        <v>615.42399999999998</v>
      </c>
      <c r="U35" s="1">
        <f t="shared" si="1"/>
        <v>-615.42399999999998</v>
      </c>
    </row>
    <row r="36" spans="1:21">
      <c r="A36" s="4" t="s">
        <v>109</v>
      </c>
      <c r="B36" s="1" t="s">
        <v>60</v>
      </c>
      <c r="C36" s="1">
        <v>0</v>
      </c>
      <c r="D36" s="4">
        <f t="shared" si="6"/>
        <v>100</v>
      </c>
      <c r="E36" s="1" t="s">
        <v>76</v>
      </c>
      <c r="F36" s="1">
        <f>(31.1+36.7)/2</f>
        <v>33.900000000000006</v>
      </c>
      <c r="G36" s="3">
        <f t="shared" si="8"/>
        <v>66.099999999999994</v>
      </c>
      <c r="H36" s="1" t="s">
        <v>39</v>
      </c>
      <c r="I36" s="1">
        <f>(36+42.6)/2</f>
        <v>39.299999999999997</v>
      </c>
      <c r="J36" s="4">
        <f t="shared" si="9"/>
        <v>60.7</v>
      </c>
      <c r="K36" s="1" t="s">
        <v>76</v>
      </c>
      <c r="L36" s="1">
        <f>(31.1+36.7)/2</f>
        <v>33.900000000000006</v>
      </c>
      <c r="M36" s="3">
        <f>IF(G36-L36&lt;=0, 0,G36- L36)+25</f>
        <v>57.199999999999989</v>
      </c>
      <c r="N36" s="1" t="s">
        <v>39</v>
      </c>
      <c r="O36" s="1">
        <f>(36+42.6)/2</f>
        <v>39.299999999999997</v>
      </c>
      <c r="P36" s="4">
        <f t="shared" si="11"/>
        <v>21.400000000000006</v>
      </c>
      <c r="Q36" s="1" t="s">
        <v>61</v>
      </c>
      <c r="R36" s="1">
        <v>0</v>
      </c>
      <c r="S36" s="3">
        <f t="shared" si="12"/>
        <v>57.199999999999989</v>
      </c>
      <c r="T36" s="5">
        <f t="shared" si="13"/>
        <v>366.59199999999981</v>
      </c>
      <c r="U36" s="1">
        <f t="shared" si="1"/>
        <v>-366.59199999999981</v>
      </c>
    </row>
    <row r="37" spans="1:21">
      <c r="A37" s="4" t="s">
        <v>110</v>
      </c>
      <c r="B37" s="1" t="s">
        <v>60</v>
      </c>
      <c r="C37" s="1">
        <v>6.25</v>
      </c>
      <c r="D37" s="4">
        <f t="shared" si="6"/>
        <v>93.75</v>
      </c>
      <c r="E37" s="1" t="s">
        <v>146</v>
      </c>
      <c r="F37" s="1">
        <f>(31.1+37.6)/2</f>
        <v>34.35</v>
      </c>
      <c r="G37" s="3">
        <f t="shared" si="8"/>
        <v>65.650000000000006</v>
      </c>
      <c r="H37" s="1" t="s">
        <v>39</v>
      </c>
      <c r="I37" s="1">
        <f>(36+42.8)/2</f>
        <v>39.4</v>
      </c>
      <c r="J37" s="4">
        <f t="shared" si="9"/>
        <v>54.35</v>
      </c>
      <c r="K37" s="1" t="s">
        <v>146</v>
      </c>
      <c r="L37" s="1">
        <f>(31.1+37.6)/2</f>
        <v>34.35</v>
      </c>
      <c r="M37" s="3">
        <f>IF(G37-L37&lt;=0, 0,G37- L37)+35</f>
        <v>66.300000000000011</v>
      </c>
      <c r="N37" s="1" t="s">
        <v>39</v>
      </c>
      <c r="O37" s="1">
        <f>(36+42.8)/2</f>
        <v>39.4</v>
      </c>
      <c r="P37" s="4">
        <f t="shared" si="11"/>
        <v>14.950000000000003</v>
      </c>
      <c r="Q37" s="1" t="s">
        <v>61</v>
      </c>
      <c r="R37" s="1">
        <v>0</v>
      </c>
      <c r="S37" s="3">
        <f t="shared" si="12"/>
        <v>66.300000000000011</v>
      </c>
      <c r="T37" s="5">
        <f t="shared" si="13"/>
        <v>525.82400000000007</v>
      </c>
      <c r="U37" s="1">
        <f t="shared" si="1"/>
        <v>-525.82400000000007</v>
      </c>
    </row>
    <row r="1048576" spans="3:3">
      <c r="C1048576" s="1">
        <v>6.25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812BA-8732-447F-9D18-3FA8EA60375E}">
  <dimension ref="A1:U3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defaultRowHeight="18.75"/>
  <cols>
    <col min="1" max="1" width="14.375" style="1" customWidth="1"/>
    <col min="2" max="2" width="9" style="1"/>
    <col min="3" max="3" width="6.5" style="1" customWidth="1"/>
    <col min="4" max="4" width="6.75" style="1" customWidth="1"/>
    <col min="5" max="5" width="9" style="1" customWidth="1"/>
    <col min="6" max="6" width="6" style="1" customWidth="1"/>
    <col min="7" max="7" width="7" style="1" customWidth="1"/>
    <col min="8" max="8" width="9" style="1"/>
    <col min="9" max="9" width="6" style="1" customWidth="1"/>
    <col min="10" max="10" width="7" style="1" customWidth="1"/>
    <col min="11" max="11" width="9" style="1"/>
    <col min="12" max="12" width="6.25" style="1" customWidth="1"/>
    <col min="13" max="13" width="7.5" style="1" customWidth="1"/>
    <col min="14" max="14" width="9" style="1"/>
    <col min="15" max="15" width="6.5" style="1" customWidth="1"/>
    <col min="16" max="16" width="7.5" style="1" customWidth="1"/>
    <col min="17" max="18" width="9" style="1"/>
    <col min="19" max="19" width="7.75" style="1" customWidth="1"/>
    <col min="20" max="16384" width="9" style="1"/>
  </cols>
  <sheetData>
    <row r="1" spans="1:21">
      <c r="A1" s="3" t="s">
        <v>0</v>
      </c>
      <c r="B1" s="3" t="s">
        <v>65</v>
      </c>
      <c r="C1" s="3"/>
      <c r="D1" s="3" t="s">
        <v>48</v>
      </c>
      <c r="E1" s="3" t="s">
        <v>66</v>
      </c>
      <c r="F1" s="3" t="s">
        <v>67</v>
      </c>
      <c r="G1" s="3" t="s">
        <v>49</v>
      </c>
      <c r="H1" s="3" t="s">
        <v>40</v>
      </c>
      <c r="I1" s="3" t="s">
        <v>65</v>
      </c>
      <c r="J1" s="3">
        <v>120</v>
      </c>
      <c r="K1" s="3" t="s">
        <v>57</v>
      </c>
      <c r="L1" s="3" t="s">
        <v>68</v>
      </c>
      <c r="M1" s="3">
        <v>130</v>
      </c>
      <c r="N1" s="3" t="s">
        <v>43</v>
      </c>
      <c r="O1" s="3" t="s">
        <v>69</v>
      </c>
      <c r="P1" s="3">
        <v>85</v>
      </c>
      <c r="Q1" s="3" t="s">
        <v>46</v>
      </c>
      <c r="R1" s="3" t="s">
        <v>70</v>
      </c>
      <c r="S1" s="3">
        <v>70</v>
      </c>
    </row>
    <row r="2" spans="1:21">
      <c r="B2" s="1" t="s">
        <v>54</v>
      </c>
      <c r="H2" s="1" t="s">
        <v>55</v>
      </c>
      <c r="N2" s="1" t="s">
        <v>56</v>
      </c>
    </row>
    <row r="3" spans="1:21">
      <c r="A3" s="4" t="s">
        <v>128</v>
      </c>
      <c r="B3" s="1" t="s">
        <v>35</v>
      </c>
      <c r="C3" s="1" t="s">
        <v>36</v>
      </c>
      <c r="D3" s="4" t="s">
        <v>42</v>
      </c>
      <c r="E3" s="1" t="s">
        <v>37</v>
      </c>
      <c r="F3" s="1" t="s">
        <v>38</v>
      </c>
      <c r="G3" s="3" t="s">
        <v>41</v>
      </c>
      <c r="H3" s="1" t="s">
        <v>35</v>
      </c>
      <c r="I3" s="1" t="s">
        <v>36</v>
      </c>
      <c r="J3" s="4" t="s">
        <v>42</v>
      </c>
      <c r="K3" s="1" t="s">
        <v>37</v>
      </c>
      <c r="L3" s="1" t="s">
        <v>38</v>
      </c>
      <c r="M3" s="3" t="s">
        <v>41</v>
      </c>
      <c r="N3" s="1" t="s">
        <v>35</v>
      </c>
      <c r="O3" s="1" t="s">
        <v>36</v>
      </c>
      <c r="P3" s="4" t="s">
        <v>42</v>
      </c>
      <c r="Q3" s="1" t="s">
        <v>37</v>
      </c>
      <c r="R3" s="1" t="s">
        <v>38</v>
      </c>
      <c r="S3" s="3" t="s">
        <v>41</v>
      </c>
      <c r="T3" s="5" t="s">
        <v>45</v>
      </c>
      <c r="U3" s="1" t="s">
        <v>114</v>
      </c>
    </row>
    <row r="4" spans="1:21">
      <c r="A4" s="4" t="s">
        <v>80</v>
      </c>
      <c r="B4" s="1" t="s">
        <v>34</v>
      </c>
      <c r="D4" s="4"/>
      <c r="G4" s="3"/>
      <c r="J4" s="4"/>
      <c r="M4" s="3"/>
      <c r="P4" s="4"/>
      <c r="S4" s="3"/>
      <c r="T4" s="5"/>
    </row>
    <row r="5" spans="1:21">
      <c r="A5" s="4" t="s">
        <v>79</v>
      </c>
      <c r="B5" s="1" t="s">
        <v>43</v>
      </c>
      <c r="C5" s="1">
        <v>43.6</v>
      </c>
      <c r="D5" s="4">
        <f>100-C5</f>
        <v>56.4</v>
      </c>
      <c r="E5" s="1" t="s">
        <v>44</v>
      </c>
      <c r="F5" s="1">
        <v>66.400000000000006</v>
      </c>
      <c r="G5" s="3">
        <f t="shared" ref="G5:G9" si="0">100-F5-10</f>
        <v>23.599999999999994</v>
      </c>
      <c r="H5" s="1" t="s">
        <v>46</v>
      </c>
      <c r="I5" s="1">
        <v>36</v>
      </c>
      <c r="J5" s="4">
        <f>IF(D5&lt;0, 0, D5-C5)+25</f>
        <v>37.799999999999997</v>
      </c>
      <c r="K5" s="1" t="s">
        <v>44</v>
      </c>
      <c r="L5" s="1">
        <v>66.400000000000006</v>
      </c>
      <c r="M5" s="3">
        <f t="shared" ref="M5:M8" si="1">IF(J5=0, G5, IF(G5&lt;=0, 0, G5-L5-10))</f>
        <v>-52.800000000000011</v>
      </c>
      <c r="P5" s="4">
        <f t="shared" ref="P5:P16" si="2">IF(J5&lt;0, 0, J5-O5)</f>
        <v>37.799999999999997</v>
      </c>
      <c r="S5" s="3">
        <f t="shared" ref="S5:S17" si="3">IF(P5=0, M5, IF(M5&lt;=0, 0, M5-R5-10))</f>
        <v>0</v>
      </c>
      <c r="T5" s="5">
        <f t="shared" ref="T5:T10" si="4">(S5-P5)/100*1024</f>
        <v>-387.07199999999995</v>
      </c>
      <c r="U5" s="1">
        <f>T5*(-1)</f>
        <v>387.07199999999995</v>
      </c>
    </row>
    <row r="6" spans="1:21">
      <c r="A6" s="4" t="s">
        <v>2</v>
      </c>
      <c r="B6" s="2" t="s">
        <v>46</v>
      </c>
      <c r="C6" s="2">
        <v>36</v>
      </c>
      <c r="D6" s="4">
        <f t="shared" ref="D6:D15" si="5">100-C6</f>
        <v>64</v>
      </c>
      <c r="E6" s="1" t="s">
        <v>39</v>
      </c>
      <c r="F6" s="1">
        <v>82.8</v>
      </c>
      <c r="G6" s="3">
        <f t="shared" si="0"/>
        <v>7.2000000000000028</v>
      </c>
      <c r="H6" s="1" t="s">
        <v>46</v>
      </c>
      <c r="I6" s="1">
        <v>36</v>
      </c>
      <c r="J6" s="4">
        <f t="shared" ref="J6:J14" si="6">IF(D6&lt;0, 0, D6-I6)</f>
        <v>28</v>
      </c>
      <c r="K6" s="1" t="s">
        <v>39</v>
      </c>
      <c r="L6" s="1">
        <v>0</v>
      </c>
      <c r="M6" s="3">
        <f t="shared" si="1"/>
        <v>-2.7999999999999972</v>
      </c>
      <c r="P6" s="4">
        <f t="shared" si="2"/>
        <v>28</v>
      </c>
      <c r="S6" s="3">
        <f t="shared" si="3"/>
        <v>0</v>
      </c>
      <c r="T6" s="5">
        <f t="shared" si="4"/>
        <v>-286.72000000000003</v>
      </c>
      <c r="U6" s="1">
        <f t="shared" ref="U6:U37" si="7">T6*(-1)</f>
        <v>286.72000000000003</v>
      </c>
    </row>
    <row r="7" spans="1:21">
      <c r="A7" s="4" t="s">
        <v>81</v>
      </c>
      <c r="B7" s="1" t="s">
        <v>43</v>
      </c>
      <c r="C7" s="1">
        <v>36.4</v>
      </c>
      <c r="D7" s="4">
        <f>100-C7+6.25</f>
        <v>69.849999999999994</v>
      </c>
      <c r="E7" s="1" t="s">
        <v>47</v>
      </c>
      <c r="F7" s="1">
        <v>46.4</v>
      </c>
      <c r="G7" s="3">
        <f t="shared" si="0"/>
        <v>43.6</v>
      </c>
      <c r="H7" s="1" t="s">
        <v>43</v>
      </c>
      <c r="I7" s="1">
        <v>36.4</v>
      </c>
      <c r="J7" s="4">
        <f>IF(D7&lt;0, 0, D7-I7)+6.25</f>
        <v>39.699999999999996</v>
      </c>
      <c r="K7" s="1" t="s">
        <v>47</v>
      </c>
      <c r="L7" s="1">
        <v>46.4</v>
      </c>
      <c r="M7" s="3">
        <f t="shared" si="1"/>
        <v>-12.799999999999997</v>
      </c>
      <c r="P7" s="4">
        <f t="shared" si="2"/>
        <v>39.699999999999996</v>
      </c>
      <c r="S7" s="3">
        <f t="shared" si="3"/>
        <v>0</v>
      </c>
      <c r="T7" s="5">
        <f t="shared" si="4"/>
        <v>-406.52799999999996</v>
      </c>
      <c r="U7" s="1">
        <f t="shared" si="7"/>
        <v>406.52799999999996</v>
      </c>
    </row>
    <row r="8" spans="1:21">
      <c r="A8" s="4" t="s">
        <v>82</v>
      </c>
      <c r="B8" s="1" t="s">
        <v>40</v>
      </c>
      <c r="C8" s="1">
        <v>0</v>
      </c>
      <c r="D8" s="4">
        <f>100-C8-12.5</f>
        <v>87.5</v>
      </c>
      <c r="E8" s="1" t="s">
        <v>50</v>
      </c>
      <c r="F8" s="1">
        <v>0</v>
      </c>
      <c r="G8" s="3">
        <f t="shared" si="0"/>
        <v>90</v>
      </c>
      <c r="H8" s="1" t="s">
        <v>40</v>
      </c>
      <c r="I8" s="1">
        <v>58.4</v>
      </c>
      <c r="J8" s="4">
        <f t="shared" si="6"/>
        <v>29.1</v>
      </c>
      <c r="K8" s="1" t="s">
        <v>51</v>
      </c>
      <c r="L8" s="1">
        <v>107.4</v>
      </c>
      <c r="M8" s="3">
        <f t="shared" si="1"/>
        <v>-27.400000000000006</v>
      </c>
      <c r="P8" s="4">
        <f t="shared" si="2"/>
        <v>29.1</v>
      </c>
      <c r="S8" s="3">
        <f t="shared" si="3"/>
        <v>0</v>
      </c>
      <c r="T8" s="5">
        <f t="shared" si="4"/>
        <v>-297.98400000000004</v>
      </c>
      <c r="U8" s="1">
        <f t="shared" si="7"/>
        <v>297.98400000000004</v>
      </c>
    </row>
    <row r="9" spans="1:21">
      <c r="A9" s="4" t="s">
        <v>83</v>
      </c>
      <c r="B9" s="1" t="s">
        <v>40</v>
      </c>
      <c r="C9" s="1">
        <v>92.9</v>
      </c>
      <c r="D9" s="4">
        <f>100-C9-10</f>
        <v>-2.9000000000000057</v>
      </c>
      <c r="E9" s="1" t="s">
        <v>52</v>
      </c>
      <c r="F9" s="1">
        <v>105.4</v>
      </c>
      <c r="G9" s="3">
        <f t="shared" si="0"/>
        <v>-15.400000000000006</v>
      </c>
      <c r="J9" s="4">
        <f t="shared" si="6"/>
        <v>0</v>
      </c>
      <c r="M9" s="3">
        <f>IF(J9=0, G9, IF(G9&lt;=0, 0, G9-L9-10))</f>
        <v>-15.400000000000006</v>
      </c>
      <c r="P9" s="4">
        <f t="shared" si="2"/>
        <v>0</v>
      </c>
      <c r="S9" s="3">
        <v>0</v>
      </c>
      <c r="T9" s="5">
        <f t="shared" si="4"/>
        <v>0</v>
      </c>
      <c r="U9" s="1">
        <f t="shared" si="7"/>
        <v>0</v>
      </c>
    </row>
    <row r="10" spans="1:21">
      <c r="A10" s="4" t="s">
        <v>6</v>
      </c>
      <c r="B10" s="1" t="s">
        <v>40</v>
      </c>
      <c r="C10" s="1">
        <v>139.80000000000001</v>
      </c>
      <c r="D10" s="4">
        <f t="shared" si="5"/>
        <v>-39.800000000000011</v>
      </c>
      <c r="G10" s="3">
        <f t="shared" ref="G10:G22" si="8">100-F10-10</f>
        <v>90</v>
      </c>
      <c r="J10" s="4">
        <f t="shared" si="6"/>
        <v>0</v>
      </c>
      <c r="M10" s="3">
        <f t="shared" ref="M10:M37" si="9">IF(J10=0, G10, IF(G10&lt;=0, 0, G10-L10-10))</f>
        <v>90</v>
      </c>
      <c r="P10" s="4">
        <f t="shared" si="2"/>
        <v>0</v>
      </c>
      <c r="S10" s="3">
        <f t="shared" si="3"/>
        <v>90</v>
      </c>
      <c r="T10" s="5">
        <f t="shared" si="4"/>
        <v>921.6</v>
      </c>
      <c r="U10" s="1">
        <f t="shared" si="7"/>
        <v>-921.6</v>
      </c>
    </row>
    <row r="11" spans="1:21">
      <c r="A11" s="4" t="s">
        <v>84</v>
      </c>
      <c r="B11" s="1" t="s">
        <v>40</v>
      </c>
      <c r="C11" s="1">
        <v>94.3</v>
      </c>
      <c r="D11" s="4">
        <f>100-C11+6.25</f>
        <v>11.950000000000003</v>
      </c>
      <c r="E11" s="1" t="s">
        <v>53</v>
      </c>
      <c r="F11" s="1">
        <v>30.3</v>
      </c>
      <c r="G11" s="3">
        <f t="shared" si="8"/>
        <v>59.7</v>
      </c>
      <c r="H11" s="1" t="s">
        <v>40</v>
      </c>
      <c r="I11" s="1">
        <v>94.3</v>
      </c>
      <c r="J11" s="4">
        <f t="shared" si="6"/>
        <v>-82.35</v>
      </c>
      <c r="M11" s="3">
        <f t="shared" si="9"/>
        <v>49.7</v>
      </c>
      <c r="P11" s="4">
        <f t="shared" si="2"/>
        <v>0</v>
      </c>
      <c r="S11" s="3">
        <f t="shared" si="3"/>
        <v>49.7</v>
      </c>
      <c r="T11" s="5">
        <f t="shared" ref="T11:T37" si="10">(S11-P11)/100*1024</f>
        <v>508.92800000000005</v>
      </c>
      <c r="U11" s="1">
        <f t="shared" si="7"/>
        <v>-508.92800000000005</v>
      </c>
    </row>
    <row r="12" spans="1:21">
      <c r="A12" s="4" t="s">
        <v>85</v>
      </c>
      <c r="B12" s="1" t="s">
        <v>57</v>
      </c>
      <c r="C12" s="1">
        <v>79.599999999999994</v>
      </c>
      <c r="D12" s="4">
        <f t="shared" si="5"/>
        <v>20.400000000000006</v>
      </c>
      <c r="E12" s="1" t="s">
        <v>58</v>
      </c>
      <c r="F12" s="1">
        <v>42.5</v>
      </c>
      <c r="G12" s="3">
        <f t="shared" si="8"/>
        <v>47.5</v>
      </c>
      <c r="H12" s="1" t="s">
        <v>57</v>
      </c>
      <c r="I12" s="1">
        <v>79.599999999999994</v>
      </c>
      <c r="J12" s="4">
        <f t="shared" si="6"/>
        <v>-59.199999999999989</v>
      </c>
      <c r="M12" s="3">
        <f t="shared" si="9"/>
        <v>37.5</v>
      </c>
      <c r="P12" s="4">
        <f t="shared" si="2"/>
        <v>0</v>
      </c>
      <c r="S12" s="3">
        <f t="shared" si="3"/>
        <v>37.5</v>
      </c>
      <c r="T12" s="5">
        <f t="shared" si="10"/>
        <v>384</v>
      </c>
      <c r="U12" s="1">
        <f t="shared" si="7"/>
        <v>-384</v>
      </c>
    </row>
    <row r="13" spans="1:21">
      <c r="A13" s="4" t="s">
        <v>86</v>
      </c>
      <c r="B13" s="1" t="s">
        <v>40</v>
      </c>
      <c r="C13" s="1">
        <v>151.4</v>
      </c>
      <c r="D13" s="4">
        <f t="shared" si="5"/>
        <v>-51.400000000000006</v>
      </c>
      <c r="E13" s="1" t="s">
        <v>59</v>
      </c>
      <c r="F13" s="1">
        <v>42.5</v>
      </c>
      <c r="G13" s="3">
        <f t="shared" si="8"/>
        <v>47.5</v>
      </c>
      <c r="J13" s="4">
        <f t="shared" si="6"/>
        <v>0</v>
      </c>
      <c r="M13" s="3">
        <f t="shared" si="9"/>
        <v>47.5</v>
      </c>
      <c r="P13" s="4">
        <f t="shared" si="2"/>
        <v>0</v>
      </c>
      <c r="S13" s="3">
        <f t="shared" si="3"/>
        <v>47.5</v>
      </c>
      <c r="T13" s="5">
        <f t="shared" si="10"/>
        <v>486.4</v>
      </c>
      <c r="U13" s="1">
        <f t="shared" si="7"/>
        <v>-486.4</v>
      </c>
    </row>
    <row r="14" spans="1:21">
      <c r="A14" s="4" t="s">
        <v>87</v>
      </c>
      <c r="B14" s="1" t="s">
        <v>57</v>
      </c>
      <c r="C14" s="1">
        <v>129.1</v>
      </c>
      <c r="D14" s="4">
        <f t="shared" si="5"/>
        <v>-29.099999999999994</v>
      </c>
      <c r="G14" s="3">
        <f t="shared" si="8"/>
        <v>90</v>
      </c>
      <c r="J14" s="4">
        <f t="shared" si="6"/>
        <v>0</v>
      </c>
      <c r="M14" s="3">
        <f t="shared" si="9"/>
        <v>90</v>
      </c>
      <c r="P14" s="4">
        <f t="shared" si="2"/>
        <v>0</v>
      </c>
      <c r="S14" s="3">
        <f t="shared" si="3"/>
        <v>90</v>
      </c>
      <c r="T14" s="5">
        <f t="shared" si="10"/>
        <v>921.6</v>
      </c>
      <c r="U14" s="1">
        <f t="shared" si="7"/>
        <v>-921.6</v>
      </c>
    </row>
    <row r="15" spans="1:21">
      <c r="A15" s="4" t="s">
        <v>88</v>
      </c>
      <c r="B15" s="1" t="s">
        <v>57</v>
      </c>
      <c r="C15" s="1">
        <v>44.1</v>
      </c>
      <c r="D15" s="4">
        <f t="shared" si="5"/>
        <v>55.9</v>
      </c>
      <c r="E15" s="1" t="s">
        <v>60</v>
      </c>
      <c r="F15" s="1">
        <v>0</v>
      </c>
      <c r="G15" s="3">
        <f>100-F15-10-6.25</f>
        <v>83.75</v>
      </c>
      <c r="H15" s="1" t="s">
        <v>57</v>
      </c>
      <c r="I15" s="1">
        <v>44.1</v>
      </c>
      <c r="J15" s="4">
        <f>IF(D15&lt;0, 0, D15-I15)+25</f>
        <v>36.799999999999997</v>
      </c>
      <c r="K15" s="1" t="s">
        <v>39</v>
      </c>
      <c r="L15" s="1">
        <v>55.7</v>
      </c>
      <c r="M15" s="3">
        <f>IF(J15=0, G15, IF(G15&lt;=0, 0, G15-L15-10))-6.25</f>
        <v>11.799999999999997</v>
      </c>
      <c r="N15" s="1" t="s">
        <v>61</v>
      </c>
      <c r="O15" s="1">
        <v>0</v>
      </c>
      <c r="P15" s="4">
        <f t="shared" si="2"/>
        <v>36.799999999999997</v>
      </c>
      <c r="Q15" s="1" t="s">
        <v>39</v>
      </c>
      <c r="R15" s="1">
        <v>55.7</v>
      </c>
      <c r="S15" s="3">
        <v>0</v>
      </c>
      <c r="T15" s="5">
        <f t="shared" si="10"/>
        <v>-376.83199999999999</v>
      </c>
      <c r="U15" s="1">
        <f t="shared" si="7"/>
        <v>376.83199999999999</v>
      </c>
    </row>
    <row r="16" spans="1:21">
      <c r="A16" s="4" t="s">
        <v>89</v>
      </c>
      <c r="B16" s="1" t="s">
        <v>46</v>
      </c>
      <c r="C16" s="1">
        <v>111.6</v>
      </c>
      <c r="D16" s="4">
        <f t="shared" ref="D16:D23" si="11">100-C16</f>
        <v>-11.599999999999994</v>
      </c>
      <c r="G16" s="3">
        <f t="shared" si="8"/>
        <v>90</v>
      </c>
      <c r="J16" s="4">
        <f t="shared" ref="J16:J32" si="12">IF(D16&lt;0, 0, D16-I16)</f>
        <v>0</v>
      </c>
      <c r="M16" s="3">
        <f t="shared" si="9"/>
        <v>90</v>
      </c>
      <c r="P16" s="4">
        <f t="shared" si="2"/>
        <v>0</v>
      </c>
      <c r="S16" s="3">
        <f t="shared" si="3"/>
        <v>90</v>
      </c>
      <c r="T16" s="5">
        <f t="shared" si="10"/>
        <v>921.6</v>
      </c>
      <c r="U16" s="1">
        <f t="shared" si="7"/>
        <v>-921.6</v>
      </c>
    </row>
    <row r="17" spans="1:21">
      <c r="A17" s="4" t="s">
        <v>90</v>
      </c>
      <c r="B17" s="1" t="s">
        <v>46</v>
      </c>
      <c r="C17" s="1">
        <v>111.6</v>
      </c>
      <c r="D17" s="4">
        <f t="shared" si="11"/>
        <v>-11.599999999999994</v>
      </c>
      <c r="G17" s="3">
        <f t="shared" si="8"/>
        <v>90</v>
      </c>
      <c r="J17" s="4">
        <f t="shared" si="12"/>
        <v>0</v>
      </c>
      <c r="M17" s="3">
        <f t="shared" si="9"/>
        <v>90</v>
      </c>
      <c r="P17" s="4">
        <f t="shared" ref="P17:P31" si="13">IF(J17&lt;0, 0, J17-O17)</f>
        <v>0</v>
      </c>
      <c r="S17" s="3">
        <f t="shared" si="3"/>
        <v>90</v>
      </c>
      <c r="T17" s="5">
        <f t="shared" si="10"/>
        <v>921.6</v>
      </c>
      <c r="U17" s="1">
        <f t="shared" si="7"/>
        <v>-921.6</v>
      </c>
    </row>
    <row r="18" spans="1:21">
      <c r="A18" s="4" t="s">
        <v>91</v>
      </c>
      <c r="B18" s="1" t="s">
        <v>46</v>
      </c>
      <c r="C18" s="1">
        <v>68.7</v>
      </c>
      <c r="D18" s="4">
        <f>100-C18-10</f>
        <v>21.299999999999997</v>
      </c>
      <c r="E18" s="1" t="s">
        <v>64</v>
      </c>
      <c r="F18" s="1">
        <v>115.4</v>
      </c>
      <c r="G18" s="3">
        <f t="shared" si="8"/>
        <v>-25.400000000000006</v>
      </c>
      <c r="J18" s="4">
        <f t="shared" si="12"/>
        <v>21.299999999999997</v>
      </c>
      <c r="M18" s="3">
        <f t="shared" si="9"/>
        <v>0</v>
      </c>
      <c r="P18" s="4">
        <f t="shared" si="13"/>
        <v>21.299999999999997</v>
      </c>
      <c r="S18" s="3">
        <f t="shared" ref="S18:S37" si="14">IF(P18=0, M18, IF(M18&lt;=0, 0, M18-R18-10))</f>
        <v>0</v>
      </c>
      <c r="T18" s="5">
        <f t="shared" si="10"/>
        <v>-218.11199999999997</v>
      </c>
      <c r="U18" s="1">
        <f t="shared" si="7"/>
        <v>218.11199999999997</v>
      </c>
    </row>
    <row r="19" spans="1:21">
      <c r="A19" s="4" t="s">
        <v>92</v>
      </c>
      <c r="B19" s="1" t="s">
        <v>46</v>
      </c>
      <c r="C19" s="1">
        <v>56.45</v>
      </c>
      <c r="D19" s="4">
        <f t="shared" si="11"/>
        <v>43.55</v>
      </c>
      <c r="E19" s="1" t="s">
        <v>57</v>
      </c>
      <c r="F19" s="1">
        <v>104.15</v>
      </c>
      <c r="G19" s="3">
        <f t="shared" si="8"/>
        <v>-14.150000000000006</v>
      </c>
      <c r="J19" s="4">
        <f t="shared" si="12"/>
        <v>43.55</v>
      </c>
      <c r="M19" s="3">
        <f t="shared" si="9"/>
        <v>0</v>
      </c>
      <c r="P19" s="4">
        <f t="shared" si="13"/>
        <v>43.55</v>
      </c>
      <c r="S19" s="3">
        <f t="shared" si="14"/>
        <v>0</v>
      </c>
      <c r="T19" s="5">
        <f t="shared" si="10"/>
        <v>-445.952</v>
      </c>
      <c r="U19" s="1">
        <f t="shared" si="7"/>
        <v>445.952</v>
      </c>
    </row>
    <row r="20" spans="1:21">
      <c r="A20" s="4" t="s">
        <v>93</v>
      </c>
      <c r="B20" s="1" t="s">
        <v>40</v>
      </c>
      <c r="C20" s="1">
        <v>89.05</v>
      </c>
      <c r="D20" s="4">
        <f t="shared" si="11"/>
        <v>10.950000000000003</v>
      </c>
      <c r="E20" s="1" t="s">
        <v>52</v>
      </c>
      <c r="F20" s="1">
        <v>77.05</v>
      </c>
      <c r="G20" s="3">
        <f t="shared" si="8"/>
        <v>12.950000000000003</v>
      </c>
      <c r="H20" s="1" t="s">
        <v>40</v>
      </c>
      <c r="I20" s="1">
        <v>89.05</v>
      </c>
      <c r="J20" s="4">
        <f t="shared" si="12"/>
        <v>-78.099999999999994</v>
      </c>
      <c r="M20" s="3">
        <f t="shared" si="9"/>
        <v>2.9500000000000028</v>
      </c>
      <c r="P20" s="4">
        <f t="shared" si="13"/>
        <v>0</v>
      </c>
      <c r="S20" s="3">
        <f t="shared" si="14"/>
        <v>2.9500000000000028</v>
      </c>
      <c r="T20" s="5">
        <f t="shared" si="10"/>
        <v>30.20800000000003</v>
      </c>
      <c r="U20" s="1">
        <f t="shared" si="7"/>
        <v>-30.20800000000003</v>
      </c>
    </row>
    <row r="21" spans="1:21">
      <c r="A21" s="4" t="s">
        <v>94</v>
      </c>
      <c r="B21" s="1" t="s">
        <v>40</v>
      </c>
      <c r="C21" s="1">
        <v>136.1</v>
      </c>
      <c r="D21" s="4">
        <f t="shared" si="11"/>
        <v>-36.099999999999994</v>
      </c>
      <c r="E21" s="1" t="s">
        <v>71</v>
      </c>
      <c r="F21" s="1">
        <v>83.5</v>
      </c>
      <c r="G21" s="3">
        <f t="shared" si="8"/>
        <v>6.5</v>
      </c>
      <c r="J21" s="4">
        <f t="shared" si="12"/>
        <v>0</v>
      </c>
      <c r="M21" s="3">
        <f t="shared" si="9"/>
        <v>6.5</v>
      </c>
      <c r="P21" s="4">
        <f t="shared" si="13"/>
        <v>0</v>
      </c>
      <c r="S21" s="3">
        <f t="shared" si="14"/>
        <v>6.5</v>
      </c>
      <c r="T21" s="5">
        <f t="shared" si="10"/>
        <v>66.56</v>
      </c>
      <c r="U21" s="1">
        <f t="shared" si="7"/>
        <v>-66.56</v>
      </c>
    </row>
    <row r="22" spans="1:21">
      <c r="A22" s="4" t="s">
        <v>95</v>
      </c>
      <c r="B22" s="1" t="s">
        <v>40</v>
      </c>
      <c r="C22" s="1">
        <v>105.8</v>
      </c>
      <c r="D22" s="4">
        <f t="shared" si="11"/>
        <v>-5.7999999999999972</v>
      </c>
      <c r="G22" s="3">
        <f t="shared" si="8"/>
        <v>90</v>
      </c>
      <c r="J22" s="4">
        <f t="shared" si="12"/>
        <v>0</v>
      </c>
      <c r="M22" s="3">
        <f t="shared" si="9"/>
        <v>90</v>
      </c>
      <c r="P22" s="4">
        <f t="shared" si="13"/>
        <v>0</v>
      </c>
      <c r="S22" s="3">
        <f t="shared" si="14"/>
        <v>90</v>
      </c>
      <c r="T22" s="5">
        <f t="shared" si="10"/>
        <v>921.6</v>
      </c>
      <c r="U22" s="1">
        <f t="shared" si="7"/>
        <v>-921.6</v>
      </c>
    </row>
    <row r="23" spans="1:21">
      <c r="A23" s="4" t="s">
        <v>96</v>
      </c>
      <c r="B23" s="1" t="s">
        <v>40</v>
      </c>
      <c r="C23" s="1">
        <v>37.85</v>
      </c>
      <c r="D23" s="4">
        <f t="shared" si="11"/>
        <v>62.15</v>
      </c>
      <c r="E23" s="1" t="s">
        <v>73</v>
      </c>
      <c r="F23" s="1">
        <v>0</v>
      </c>
      <c r="G23" s="3">
        <f>100-F23-10</f>
        <v>90</v>
      </c>
      <c r="H23" s="1" t="s">
        <v>40</v>
      </c>
      <c r="I23" s="1">
        <v>26.15</v>
      </c>
      <c r="J23" s="4">
        <f t="shared" si="12"/>
        <v>36</v>
      </c>
      <c r="K23" s="1" t="s">
        <v>72</v>
      </c>
      <c r="L23" s="1">
        <v>0</v>
      </c>
      <c r="M23" s="3">
        <f t="shared" si="9"/>
        <v>80</v>
      </c>
      <c r="N23" s="1" t="s">
        <v>46</v>
      </c>
      <c r="O23" s="1">
        <v>31.45</v>
      </c>
      <c r="P23" s="4">
        <f t="shared" si="13"/>
        <v>4.5500000000000007</v>
      </c>
      <c r="Q23" s="1" t="s">
        <v>74</v>
      </c>
      <c r="R23" s="1">
        <v>36.75</v>
      </c>
      <c r="S23" s="3">
        <f t="shared" si="14"/>
        <v>33.25</v>
      </c>
      <c r="T23" s="5">
        <f t="shared" si="10"/>
        <v>293.88799999999998</v>
      </c>
      <c r="U23" s="1">
        <f t="shared" si="7"/>
        <v>-293.88799999999998</v>
      </c>
    </row>
    <row r="24" spans="1:21">
      <c r="A24" s="4" t="s">
        <v>97</v>
      </c>
      <c r="B24" s="1" t="s">
        <v>57</v>
      </c>
      <c r="C24" s="1">
        <v>129.69999999999999</v>
      </c>
      <c r="D24" s="4">
        <f>100-C24</f>
        <v>-29.699999999999989</v>
      </c>
      <c r="G24" s="3">
        <f>100-F24-10</f>
        <v>90</v>
      </c>
      <c r="J24" s="4">
        <f t="shared" si="12"/>
        <v>0</v>
      </c>
      <c r="M24" s="3">
        <f t="shared" si="9"/>
        <v>90</v>
      </c>
      <c r="P24" s="4">
        <f t="shared" si="13"/>
        <v>0</v>
      </c>
      <c r="S24" s="3">
        <f t="shared" si="14"/>
        <v>90</v>
      </c>
      <c r="T24" s="5">
        <f t="shared" si="10"/>
        <v>921.6</v>
      </c>
      <c r="U24" s="1">
        <f t="shared" si="7"/>
        <v>-921.6</v>
      </c>
    </row>
    <row r="25" spans="1:21">
      <c r="A25" s="4" t="s">
        <v>98</v>
      </c>
      <c r="B25" s="1" t="s">
        <v>40</v>
      </c>
      <c r="C25" s="1">
        <v>21.2</v>
      </c>
      <c r="D25" s="4">
        <f t="shared" ref="D25:D36" si="15">100-C25</f>
        <v>78.8</v>
      </c>
      <c r="E25" s="1" t="s">
        <v>75</v>
      </c>
      <c r="F25" s="1">
        <v>0</v>
      </c>
      <c r="G25" s="3">
        <f t="shared" ref="G25:G37" si="16">100-F25-10</f>
        <v>90</v>
      </c>
      <c r="H25" s="1" t="s">
        <v>46</v>
      </c>
      <c r="I25" s="1">
        <v>49.35</v>
      </c>
      <c r="J25" s="4">
        <f t="shared" si="12"/>
        <v>29.449999999999996</v>
      </c>
      <c r="K25" s="1" t="s">
        <v>76</v>
      </c>
      <c r="L25" s="1">
        <v>93.5</v>
      </c>
      <c r="M25" s="3">
        <f t="shared" si="9"/>
        <v>-13.5</v>
      </c>
      <c r="P25" s="4">
        <f t="shared" si="13"/>
        <v>29.449999999999996</v>
      </c>
      <c r="S25" s="3">
        <f t="shared" si="14"/>
        <v>0</v>
      </c>
      <c r="T25" s="5">
        <f t="shared" si="10"/>
        <v>-301.56799999999998</v>
      </c>
      <c r="U25" s="1">
        <f t="shared" si="7"/>
        <v>301.56799999999998</v>
      </c>
    </row>
    <row r="26" spans="1:21">
      <c r="A26" s="4" t="s">
        <v>99</v>
      </c>
      <c r="B26" s="1" t="s">
        <v>43</v>
      </c>
      <c r="C26" s="1">
        <v>109.95</v>
      </c>
      <c r="D26" s="4">
        <v>1</v>
      </c>
      <c r="E26" s="1" t="s">
        <v>113</v>
      </c>
      <c r="F26" s="1">
        <v>89.95</v>
      </c>
      <c r="G26" s="3">
        <f t="shared" si="16"/>
        <v>4.9999999999997158E-2</v>
      </c>
      <c r="H26" s="1" t="s">
        <v>46</v>
      </c>
      <c r="I26" s="1">
        <v>20.5</v>
      </c>
      <c r="J26" s="4">
        <f t="shared" si="12"/>
        <v>-19.5</v>
      </c>
      <c r="M26" s="3">
        <f t="shared" si="9"/>
        <v>-9.9500000000000028</v>
      </c>
      <c r="P26" s="4">
        <f t="shared" si="13"/>
        <v>0</v>
      </c>
      <c r="S26" s="3">
        <v>0</v>
      </c>
      <c r="T26" s="5">
        <f t="shared" si="10"/>
        <v>0</v>
      </c>
      <c r="U26" s="1">
        <f t="shared" si="7"/>
        <v>0</v>
      </c>
    </row>
    <row r="27" spans="1:21">
      <c r="A27" s="4" t="s">
        <v>100</v>
      </c>
      <c r="B27" s="1" t="s">
        <v>40</v>
      </c>
      <c r="C27" s="1">
        <v>105</v>
      </c>
      <c r="D27" s="4">
        <f t="shared" si="15"/>
        <v>-5</v>
      </c>
      <c r="G27" s="3">
        <f t="shared" si="16"/>
        <v>90</v>
      </c>
      <c r="J27" s="4">
        <f t="shared" si="12"/>
        <v>0</v>
      </c>
      <c r="M27" s="3">
        <f t="shared" si="9"/>
        <v>90</v>
      </c>
      <c r="P27" s="4">
        <f t="shared" si="13"/>
        <v>0</v>
      </c>
      <c r="S27" s="3">
        <f t="shared" si="14"/>
        <v>90</v>
      </c>
      <c r="T27" s="5">
        <f t="shared" si="10"/>
        <v>921.6</v>
      </c>
      <c r="U27" s="1">
        <f t="shared" si="7"/>
        <v>-921.6</v>
      </c>
    </row>
    <row r="28" spans="1:21">
      <c r="A28" s="4" t="s">
        <v>101</v>
      </c>
      <c r="B28" s="1" t="s">
        <v>57</v>
      </c>
      <c r="C28" s="1">
        <v>54.3</v>
      </c>
      <c r="D28" s="4">
        <f>100-C28+25</f>
        <v>70.7</v>
      </c>
      <c r="E28" s="1" t="s">
        <v>60</v>
      </c>
      <c r="F28" s="1">
        <v>0</v>
      </c>
      <c r="G28" s="3">
        <f t="shared" si="16"/>
        <v>90</v>
      </c>
      <c r="H28" s="1" t="s">
        <v>57</v>
      </c>
      <c r="I28" s="1">
        <v>54.3</v>
      </c>
      <c r="J28" s="4">
        <f t="shared" si="12"/>
        <v>16.400000000000006</v>
      </c>
      <c r="K28" s="1" t="s">
        <v>39</v>
      </c>
      <c r="L28" s="1">
        <v>55.15</v>
      </c>
      <c r="M28" s="3">
        <f t="shared" si="9"/>
        <v>24.85</v>
      </c>
      <c r="N28" s="1" t="s">
        <v>61</v>
      </c>
      <c r="O28" s="1">
        <v>0</v>
      </c>
      <c r="P28" s="4">
        <f t="shared" si="13"/>
        <v>16.400000000000006</v>
      </c>
      <c r="Q28" s="1" t="s">
        <v>39</v>
      </c>
      <c r="R28" s="1">
        <v>55.15</v>
      </c>
      <c r="S28" s="3">
        <v>0</v>
      </c>
      <c r="T28" s="5">
        <f t="shared" si="10"/>
        <v>-167.93600000000006</v>
      </c>
      <c r="U28" s="1">
        <f t="shared" si="7"/>
        <v>167.93600000000006</v>
      </c>
    </row>
    <row r="29" spans="1:21">
      <c r="A29" s="4" t="s">
        <v>102</v>
      </c>
      <c r="B29" s="1" t="s">
        <v>40</v>
      </c>
      <c r="C29" s="1">
        <v>166.8</v>
      </c>
      <c r="D29" s="4">
        <f t="shared" si="15"/>
        <v>-66.800000000000011</v>
      </c>
      <c r="G29" s="3">
        <f t="shared" si="16"/>
        <v>90</v>
      </c>
      <c r="J29" s="4">
        <f t="shared" si="12"/>
        <v>0</v>
      </c>
      <c r="M29" s="3">
        <f t="shared" si="9"/>
        <v>90</v>
      </c>
      <c r="P29" s="4">
        <f t="shared" si="13"/>
        <v>0</v>
      </c>
      <c r="S29" s="3">
        <f t="shared" si="14"/>
        <v>90</v>
      </c>
      <c r="T29" s="5">
        <f t="shared" si="10"/>
        <v>921.6</v>
      </c>
      <c r="U29" s="1">
        <f t="shared" si="7"/>
        <v>-921.6</v>
      </c>
    </row>
    <row r="30" spans="1:21">
      <c r="A30" s="4" t="s">
        <v>103</v>
      </c>
      <c r="B30" s="1" t="s">
        <v>46</v>
      </c>
      <c r="C30" s="1">
        <v>30.3</v>
      </c>
      <c r="D30" s="4">
        <f t="shared" si="15"/>
        <v>69.7</v>
      </c>
      <c r="E30" s="1" t="s">
        <v>78</v>
      </c>
      <c r="F30" s="1">
        <v>107.7</v>
      </c>
      <c r="G30" s="3">
        <f t="shared" si="16"/>
        <v>-17.700000000000003</v>
      </c>
      <c r="J30" s="4">
        <f t="shared" si="12"/>
        <v>69.7</v>
      </c>
      <c r="M30" s="3">
        <f t="shared" si="9"/>
        <v>0</v>
      </c>
      <c r="P30" s="4">
        <f t="shared" si="13"/>
        <v>69.7</v>
      </c>
      <c r="S30" s="3">
        <f t="shared" si="14"/>
        <v>0</v>
      </c>
      <c r="T30" s="5">
        <f t="shared" si="10"/>
        <v>-713.72800000000007</v>
      </c>
      <c r="U30" s="1">
        <f t="shared" si="7"/>
        <v>713.72800000000007</v>
      </c>
    </row>
    <row r="31" spans="1:21">
      <c r="A31" s="4" t="s">
        <v>104</v>
      </c>
      <c r="B31" s="1" t="s">
        <v>57</v>
      </c>
      <c r="C31" s="1">
        <v>34.75</v>
      </c>
      <c r="D31" s="4">
        <f t="shared" si="15"/>
        <v>65.25</v>
      </c>
      <c r="E31" s="1" t="s">
        <v>75</v>
      </c>
      <c r="F31" s="1">
        <v>0</v>
      </c>
      <c r="G31" s="3">
        <f t="shared" si="16"/>
        <v>90</v>
      </c>
      <c r="H31" s="1" t="s">
        <v>46</v>
      </c>
      <c r="I31" s="1">
        <v>37.700000000000003</v>
      </c>
      <c r="J31" s="4">
        <f t="shared" si="12"/>
        <v>27.549999999999997</v>
      </c>
      <c r="K31" s="1" t="s">
        <v>76</v>
      </c>
      <c r="L31" s="1">
        <v>93.5</v>
      </c>
      <c r="M31" s="3">
        <f t="shared" si="9"/>
        <v>-13.5</v>
      </c>
      <c r="P31" s="4">
        <f t="shared" si="13"/>
        <v>27.549999999999997</v>
      </c>
      <c r="S31" s="3">
        <f t="shared" si="14"/>
        <v>0</v>
      </c>
      <c r="T31" s="5">
        <f t="shared" si="10"/>
        <v>-282.11199999999997</v>
      </c>
      <c r="U31" s="1">
        <f t="shared" si="7"/>
        <v>282.11199999999997</v>
      </c>
    </row>
    <row r="32" spans="1:21">
      <c r="A32" s="4" t="s">
        <v>105</v>
      </c>
      <c r="B32" s="1" t="s">
        <v>46</v>
      </c>
      <c r="C32" s="1">
        <v>37.700000000000003</v>
      </c>
      <c r="D32" s="4">
        <f t="shared" si="15"/>
        <v>62.3</v>
      </c>
      <c r="E32" s="1" t="s">
        <v>64</v>
      </c>
      <c r="F32" s="1">
        <v>97.05</v>
      </c>
      <c r="G32" s="3">
        <f t="shared" si="16"/>
        <v>-7.0499999999999972</v>
      </c>
      <c r="J32" s="4">
        <f t="shared" si="12"/>
        <v>62.3</v>
      </c>
      <c r="M32" s="3">
        <f t="shared" si="9"/>
        <v>0</v>
      </c>
      <c r="P32" s="4">
        <f t="shared" ref="P32:P37" si="17">IF(J32&lt;0, 0, J32-O32)</f>
        <v>62.3</v>
      </c>
      <c r="S32" s="3">
        <f t="shared" si="14"/>
        <v>0</v>
      </c>
      <c r="T32" s="5">
        <f t="shared" si="10"/>
        <v>-637.952</v>
      </c>
      <c r="U32" s="1">
        <f t="shared" si="7"/>
        <v>637.952</v>
      </c>
    </row>
    <row r="33" spans="1:21">
      <c r="A33" s="4" t="s">
        <v>106</v>
      </c>
      <c r="B33" s="1" t="s">
        <v>57</v>
      </c>
      <c r="C33" s="1">
        <v>100.8</v>
      </c>
      <c r="D33" s="4">
        <f t="shared" si="15"/>
        <v>-0.79999999999999716</v>
      </c>
      <c r="G33" s="3">
        <f t="shared" si="16"/>
        <v>90</v>
      </c>
      <c r="J33" s="4">
        <f t="shared" ref="J33:J37" si="18">IF(D33&lt;0, 0, D33-I33)</f>
        <v>0</v>
      </c>
      <c r="M33" s="3">
        <f t="shared" si="9"/>
        <v>90</v>
      </c>
      <c r="P33" s="4">
        <f t="shared" si="17"/>
        <v>0</v>
      </c>
      <c r="S33" s="3">
        <f t="shared" si="14"/>
        <v>90</v>
      </c>
      <c r="T33" s="5">
        <f t="shared" si="10"/>
        <v>921.6</v>
      </c>
      <c r="U33" s="1">
        <f t="shared" si="7"/>
        <v>-921.6</v>
      </c>
    </row>
    <row r="34" spans="1:21">
      <c r="A34" s="4" t="s">
        <v>107</v>
      </c>
      <c r="B34" s="1" t="s">
        <v>46</v>
      </c>
      <c r="C34" s="1">
        <v>47.85</v>
      </c>
      <c r="D34" s="4">
        <f t="shared" si="15"/>
        <v>52.15</v>
      </c>
      <c r="E34" s="1" t="s">
        <v>111</v>
      </c>
      <c r="F34" s="1">
        <v>75.3</v>
      </c>
      <c r="G34" s="3">
        <f t="shared" si="16"/>
        <v>14.700000000000003</v>
      </c>
      <c r="H34" s="1" t="s">
        <v>46</v>
      </c>
      <c r="I34" s="1">
        <v>47.85</v>
      </c>
      <c r="J34" s="4">
        <f t="shared" si="18"/>
        <v>4.2999999999999972</v>
      </c>
      <c r="K34" s="1" t="s">
        <v>111</v>
      </c>
      <c r="L34" s="1">
        <v>75.3</v>
      </c>
      <c r="M34" s="3">
        <f t="shared" si="9"/>
        <v>-70.599999999999994</v>
      </c>
      <c r="P34" s="4">
        <f t="shared" si="17"/>
        <v>4.2999999999999972</v>
      </c>
      <c r="S34" s="3">
        <f t="shared" si="14"/>
        <v>0</v>
      </c>
      <c r="T34" s="5">
        <f t="shared" si="10"/>
        <v>-44.031999999999968</v>
      </c>
      <c r="U34" s="1">
        <f t="shared" si="7"/>
        <v>44.031999999999968</v>
      </c>
    </row>
    <row r="35" spans="1:21">
      <c r="A35" s="4" t="s">
        <v>108</v>
      </c>
      <c r="B35" s="1" t="s">
        <v>57</v>
      </c>
      <c r="C35" s="1">
        <v>236.2</v>
      </c>
      <c r="D35" s="4">
        <f t="shared" si="15"/>
        <v>-136.19999999999999</v>
      </c>
      <c r="G35" s="3">
        <f>100-F35-10-6.25</f>
        <v>83.75</v>
      </c>
      <c r="J35" s="4">
        <f t="shared" si="18"/>
        <v>0</v>
      </c>
      <c r="M35" s="3">
        <f t="shared" si="9"/>
        <v>83.75</v>
      </c>
      <c r="P35" s="4">
        <f t="shared" si="17"/>
        <v>0</v>
      </c>
      <c r="S35" s="3">
        <f t="shared" si="14"/>
        <v>83.75</v>
      </c>
      <c r="T35" s="5">
        <f t="shared" si="10"/>
        <v>857.6</v>
      </c>
      <c r="U35" s="1">
        <f t="shared" si="7"/>
        <v>-857.6</v>
      </c>
    </row>
    <row r="36" spans="1:21">
      <c r="A36" s="4" t="s">
        <v>109</v>
      </c>
      <c r="B36" s="1" t="s">
        <v>57</v>
      </c>
      <c r="C36" s="1">
        <v>82.5</v>
      </c>
      <c r="D36" s="4">
        <f t="shared" si="15"/>
        <v>17.5</v>
      </c>
      <c r="E36" s="1" t="s">
        <v>76</v>
      </c>
      <c r="F36" s="1">
        <v>91.55</v>
      </c>
      <c r="G36" s="3">
        <f t="shared" si="16"/>
        <v>-1.5499999999999972</v>
      </c>
      <c r="J36" s="4">
        <f t="shared" si="18"/>
        <v>17.5</v>
      </c>
      <c r="M36" s="3">
        <f t="shared" si="9"/>
        <v>0</v>
      </c>
      <c r="P36" s="4">
        <f t="shared" si="17"/>
        <v>17.5</v>
      </c>
      <c r="S36" s="3">
        <f t="shared" si="14"/>
        <v>0</v>
      </c>
      <c r="T36" s="5">
        <f t="shared" si="10"/>
        <v>-179.2</v>
      </c>
      <c r="U36" s="1">
        <f t="shared" si="7"/>
        <v>179.2</v>
      </c>
    </row>
    <row r="37" spans="1:21">
      <c r="A37" s="4" t="s">
        <v>110</v>
      </c>
      <c r="B37" s="1" t="s">
        <v>57</v>
      </c>
      <c r="C37" s="1">
        <v>151.4</v>
      </c>
      <c r="D37" s="4">
        <v>1</v>
      </c>
      <c r="E37" s="1" t="s">
        <v>112</v>
      </c>
      <c r="F37" s="1">
        <v>91.55</v>
      </c>
      <c r="G37" s="3">
        <f t="shared" si="16"/>
        <v>-1.5499999999999972</v>
      </c>
      <c r="J37" s="4">
        <f t="shared" si="18"/>
        <v>1</v>
      </c>
      <c r="M37" s="3">
        <f t="shared" si="9"/>
        <v>0</v>
      </c>
      <c r="P37" s="4">
        <f t="shared" si="17"/>
        <v>1</v>
      </c>
      <c r="S37" s="3">
        <f t="shared" si="14"/>
        <v>0</v>
      </c>
      <c r="T37" s="5">
        <f t="shared" si="10"/>
        <v>-10.24</v>
      </c>
      <c r="U37" s="1">
        <f t="shared" si="7"/>
        <v>10.24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0E97E-AB37-4D07-85A9-E518927B84FF}">
  <dimension ref="A1:Y37"/>
  <sheetViews>
    <sheetView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C36" sqref="C36"/>
    </sheetView>
  </sheetViews>
  <sheetFormatPr defaultRowHeight="18.75"/>
  <cols>
    <col min="1" max="1" width="12.75" style="1" customWidth="1"/>
    <col min="2" max="16384" width="9" style="1"/>
  </cols>
  <sheetData>
    <row r="1" spans="1:25" s="3" customFormat="1">
      <c r="A1" s="3" t="s">
        <v>79</v>
      </c>
      <c r="B1" s="3" t="s">
        <v>115</v>
      </c>
      <c r="C1" s="3" t="s">
        <v>69</v>
      </c>
      <c r="D1" s="3" t="s">
        <v>116</v>
      </c>
      <c r="E1" s="3">
        <v>165</v>
      </c>
      <c r="F1" s="3">
        <v>197</v>
      </c>
      <c r="G1" s="3">
        <v>110</v>
      </c>
      <c r="H1" s="3">
        <v>112</v>
      </c>
      <c r="I1" s="3">
        <v>100</v>
      </c>
      <c r="J1" s="3">
        <v>157</v>
      </c>
      <c r="K1" s="3" t="s">
        <v>66</v>
      </c>
      <c r="L1" s="3" t="s">
        <v>117</v>
      </c>
      <c r="M1" s="3" t="s">
        <v>118</v>
      </c>
      <c r="N1" s="3" t="s">
        <v>39</v>
      </c>
      <c r="O1" s="3" t="s">
        <v>115</v>
      </c>
      <c r="P1" s="3">
        <v>100</v>
      </c>
      <c r="Q1" s="3" t="s">
        <v>119</v>
      </c>
      <c r="R1" s="3" t="s">
        <v>120</v>
      </c>
      <c r="S1" s="3">
        <v>70</v>
      </c>
      <c r="T1" s="3" t="s">
        <v>44</v>
      </c>
      <c r="U1" s="3" t="s">
        <v>121</v>
      </c>
      <c r="V1" s="3">
        <v>60</v>
      </c>
      <c r="W1" s="3" t="s">
        <v>122</v>
      </c>
      <c r="X1" s="3" t="s">
        <v>69</v>
      </c>
      <c r="Y1" s="3">
        <v>90</v>
      </c>
    </row>
    <row r="2" spans="1:25">
      <c r="B2" s="1" t="s">
        <v>54</v>
      </c>
      <c r="H2" s="1" t="s">
        <v>55</v>
      </c>
      <c r="N2" s="1" t="s">
        <v>56</v>
      </c>
    </row>
    <row r="3" spans="1:25">
      <c r="A3" s="4" t="s">
        <v>128</v>
      </c>
      <c r="B3" s="1" t="s">
        <v>35</v>
      </c>
      <c r="C3" s="1" t="s">
        <v>36</v>
      </c>
      <c r="D3" s="4" t="s">
        <v>42</v>
      </c>
      <c r="E3" s="1" t="s">
        <v>37</v>
      </c>
      <c r="F3" s="1" t="s">
        <v>38</v>
      </c>
      <c r="G3" s="3" t="s">
        <v>41</v>
      </c>
      <c r="H3" s="1" t="s">
        <v>35</v>
      </c>
      <c r="I3" s="1" t="s">
        <v>36</v>
      </c>
      <c r="J3" s="4" t="s">
        <v>42</v>
      </c>
      <c r="K3" s="1" t="s">
        <v>37</v>
      </c>
      <c r="L3" s="1" t="s">
        <v>38</v>
      </c>
      <c r="M3" s="3" t="s">
        <v>41</v>
      </c>
      <c r="N3" s="1" t="s">
        <v>35</v>
      </c>
      <c r="O3" s="1" t="s">
        <v>36</v>
      </c>
      <c r="P3" s="4" t="s">
        <v>42</v>
      </c>
      <c r="Q3" s="1" t="s">
        <v>37</v>
      </c>
      <c r="R3" s="1" t="s">
        <v>38</v>
      </c>
      <c r="S3" s="3" t="s">
        <v>41</v>
      </c>
      <c r="T3" s="5" t="s">
        <v>45</v>
      </c>
      <c r="U3" s="1" t="s">
        <v>114</v>
      </c>
    </row>
    <row r="4" spans="1:25">
      <c r="A4" s="4" t="s">
        <v>80</v>
      </c>
      <c r="B4" s="1" t="s">
        <v>123</v>
      </c>
      <c r="D4" s="4"/>
      <c r="G4" s="3"/>
      <c r="J4" s="4"/>
      <c r="M4" s="3"/>
      <c r="P4" s="4"/>
      <c r="S4" s="3"/>
      <c r="T4" s="5"/>
    </row>
    <row r="5" spans="1:25">
      <c r="A5" s="4" t="s">
        <v>79</v>
      </c>
      <c r="B5" s="1" t="s">
        <v>123</v>
      </c>
      <c r="D5" s="4"/>
      <c r="G5" s="3"/>
      <c r="J5" s="4"/>
      <c r="M5" s="3"/>
      <c r="P5" s="4"/>
      <c r="S5" s="3"/>
      <c r="T5" s="5"/>
    </row>
    <row r="6" spans="1:25">
      <c r="A6" s="4" t="s">
        <v>2</v>
      </c>
      <c r="B6" s="1" t="s">
        <v>44</v>
      </c>
      <c r="C6" s="1">
        <v>18.45</v>
      </c>
      <c r="D6" s="4">
        <f>100-C6</f>
        <v>81.55</v>
      </c>
      <c r="E6" s="1" t="s">
        <v>122</v>
      </c>
      <c r="F6" s="1">
        <v>40.549999999999997</v>
      </c>
      <c r="G6" s="3">
        <f t="shared" ref="G6:G37" si="0">IF(AND(100-F6&gt;0, 100-F6&lt;50), 125-F6, 100-F6)</f>
        <v>59.45</v>
      </c>
      <c r="H6" s="1" t="s">
        <v>44</v>
      </c>
      <c r="I6" s="1">
        <v>18.45</v>
      </c>
      <c r="J6" s="4">
        <f>D6-I6</f>
        <v>63.099999999999994</v>
      </c>
      <c r="K6" s="1" t="s">
        <v>122</v>
      </c>
      <c r="L6" s="1">
        <v>40.549999999999997</v>
      </c>
      <c r="M6" s="3">
        <f xml:space="preserve"> G6-L6+25</f>
        <v>43.900000000000006</v>
      </c>
      <c r="N6" s="1" t="s">
        <v>122</v>
      </c>
      <c r="O6" s="1">
        <v>40.549999999999997</v>
      </c>
      <c r="P6" s="4">
        <f>IF(J6-O6&lt;0, 0, J6-O6)</f>
        <v>22.549999999999997</v>
      </c>
      <c r="Q6" s="1" t="s">
        <v>122</v>
      </c>
      <c r="R6" s="1">
        <v>40.549999999999997</v>
      </c>
      <c r="S6" s="3">
        <f>IF(M6-R6&lt;0, 0, M6-R6)</f>
        <v>3.3500000000000085</v>
      </c>
      <c r="T6" s="5">
        <f t="shared" ref="T6" si="1">(S6-P6)/100*1024</f>
        <v>-196.60799999999989</v>
      </c>
      <c r="U6" s="1">
        <f>-1*T6</f>
        <v>196.60799999999989</v>
      </c>
    </row>
    <row r="7" spans="1:25">
      <c r="A7" s="4" t="s">
        <v>81</v>
      </c>
      <c r="B7" s="1" t="s">
        <v>39</v>
      </c>
      <c r="C7" s="1">
        <v>37.799999999999997</v>
      </c>
      <c r="D7" s="4">
        <f>100-C7+6.25</f>
        <v>68.45</v>
      </c>
      <c r="E7" s="1" t="s">
        <v>73</v>
      </c>
      <c r="F7" s="1">
        <v>0</v>
      </c>
      <c r="G7" s="3">
        <f t="shared" si="0"/>
        <v>100</v>
      </c>
      <c r="H7" s="1" t="s">
        <v>39</v>
      </c>
      <c r="I7" s="1">
        <v>37.799999999999997</v>
      </c>
      <c r="J7" s="4">
        <f>D7-I7+6.25</f>
        <v>36.900000000000006</v>
      </c>
      <c r="K7" s="1" t="s">
        <v>125</v>
      </c>
      <c r="L7" s="1">
        <v>107.3</v>
      </c>
      <c r="M7" s="3">
        <f t="shared" ref="M7:M37" si="2" xml:space="preserve"> G7-L7</f>
        <v>-7.2999999999999972</v>
      </c>
      <c r="P7" s="4">
        <f t="shared" ref="P7:P37" si="3">IF(J7-O7&lt;0, 0, J7-O7)</f>
        <v>36.900000000000006</v>
      </c>
      <c r="S7" s="3">
        <f t="shared" ref="S7:S37" si="4">IF(M7-R7&lt;0, 0, M7-R7)</f>
        <v>0</v>
      </c>
      <c r="T7" s="5">
        <f t="shared" ref="T7:T37" si="5">(S7-P7)/100*1024</f>
        <v>-377.85600000000005</v>
      </c>
      <c r="U7" s="1">
        <f t="shared" ref="U7:U37" si="6">-1*T7</f>
        <v>377.85600000000005</v>
      </c>
    </row>
    <row r="8" spans="1:25">
      <c r="A8" s="4" t="s">
        <v>82</v>
      </c>
      <c r="B8" s="1" t="s">
        <v>44</v>
      </c>
      <c r="C8" s="1">
        <v>12.5</v>
      </c>
      <c r="D8" s="4">
        <f t="shared" ref="D8:D37" si="7">100-C8</f>
        <v>87.5</v>
      </c>
      <c r="E8" s="1" t="s">
        <v>50</v>
      </c>
      <c r="F8" s="1">
        <v>0</v>
      </c>
      <c r="G8" s="3">
        <f t="shared" si="0"/>
        <v>100</v>
      </c>
      <c r="H8" s="1" t="s">
        <v>39</v>
      </c>
      <c r="I8" s="1">
        <v>62.15</v>
      </c>
      <c r="J8" s="4">
        <f t="shared" ref="J8:J37" si="8">D8-I8</f>
        <v>25.35</v>
      </c>
      <c r="K8" s="1" t="s">
        <v>51</v>
      </c>
      <c r="L8" s="1">
        <v>65.8</v>
      </c>
      <c r="M8" s="3">
        <f xml:space="preserve"> G8-L8+25</f>
        <v>59.2</v>
      </c>
      <c r="N8" s="1" t="s">
        <v>39</v>
      </c>
      <c r="O8" s="1">
        <v>62.15</v>
      </c>
      <c r="P8" s="4">
        <f t="shared" si="3"/>
        <v>0</v>
      </c>
      <c r="Q8" s="1" t="s">
        <v>126</v>
      </c>
      <c r="R8" s="1">
        <v>30.15</v>
      </c>
      <c r="S8" s="3">
        <f t="shared" si="4"/>
        <v>29.050000000000004</v>
      </c>
      <c r="T8" s="5">
        <f t="shared" si="5"/>
        <v>297.47200000000004</v>
      </c>
      <c r="U8" s="1">
        <f t="shared" si="6"/>
        <v>-297.47200000000004</v>
      </c>
    </row>
    <row r="9" spans="1:25">
      <c r="A9" s="4" t="s">
        <v>83</v>
      </c>
      <c r="B9" s="1" t="s">
        <v>44</v>
      </c>
      <c r="C9" s="1">
        <v>57.45</v>
      </c>
      <c r="D9" s="4">
        <f>100-C9-10</f>
        <v>32.549999999999997</v>
      </c>
      <c r="E9" s="1" t="s">
        <v>52</v>
      </c>
      <c r="F9" s="1">
        <v>103.3</v>
      </c>
      <c r="G9" s="3">
        <f t="shared" si="0"/>
        <v>-3.2999999999999972</v>
      </c>
      <c r="J9" s="4">
        <f t="shared" si="8"/>
        <v>32.549999999999997</v>
      </c>
      <c r="M9" s="3">
        <f t="shared" si="2"/>
        <v>-3.2999999999999972</v>
      </c>
      <c r="P9" s="4">
        <f t="shared" si="3"/>
        <v>32.549999999999997</v>
      </c>
      <c r="S9" s="3">
        <f t="shared" si="4"/>
        <v>0</v>
      </c>
      <c r="T9" s="5">
        <f t="shared" si="5"/>
        <v>-333.31199999999995</v>
      </c>
      <c r="U9" s="1">
        <f t="shared" si="6"/>
        <v>333.31199999999995</v>
      </c>
    </row>
    <row r="10" spans="1:25">
      <c r="A10" s="4" t="s">
        <v>6</v>
      </c>
      <c r="B10" s="1" t="s">
        <v>44</v>
      </c>
      <c r="C10" s="1">
        <v>23.35</v>
      </c>
      <c r="D10" s="4">
        <f>100-C10-10</f>
        <v>66.650000000000006</v>
      </c>
      <c r="E10" s="1" t="s">
        <v>127</v>
      </c>
      <c r="F10" s="1">
        <v>68.150000000000006</v>
      </c>
      <c r="G10" s="3">
        <f>IF(AND(100-F10&gt;0, 100-F10&lt;50), 125-F10, 100-F10)</f>
        <v>56.849999999999994</v>
      </c>
      <c r="H10" s="1" t="s">
        <v>44</v>
      </c>
      <c r="I10" s="1">
        <v>23.35</v>
      </c>
      <c r="J10" s="4">
        <f>D10-I10-10</f>
        <v>33.300000000000004</v>
      </c>
      <c r="K10" s="1" t="s">
        <v>127</v>
      </c>
      <c r="L10" s="1">
        <v>68.150000000000006</v>
      </c>
      <c r="M10" s="3">
        <f t="shared" si="2"/>
        <v>-11.300000000000011</v>
      </c>
      <c r="P10" s="4">
        <f t="shared" si="3"/>
        <v>33.300000000000004</v>
      </c>
      <c r="S10" s="3">
        <f t="shared" si="4"/>
        <v>0</v>
      </c>
      <c r="T10" s="5">
        <f t="shared" si="5"/>
        <v>-340.99200000000002</v>
      </c>
      <c r="U10" s="1">
        <f t="shared" si="6"/>
        <v>340.99200000000002</v>
      </c>
    </row>
    <row r="11" spans="1:25">
      <c r="A11" s="4" t="s">
        <v>84</v>
      </c>
      <c r="B11" s="1" t="s">
        <v>44</v>
      </c>
      <c r="C11" s="1">
        <v>14.4</v>
      </c>
      <c r="D11" s="4">
        <f>100</f>
        <v>100</v>
      </c>
      <c r="E11" s="1" t="s">
        <v>130</v>
      </c>
      <c r="F11" s="1">
        <v>12.5</v>
      </c>
      <c r="G11" s="3">
        <f t="shared" si="0"/>
        <v>87.5</v>
      </c>
      <c r="H11" s="1" t="s">
        <v>44</v>
      </c>
      <c r="I11" s="1">
        <v>0</v>
      </c>
      <c r="J11" s="4">
        <f t="shared" si="8"/>
        <v>100</v>
      </c>
      <c r="K11" s="1" t="s">
        <v>131</v>
      </c>
      <c r="L11" s="1">
        <v>12.5</v>
      </c>
      <c r="M11" s="3">
        <f t="shared" si="2"/>
        <v>75</v>
      </c>
      <c r="N11" s="1" t="s">
        <v>44</v>
      </c>
      <c r="O11" s="1">
        <v>14.4</v>
      </c>
      <c r="P11" s="4">
        <v>100</v>
      </c>
      <c r="Q11" s="1" t="s">
        <v>53</v>
      </c>
      <c r="R11" s="1">
        <f>43.6+12.5</f>
        <v>56.1</v>
      </c>
      <c r="S11" s="3">
        <f>IF(M11-R11&lt;0, 0, M11-R11)+25</f>
        <v>43.9</v>
      </c>
      <c r="T11" s="5">
        <f t="shared" si="5"/>
        <v>-574.46400000000006</v>
      </c>
      <c r="U11" s="1">
        <f t="shared" si="6"/>
        <v>574.46400000000006</v>
      </c>
    </row>
    <row r="12" spans="1:25">
      <c r="A12" s="4" t="s">
        <v>85</v>
      </c>
      <c r="B12" s="1" t="s">
        <v>39</v>
      </c>
      <c r="C12" s="1">
        <v>27.85</v>
      </c>
      <c r="D12" s="4">
        <f t="shared" si="7"/>
        <v>72.150000000000006</v>
      </c>
      <c r="E12" s="1" t="s">
        <v>74</v>
      </c>
      <c r="F12" s="1">
        <v>155.1</v>
      </c>
      <c r="G12" s="3">
        <f t="shared" si="0"/>
        <v>-55.099999999999994</v>
      </c>
      <c r="J12" s="4">
        <f t="shared" si="8"/>
        <v>72.150000000000006</v>
      </c>
      <c r="M12" s="3">
        <f t="shared" si="2"/>
        <v>-55.099999999999994</v>
      </c>
      <c r="P12" s="4">
        <f t="shared" si="3"/>
        <v>72.150000000000006</v>
      </c>
      <c r="S12" s="3">
        <f t="shared" si="4"/>
        <v>0</v>
      </c>
      <c r="T12" s="5">
        <f t="shared" si="5"/>
        <v>-738.81600000000003</v>
      </c>
      <c r="U12" s="1">
        <f t="shared" si="6"/>
        <v>738.81600000000003</v>
      </c>
    </row>
    <row r="13" spans="1:25">
      <c r="A13" s="4" t="s">
        <v>86</v>
      </c>
      <c r="B13" s="1" t="s">
        <v>122</v>
      </c>
      <c r="C13" s="1">
        <v>0</v>
      </c>
      <c r="D13" s="4">
        <f t="shared" si="7"/>
        <v>100</v>
      </c>
      <c r="E13" s="1" t="s">
        <v>59</v>
      </c>
      <c r="F13" s="1">
        <v>46.9</v>
      </c>
      <c r="G13" s="3">
        <f t="shared" si="0"/>
        <v>53.1</v>
      </c>
      <c r="H13" s="1" t="s">
        <v>122</v>
      </c>
      <c r="I13" s="1">
        <v>104</v>
      </c>
      <c r="J13" s="4">
        <f t="shared" si="8"/>
        <v>-4</v>
      </c>
      <c r="M13" s="3">
        <f t="shared" si="2"/>
        <v>53.1</v>
      </c>
      <c r="P13" s="4">
        <f t="shared" si="3"/>
        <v>0</v>
      </c>
      <c r="S13" s="3">
        <f t="shared" si="4"/>
        <v>53.1</v>
      </c>
      <c r="T13" s="5">
        <f t="shared" si="5"/>
        <v>543.74400000000003</v>
      </c>
      <c r="U13" s="1">
        <f t="shared" si="6"/>
        <v>-543.74400000000003</v>
      </c>
    </row>
    <row r="14" spans="1:25">
      <c r="A14" s="4" t="s">
        <v>87</v>
      </c>
      <c r="B14" s="1" t="s">
        <v>136</v>
      </c>
      <c r="D14" s="4">
        <f>100-C14</f>
        <v>100</v>
      </c>
      <c r="E14" s="1" t="s">
        <v>132</v>
      </c>
      <c r="F14" s="1">
        <v>109.6</v>
      </c>
      <c r="G14" s="3">
        <f t="shared" si="0"/>
        <v>-9.5999999999999943</v>
      </c>
      <c r="J14" s="4">
        <f t="shared" si="8"/>
        <v>100</v>
      </c>
      <c r="M14" s="3">
        <f t="shared" si="2"/>
        <v>-9.5999999999999943</v>
      </c>
      <c r="P14" s="4">
        <f t="shared" si="3"/>
        <v>100</v>
      </c>
      <c r="S14" s="3">
        <f t="shared" si="4"/>
        <v>0</v>
      </c>
      <c r="T14" s="5">
        <f t="shared" si="5"/>
        <v>-1024</v>
      </c>
      <c r="U14" s="1">
        <f t="shared" si="6"/>
        <v>1024</v>
      </c>
    </row>
    <row r="15" spans="1:25">
      <c r="A15" s="4" t="s">
        <v>88</v>
      </c>
      <c r="B15" s="1" t="s">
        <v>39</v>
      </c>
      <c r="C15" s="1">
        <v>46.25</v>
      </c>
      <c r="D15" s="4">
        <f t="shared" si="7"/>
        <v>53.75</v>
      </c>
      <c r="E15" s="1" t="s">
        <v>60</v>
      </c>
      <c r="F15" s="1">
        <v>0</v>
      </c>
      <c r="G15" s="3">
        <f t="shared" si="0"/>
        <v>100</v>
      </c>
      <c r="H15" s="1" t="s">
        <v>39</v>
      </c>
      <c r="I15" s="1">
        <v>46.25</v>
      </c>
      <c r="J15" s="4">
        <f>D15-I15+25</f>
        <v>32.5</v>
      </c>
      <c r="K15" s="1" t="s">
        <v>133</v>
      </c>
      <c r="L15" s="1">
        <v>0</v>
      </c>
      <c r="M15" s="3">
        <f t="shared" si="2"/>
        <v>100</v>
      </c>
      <c r="N15" s="1" t="s">
        <v>61</v>
      </c>
      <c r="O15" s="1">
        <v>0</v>
      </c>
      <c r="P15" s="4">
        <f t="shared" si="3"/>
        <v>32.5</v>
      </c>
      <c r="Q15" s="1" t="s">
        <v>134</v>
      </c>
      <c r="R15" s="1">
        <v>12.5</v>
      </c>
      <c r="S15" s="3">
        <f t="shared" si="4"/>
        <v>87.5</v>
      </c>
      <c r="T15" s="5">
        <f t="shared" si="5"/>
        <v>563.20000000000005</v>
      </c>
      <c r="U15" s="1">
        <f t="shared" si="6"/>
        <v>-563.20000000000005</v>
      </c>
    </row>
    <row r="16" spans="1:25">
      <c r="A16" s="4" t="s">
        <v>89</v>
      </c>
      <c r="B16" s="1" t="s">
        <v>39</v>
      </c>
      <c r="C16" s="1">
        <v>39.200000000000003</v>
      </c>
      <c r="D16" s="4">
        <f t="shared" si="7"/>
        <v>60.8</v>
      </c>
      <c r="E16" s="1" t="s">
        <v>63</v>
      </c>
      <c r="F16" s="1">
        <v>6.25</v>
      </c>
      <c r="G16" s="3">
        <f t="shared" si="0"/>
        <v>93.75</v>
      </c>
      <c r="H16" s="1" t="s">
        <v>39</v>
      </c>
      <c r="I16" s="1">
        <v>39.200000000000003</v>
      </c>
      <c r="J16" s="4">
        <f>D16-I16-10</f>
        <v>11.599999999999994</v>
      </c>
      <c r="K16" s="1" t="s">
        <v>62</v>
      </c>
      <c r="L16" s="1">
        <v>78.150000000000006</v>
      </c>
      <c r="M16" s="3">
        <f xml:space="preserve"> G16-L16+25-6.25</f>
        <v>34.349999999999994</v>
      </c>
      <c r="P16" s="4">
        <f>IF(J16-O16&lt;0, 0, J16-O16)-10</f>
        <v>1.5999999999999943</v>
      </c>
      <c r="Q16" s="1" t="s">
        <v>62</v>
      </c>
      <c r="R16" s="1">
        <v>78.150000000000006</v>
      </c>
      <c r="S16" s="3">
        <f t="shared" si="4"/>
        <v>0</v>
      </c>
      <c r="T16" s="5">
        <f t="shared" si="5"/>
        <v>-16.383999999999943</v>
      </c>
      <c r="U16" s="1">
        <f t="shared" si="6"/>
        <v>16.383999999999943</v>
      </c>
    </row>
    <row r="17" spans="1:21">
      <c r="A17" s="4" t="s">
        <v>90</v>
      </c>
      <c r="B17" s="1" t="s">
        <v>39</v>
      </c>
      <c r="C17" s="1">
        <v>39.200000000000003</v>
      </c>
      <c r="D17" s="4">
        <f t="shared" si="7"/>
        <v>60.8</v>
      </c>
      <c r="E17" s="1" t="s">
        <v>63</v>
      </c>
      <c r="F17" s="1">
        <v>6.25</v>
      </c>
      <c r="G17" s="3">
        <f t="shared" si="0"/>
        <v>93.75</v>
      </c>
      <c r="J17" s="4">
        <f t="shared" si="8"/>
        <v>60.8</v>
      </c>
      <c r="K17" s="1" t="s">
        <v>64</v>
      </c>
      <c r="L17" s="1">
        <v>95.7</v>
      </c>
      <c r="M17" s="3">
        <f t="shared" si="2"/>
        <v>-1.9500000000000028</v>
      </c>
      <c r="P17" s="4">
        <f t="shared" si="3"/>
        <v>60.8</v>
      </c>
      <c r="S17" s="3">
        <f t="shared" si="4"/>
        <v>0</v>
      </c>
      <c r="T17" s="5">
        <f t="shared" si="5"/>
        <v>-622.59199999999998</v>
      </c>
      <c r="U17" s="1">
        <f t="shared" si="6"/>
        <v>622.59199999999998</v>
      </c>
    </row>
    <row r="18" spans="1:21">
      <c r="A18" s="4" t="s">
        <v>91</v>
      </c>
      <c r="B18" s="1" t="s">
        <v>136</v>
      </c>
      <c r="D18" s="4">
        <f>100-C18-10</f>
        <v>90</v>
      </c>
      <c r="E18" s="1" t="s">
        <v>64</v>
      </c>
      <c r="F18" s="1">
        <v>104.2</v>
      </c>
      <c r="G18" s="3">
        <f t="shared" si="0"/>
        <v>-4.2000000000000028</v>
      </c>
      <c r="J18" s="4">
        <f t="shared" si="8"/>
        <v>90</v>
      </c>
      <c r="M18" s="3">
        <f t="shared" si="2"/>
        <v>-4.2000000000000028</v>
      </c>
      <c r="P18" s="4">
        <f t="shared" si="3"/>
        <v>90</v>
      </c>
      <c r="S18" s="3">
        <f t="shared" si="4"/>
        <v>0</v>
      </c>
      <c r="T18" s="5">
        <f t="shared" si="5"/>
        <v>-921.6</v>
      </c>
      <c r="U18" s="1">
        <f t="shared" si="6"/>
        <v>921.6</v>
      </c>
    </row>
    <row r="19" spans="1:21">
      <c r="A19" s="4" t="s">
        <v>92</v>
      </c>
      <c r="B19" s="1" t="s">
        <v>136</v>
      </c>
      <c r="D19" s="4">
        <f t="shared" si="7"/>
        <v>100</v>
      </c>
      <c r="E19" s="1" t="s">
        <v>135</v>
      </c>
      <c r="F19" s="1">
        <v>145.4</v>
      </c>
      <c r="G19" s="3">
        <f t="shared" si="0"/>
        <v>-45.400000000000006</v>
      </c>
      <c r="J19" s="4">
        <f t="shared" si="8"/>
        <v>100</v>
      </c>
      <c r="M19" s="3">
        <f t="shared" si="2"/>
        <v>-45.400000000000006</v>
      </c>
      <c r="P19" s="4">
        <f t="shared" si="3"/>
        <v>100</v>
      </c>
      <c r="S19" s="3">
        <f t="shared" si="4"/>
        <v>0</v>
      </c>
      <c r="T19" s="5">
        <f t="shared" si="5"/>
        <v>-1024</v>
      </c>
      <c r="U19" s="1">
        <f t="shared" si="6"/>
        <v>1024</v>
      </c>
    </row>
    <row r="20" spans="1:21">
      <c r="A20" s="4" t="s">
        <v>93</v>
      </c>
      <c r="B20" s="1" t="s">
        <v>44</v>
      </c>
      <c r="C20" s="1">
        <v>54.45</v>
      </c>
      <c r="D20" s="4">
        <f t="shared" si="7"/>
        <v>45.55</v>
      </c>
      <c r="E20" s="1" t="s">
        <v>137</v>
      </c>
      <c r="F20" s="1">
        <v>127.8</v>
      </c>
      <c r="G20" s="3">
        <f t="shared" si="0"/>
        <v>-27.799999999999997</v>
      </c>
      <c r="J20" s="4">
        <f t="shared" si="8"/>
        <v>45.55</v>
      </c>
      <c r="M20" s="3">
        <f t="shared" si="2"/>
        <v>-27.799999999999997</v>
      </c>
      <c r="P20" s="4">
        <f t="shared" si="3"/>
        <v>45.55</v>
      </c>
      <c r="S20" s="3">
        <f t="shared" si="4"/>
        <v>0</v>
      </c>
      <c r="T20" s="5">
        <f t="shared" si="5"/>
        <v>-466.43199999999996</v>
      </c>
      <c r="U20" s="1">
        <f t="shared" si="6"/>
        <v>466.43199999999996</v>
      </c>
    </row>
    <row r="21" spans="1:21">
      <c r="A21" s="4" t="s">
        <v>94</v>
      </c>
      <c r="B21" s="1" t="s">
        <v>39</v>
      </c>
      <c r="C21" s="1">
        <v>205.1</v>
      </c>
      <c r="D21" s="4">
        <f t="shared" si="7"/>
        <v>-105.1</v>
      </c>
      <c r="E21" s="1" t="s">
        <v>138</v>
      </c>
      <c r="F21" s="1">
        <v>62.65</v>
      </c>
      <c r="G21" s="3">
        <f t="shared" si="0"/>
        <v>62.35</v>
      </c>
      <c r="J21" s="4">
        <f t="shared" si="8"/>
        <v>-105.1</v>
      </c>
      <c r="M21" s="3">
        <f t="shared" si="2"/>
        <v>62.35</v>
      </c>
      <c r="P21" s="4">
        <f t="shared" si="3"/>
        <v>0</v>
      </c>
      <c r="S21" s="3">
        <f t="shared" si="4"/>
        <v>62.35</v>
      </c>
      <c r="T21" s="5">
        <f t="shared" si="5"/>
        <v>638.46400000000006</v>
      </c>
      <c r="U21" s="1">
        <f t="shared" si="6"/>
        <v>-638.46400000000006</v>
      </c>
    </row>
    <row r="22" spans="1:21">
      <c r="A22" s="4" t="s">
        <v>95</v>
      </c>
      <c r="B22" s="1" t="s">
        <v>39</v>
      </c>
      <c r="C22" s="1">
        <v>87.15</v>
      </c>
      <c r="D22" s="4">
        <f t="shared" si="7"/>
        <v>12.849999999999994</v>
      </c>
      <c r="E22" s="1" t="s">
        <v>139</v>
      </c>
      <c r="F22" s="1">
        <v>232.7</v>
      </c>
      <c r="G22" s="3">
        <f>IF(AND(100-F22&gt;0, 100-F22&lt;50), 125-F22, 100-F22)</f>
        <v>-132.69999999999999</v>
      </c>
      <c r="J22" s="4">
        <f t="shared" si="8"/>
        <v>12.849999999999994</v>
      </c>
      <c r="M22" s="3">
        <f t="shared" si="2"/>
        <v>-132.69999999999999</v>
      </c>
      <c r="P22" s="4">
        <f t="shared" si="3"/>
        <v>12.849999999999994</v>
      </c>
      <c r="S22" s="3">
        <f t="shared" si="4"/>
        <v>0</v>
      </c>
      <c r="T22" s="5">
        <f t="shared" si="5"/>
        <v>-131.58399999999995</v>
      </c>
      <c r="U22" s="1">
        <f t="shared" si="6"/>
        <v>131.58399999999995</v>
      </c>
    </row>
    <row r="23" spans="1:21">
      <c r="A23" s="4" t="s">
        <v>96</v>
      </c>
      <c r="B23" s="1" t="s">
        <v>119</v>
      </c>
      <c r="C23" s="1">
        <v>27.25</v>
      </c>
      <c r="D23" s="4">
        <f t="shared" si="7"/>
        <v>72.75</v>
      </c>
      <c r="E23" s="1" t="s">
        <v>74</v>
      </c>
      <c r="F23" s="1">
        <v>89.65</v>
      </c>
      <c r="G23" s="3">
        <f t="shared" si="0"/>
        <v>35.349999999999994</v>
      </c>
      <c r="H23" s="1" t="s">
        <v>119</v>
      </c>
      <c r="I23" s="1">
        <v>18.45</v>
      </c>
      <c r="J23" s="4">
        <f t="shared" si="8"/>
        <v>54.3</v>
      </c>
      <c r="K23" s="1" t="s">
        <v>74</v>
      </c>
      <c r="L23" s="1">
        <v>89.65</v>
      </c>
      <c r="M23" s="3">
        <f t="shared" si="2"/>
        <v>-54.300000000000011</v>
      </c>
      <c r="P23" s="4">
        <f t="shared" si="3"/>
        <v>54.3</v>
      </c>
      <c r="S23" s="3">
        <f t="shared" si="4"/>
        <v>0</v>
      </c>
      <c r="T23" s="5">
        <f t="shared" si="5"/>
        <v>-556.03199999999993</v>
      </c>
      <c r="U23" s="1">
        <f t="shared" si="6"/>
        <v>556.03199999999993</v>
      </c>
    </row>
    <row r="24" spans="1:21">
      <c r="A24" s="4" t="s">
        <v>97</v>
      </c>
      <c r="B24" s="1" t="s">
        <v>39</v>
      </c>
      <c r="C24" s="1">
        <v>177.7</v>
      </c>
      <c r="D24" s="4">
        <f t="shared" si="7"/>
        <v>-77.699999999999989</v>
      </c>
      <c r="G24" s="3">
        <f t="shared" si="0"/>
        <v>100</v>
      </c>
      <c r="J24" s="4">
        <f t="shared" si="8"/>
        <v>-77.699999999999989</v>
      </c>
      <c r="M24" s="3">
        <f t="shared" si="2"/>
        <v>100</v>
      </c>
      <c r="P24" s="4">
        <f t="shared" si="3"/>
        <v>0</v>
      </c>
      <c r="S24" s="3">
        <f t="shared" si="4"/>
        <v>100</v>
      </c>
      <c r="T24" s="5">
        <f t="shared" si="5"/>
        <v>1024</v>
      </c>
      <c r="U24" s="1">
        <f t="shared" si="6"/>
        <v>-1024</v>
      </c>
    </row>
    <row r="25" spans="1:21">
      <c r="A25" s="4" t="s">
        <v>98</v>
      </c>
      <c r="B25" s="1" t="s">
        <v>44</v>
      </c>
      <c r="C25" s="1">
        <v>25.85</v>
      </c>
      <c r="D25" s="4">
        <f t="shared" si="7"/>
        <v>74.150000000000006</v>
      </c>
      <c r="E25" s="1" t="s">
        <v>76</v>
      </c>
      <c r="F25" s="1">
        <v>103.6</v>
      </c>
      <c r="G25" s="3">
        <f t="shared" si="0"/>
        <v>-3.5999999999999943</v>
      </c>
      <c r="J25" s="4">
        <f t="shared" si="8"/>
        <v>74.150000000000006</v>
      </c>
      <c r="M25" s="3">
        <f t="shared" si="2"/>
        <v>-3.5999999999999943</v>
      </c>
      <c r="P25" s="4">
        <f t="shared" si="3"/>
        <v>74.150000000000006</v>
      </c>
      <c r="S25" s="3">
        <f t="shared" si="4"/>
        <v>0</v>
      </c>
      <c r="T25" s="5">
        <f t="shared" si="5"/>
        <v>-759.29600000000005</v>
      </c>
      <c r="U25" s="1">
        <f t="shared" si="6"/>
        <v>759.29600000000005</v>
      </c>
    </row>
    <row r="26" spans="1:21">
      <c r="A26" s="4" t="s">
        <v>99</v>
      </c>
      <c r="B26" s="1" t="s">
        <v>136</v>
      </c>
      <c r="D26" s="4">
        <f>100-C26</f>
        <v>100</v>
      </c>
      <c r="E26" s="1" t="s">
        <v>113</v>
      </c>
      <c r="F26" s="1">
        <v>134.5</v>
      </c>
      <c r="G26" s="3">
        <f>IF(AND(100-F26&gt;0, 100-F26&lt;50), 125-F26, 100-F26)</f>
        <v>-34.5</v>
      </c>
      <c r="J26" s="4">
        <f t="shared" si="8"/>
        <v>100</v>
      </c>
      <c r="M26" s="3">
        <f t="shared" si="2"/>
        <v>-34.5</v>
      </c>
      <c r="P26" s="4">
        <f t="shared" si="3"/>
        <v>100</v>
      </c>
      <c r="S26" s="3">
        <f t="shared" si="4"/>
        <v>0</v>
      </c>
      <c r="T26" s="5">
        <f t="shared" si="5"/>
        <v>-1024</v>
      </c>
      <c r="U26" s="1">
        <f t="shared" si="6"/>
        <v>1024</v>
      </c>
    </row>
    <row r="27" spans="1:21">
      <c r="A27" s="4" t="s">
        <v>100</v>
      </c>
      <c r="B27" s="1" t="s">
        <v>39</v>
      </c>
      <c r="C27" s="1">
        <v>39.35</v>
      </c>
      <c r="D27" s="4">
        <f t="shared" si="7"/>
        <v>60.65</v>
      </c>
      <c r="E27" s="1" t="s">
        <v>140</v>
      </c>
      <c r="F27" s="1">
        <v>227.8</v>
      </c>
      <c r="G27" s="3">
        <f t="shared" si="0"/>
        <v>-127.80000000000001</v>
      </c>
      <c r="J27" s="4">
        <f t="shared" si="8"/>
        <v>60.65</v>
      </c>
      <c r="M27" s="3">
        <f t="shared" si="2"/>
        <v>-127.80000000000001</v>
      </c>
      <c r="P27" s="4">
        <f t="shared" si="3"/>
        <v>60.65</v>
      </c>
      <c r="S27" s="3">
        <f t="shared" si="4"/>
        <v>0</v>
      </c>
      <c r="T27" s="5">
        <f t="shared" si="5"/>
        <v>-621.05600000000004</v>
      </c>
      <c r="U27" s="1">
        <f t="shared" si="6"/>
        <v>621.05600000000004</v>
      </c>
    </row>
    <row r="28" spans="1:21">
      <c r="A28" s="4" t="s">
        <v>101</v>
      </c>
      <c r="B28" s="1" t="s">
        <v>39</v>
      </c>
      <c r="C28" s="1">
        <v>37.85</v>
      </c>
      <c r="D28" s="4">
        <f t="shared" si="7"/>
        <v>62.15</v>
      </c>
      <c r="E28" s="1" t="s">
        <v>60</v>
      </c>
      <c r="F28" s="1">
        <v>0</v>
      </c>
      <c r="G28" s="3">
        <f t="shared" si="0"/>
        <v>100</v>
      </c>
      <c r="H28" s="1" t="s">
        <v>39</v>
      </c>
      <c r="I28" s="1">
        <v>37.85</v>
      </c>
      <c r="J28" s="4">
        <f>D28-I28+25</f>
        <v>49.3</v>
      </c>
      <c r="K28" s="1" t="s">
        <v>141</v>
      </c>
      <c r="L28" s="1">
        <v>36.35</v>
      </c>
      <c r="M28" s="3">
        <f t="shared" si="2"/>
        <v>63.65</v>
      </c>
      <c r="N28" s="1" t="s">
        <v>61</v>
      </c>
      <c r="O28" s="1">
        <v>0</v>
      </c>
      <c r="P28" s="4">
        <f t="shared" si="3"/>
        <v>49.3</v>
      </c>
      <c r="Q28" s="1" t="s">
        <v>141</v>
      </c>
      <c r="R28" s="1">
        <v>36.35</v>
      </c>
      <c r="S28" s="3">
        <f>IF(M28-R28&lt;0, 0, M28-R28)+25</f>
        <v>52.3</v>
      </c>
      <c r="T28" s="5">
        <f t="shared" si="5"/>
        <v>30.72</v>
      </c>
      <c r="U28" s="1">
        <f t="shared" si="6"/>
        <v>-30.72</v>
      </c>
    </row>
    <row r="29" spans="1:21">
      <c r="A29" s="4" t="s">
        <v>102</v>
      </c>
      <c r="B29" s="1" t="s">
        <v>39</v>
      </c>
      <c r="C29" s="1">
        <v>34.200000000000003</v>
      </c>
      <c r="D29" s="4">
        <f>100-C29+6.25+165/8</f>
        <v>92.674999999999997</v>
      </c>
      <c r="E29" s="1" t="s">
        <v>130</v>
      </c>
      <c r="F29" s="1">
        <v>12.5</v>
      </c>
      <c r="G29" s="3">
        <f t="shared" si="0"/>
        <v>87.5</v>
      </c>
      <c r="H29" s="1" t="s">
        <v>39</v>
      </c>
      <c r="I29" s="1">
        <v>0</v>
      </c>
      <c r="J29" s="4">
        <f>100</f>
        <v>100</v>
      </c>
      <c r="K29" s="1" t="s">
        <v>131</v>
      </c>
      <c r="L29" s="1">
        <v>12.5</v>
      </c>
      <c r="M29" s="3">
        <f t="shared" si="2"/>
        <v>75</v>
      </c>
      <c r="N29" s="1" t="s">
        <v>39</v>
      </c>
      <c r="O29" s="1">
        <v>34.200000000000003</v>
      </c>
      <c r="P29" s="4">
        <f>IF(J29-O29&lt;0, 0, J29-O29)+6.25+165/8</f>
        <v>92.674999999999997</v>
      </c>
      <c r="Q29" s="1" t="s">
        <v>142</v>
      </c>
      <c r="R29" s="1">
        <f>38.75+12.5</f>
        <v>51.25</v>
      </c>
      <c r="S29" s="3">
        <f>IF(M29-R29&lt;0, 0, M29-R29)+25</f>
        <v>48.75</v>
      </c>
      <c r="T29" s="5">
        <f t="shared" si="5"/>
        <v>-449.79199999999997</v>
      </c>
      <c r="U29" s="1">
        <f t="shared" si="6"/>
        <v>449.79199999999997</v>
      </c>
    </row>
    <row r="30" spans="1:21">
      <c r="A30" s="4" t="s">
        <v>103</v>
      </c>
      <c r="B30" s="1" t="s">
        <v>39</v>
      </c>
      <c r="C30" s="1">
        <v>146.19999999999999</v>
      </c>
      <c r="D30" s="4">
        <f t="shared" si="7"/>
        <v>-46.199999999999989</v>
      </c>
      <c r="E30" s="1" t="s">
        <v>143</v>
      </c>
      <c r="F30" s="1">
        <v>66.05</v>
      </c>
      <c r="G30" s="3">
        <f t="shared" si="0"/>
        <v>58.95</v>
      </c>
      <c r="J30" s="4">
        <f t="shared" si="8"/>
        <v>-46.199999999999989</v>
      </c>
      <c r="M30" s="3">
        <f t="shared" si="2"/>
        <v>58.95</v>
      </c>
      <c r="P30" s="4">
        <f t="shared" si="3"/>
        <v>0</v>
      </c>
      <c r="S30" s="3">
        <f t="shared" si="4"/>
        <v>58.95</v>
      </c>
      <c r="T30" s="5">
        <f t="shared" si="5"/>
        <v>603.64800000000002</v>
      </c>
      <c r="U30" s="1">
        <f t="shared" si="6"/>
        <v>-603.64800000000002</v>
      </c>
    </row>
    <row r="31" spans="1:21">
      <c r="A31" s="4" t="s">
        <v>104</v>
      </c>
      <c r="B31" s="1" t="s">
        <v>44</v>
      </c>
      <c r="C31" s="1">
        <v>38.549999999999997</v>
      </c>
      <c r="D31" s="4">
        <f t="shared" si="7"/>
        <v>61.45</v>
      </c>
      <c r="E31" s="1" t="s">
        <v>75</v>
      </c>
      <c r="F31" s="1">
        <v>0</v>
      </c>
      <c r="G31" s="3">
        <f t="shared" si="0"/>
        <v>100</v>
      </c>
      <c r="H31" s="1" t="s">
        <v>44</v>
      </c>
      <c r="I31" s="1">
        <v>38.549999999999997</v>
      </c>
      <c r="J31" s="4">
        <f>D31-I31-10</f>
        <v>12.900000000000006</v>
      </c>
      <c r="K31" s="1" t="s">
        <v>76</v>
      </c>
      <c r="L31" s="1">
        <v>99.05</v>
      </c>
      <c r="M31" s="3">
        <f xml:space="preserve"> G31-L31+25</f>
        <v>25.950000000000003</v>
      </c>
      <c r="N31" s="1" t="s">
        <v>44</v>
      </c>
      <c r="O31" s="1">
        <v>38.549999999999997</v>
      </c>
      <c r="P31" s="4">
        <f t="shared" si="3"/>
        <v>0</v>
      </c>
      <c r="S31" s="3">
        <f t="shared" si="4"/>
        <v>25.950000000000003</v>
      </c>
      <c r="T31" s="5">
        <f t="shared" si="5"/>
        <v>265.72800000000001</v>
      </c>
      <c r="U31" s="1">
        <f t="shared" si="6"/>
        <v>-265.72800000000001</v>
      </c>
    </row>
    <row r="32" spans="1:21">
      <c r="A32" s="4" t="s">
        <v>105</v>
      </c>
      <c r="B32" s="1" t="s">
        <v>44</v>
      </c>
      <c r="C32" s="1">
        <v>38.549999999999997</v>
      </c>
      <c r="D32" s="4">
        <f t="shared" si="7"/>
        <v>61.45</v>
      </c>
      <c r="E32" s="1" t="s">
        <v>64</v>
      </c>
      <c r="F32" s="1">
        <v>107.8</v>
      </c>
      <c r="G32" s="3">
        <f t="shared" si="0"/>
        <v>-7.7999999999999972</v>
      </c>
      <c r="J32" s="4">
        <f t="shared" si="8"/>
        <v>61.45</v>
      </c>
      <c r="M32" s="3">
        <f t="shared" si="2"/>
        <v>-7.7999999999999972</v>
      </c>
      <c r="P32" s="4">
        <f t="shared" si="3"/>
        <v>61.45</v>
      </c>
      <c r="S32" s="3">
        <f t="shared" si="4"/>
        <v>0</v>
      </c>
      <c r="T32" s="5">
        <f t="shared" si="5"/>
        <v>-629.24800000000005</v>
      </c>
      <c r="U32" s="1">
        <f t="shared" si="6"/>
        <v>629.24800000000005</v>
      </c>
    </row>
    <row r="33" spans="1:21">
      <c r="A33" s="4" t="s">
        <v>106</v>
      </c>
      <c r="B33" s="1" t="s">
        <v>44</v>
      </c>
      <c r="C33" s="1">
        <v>30.8</v>
      </c>
      <c r="D33" s="4">
        <f t="shared" si="7"/>
        <v>69.2</v>
      </c>
      <c r="E33" s="1" t="s">
        <v>144</v>
      </c>
      <c r="F33" s="1">
        <v>117.5</v>
      </c>
      <c r="G33" s="3">
        <f t="shared" si="0"/>
        <v>-17.5</v>
      </c>
      <c r="J33" s="4">
        <f t="shared" si="8"/>
        <v>69.2</v>
      </c>
      <c r="M33" s="3">
        <f t="shared" si="2"/>
        <v>-17.5</v>
      </c>
      <c r="P33" s="4">
        <f t="shared" si="3"/>
        <v>69.2</v>
      </c>
      <c r="S33" s="3">
        <f t="shared" si="4"/>
        <v>0</v>
      </c>
      <c r="T33" s="5">
        <f t="shared" si="5"/>
        <v>-708.60800000000006</v>
      </c>
      <c r="U33" s="1">
        <f t="shared" si="6"/>
        <v>708.60800000000006</v>
      </c>
    </row>
    <row r="34" spans="1:21">
      <c r="A34" s="4" t="s">
        <v>107</v>
      </c>
      <c r="B34" s="1" t="s">
        <v>136</v>
      </c>
      <c r="D34" s="4">
        <f t="shared" si="7"/>
        <v>100</v>
      </c>
      <c r="E34" s="1" t="s">
        <v>111</v>
      </c>
      <c r="F34" s="1">
        <v>164.8</v>
      </c>
      <c r="G34" s="3">
        <f t="shared" si="0"/>
        <v>-64.800000000000011</v>
      </c>
      <c r="J34" s="4">
        <f t="shared" si="8"/>
        <v>100</v>
      </c>
      <c r="M34" s="3">
        <f t="shared" si="2"/>
        <v>-64.800000000000011</v>
      </c>
      <c r="P34" s="4">
        <f t="shared" si="3"/>
        <v>100</v>
      </c>
      <c r="S34" s="3">
        <f t="shared" si="4"/>
        <v>0</v>
      </c>
      <c r="T34" s="5">
        <f t="shared" si="5"/>
        <v>-1024</v>
      </c>
      <c r="U34" s="1">
        <f t="shared" si="6"/>
        <v>1024</v>
      </c>
    </row>
    <row r="35" spans="1:21">
      <c r="A35" s="4" t="s">
        <v>108</v>
      </c>
      <c r="B35" s="1" t="s">
        <v>39</v>
      </c>
      <c r="C35" s="1">
        <v>90.3</v>
      </c>
      <c r="D35" s="4">
        <f t="shared" si="7"/>
        <v>9.7000000000000028</v>
      </c>
      <c r="E35" s="1" t="s">
        <v>145</v>
      </c>
      <c r="F35" s="1">
        <v>93.3</v>
      </c>
      <c r="G35" s="3">
        <f t="shared" si="0"/>
        <v>31.700000000000003</v>
      </c>
      <c r="H35" s="1" t="s">
        <v>39</v>
      </c>
      <c r="I35" s="1">
        <v>90.3</v>
      </c>
      <c r="J35" s="4">
        <f t="shared" si="8"/>
        <v>-80.599999999999994</v>
      </c>
      <c r="M35" s="3">
        <f t="shared" si="2"/>
        <v>31.700000000000003</v>
      </c>
      <c r="P35" s="4">
        <f t="shared" si="3"/>
        <v>0</v>
      </c>
      <c r="S35" s="3">
        <f t="shared" si="4"/>
        <v>31.700000000000003</v>
      </c>
      <c r="T35" s="5">
        <f t="shared" si="5"/>
        <v>324.608</v>
      </c>
      <c r="U35" s="1">
        <f t="shared" si="6"/>
        <v>-324.608</v>
      </c>
    </row>
    <row r="36" spans="1:21">
      <c r="A36" s="4" t="s">
        <v>109</v>
      </c>
      <c r="B36" s="1" t="s">
        <v>39</v>
      </c>
      <c r="C36" s="1">
        <v>57.9</v>
      </c>
      <c r="D36" s="4">
        <f t="shared" si="7"/>
        <v>42.1</v>
      </c>
      <c r="E36" s="1" t="s">
        <v>50</v>
      </c>
      <c r="F36" s="1">
        <v>0</v>
      </c>
      <c r="G36" s="3">
        <f t="shared" si="0"/>
        <v>100</v>
      </c>
      <c r="J36" s="4">
        <f t="shared" si="8"/>
        <v>42.1</v>
      </c>
      <c r="K36" s="1" t="s">
        <v>76</v>
      </c>
      <c r="L36" s="1">
        <v>102.4</v>
      </c>
      <c r="M36" s="3">
        <f t="shared" si="2"/>
        <v>-2.4000000000000057</v>
      </c>
      <c r="P36" s="4">
        <f t="shared" si="3"/>
        <v>42.1</v>
      </c>
      <c r="S36" s="3">
        <f t="shared" si="4"/>
        <v>0</v>
      </c>
      <c r="T36" s="5">
        <f t="shared" si="5"/>
        <v>-431.10400000000004</v>
      </c>
      <c r="U36" s="1">
        <f t="shared" si="6"/>
        <v>431.10400000000004</v>
      </c>
    </row>
    <row r="37" spans="1:21">
      <c r="A37" s="4" t="s">
        <v>110</v>
      </c>
      <c r="B37" s="1" t="s">
        <v>39</v>
      </c>
      <c r="C37" s="1">
        <v>57.65</v>
      </c>
      <c r="D37" s="4">
        <f t="shared" si="7"/>
        <v>42.35</v>
      </c>
      <c r="E37" s="1" t="s">
        <v>146</v>
      </c>
      <c r="F37" s="1">
        <v>75.400000000000006</v>
      </c>
      <c r="G37" s="3">
        <f t="shared" si="0"/>
        <v>49.599999999999994</v>
      </c>
      <c r="J37" s="4">
        <f t="shared" si="8"/>
        <v>42.35</v>
      </c>
      <c r="K37" s="1" t="s">
        <v>146</v>
      </c>
      <c r="L37" s="1">
        <v>75.400000000000006</v>
      </c>
      <c r="M37" s="3">
        <f t="shared" si="2"/>
        <v>-25.800000000000011</v>
      </c>
      <c r="P37" s="4">
        <f t="shared" si="3"/>
        <v>42.35</v>
      </c>
      <c r="S37" s="3">
        <f t="shared" si="4"/>
        <v>0</v>
      </c>
      <c r="T37" s="5">
        <f t="shared" si="5"/>
        <v>-433.66399999999999</v>
      </c>
      <c r="U37" s="1">
        <f t="shared" si="6"/>
        <v>433.66399999999999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9835-3FEE-451B-8F2D-DFDC56CAF827}">
  <dimension ref="A1:Y38"/>
  <sheetViews>
    <sheetView topLeftCell="A2" zoomScaleNormal="100" workbookViewId="0">
      <pane xSplit="1" ySplit="3" topLeftCell="B5" activePane="bottomRight" state="frozen"/>
      <selection activeCell="A2" sqref="A2"/>
      <selection pane="topRight" activeCell="B2" sqref="B2"/>
      <selection pane="bottomLeft" activeCell="A5" sqref="A5"/>
      <selection pane="bottomRight" activeCell="E40" sqref="E40"/>
    </sheetView>
  </sheetViews>
  <sheetFormatPr defaultRowHeight="18.75"/>
  <cols>
    <col min="1" max="1" width="15.5" style="1" customWidth="1"/>
    <col min="2" max="16384" width="9" style="1"/>
  </cols>
  <sheetData>
    <row r="1" spans="1:25">
      <c r="A1" s="7" t="s">
        <v>2</v>
      </c>
      <c r="B1" s="7" t="s">
        <v>115</v>
      </c>
      <c r="C1" s="7" t="s">
        <v>69</v>
      </c>
      <c r="D1" s="7" t="s">
        <v>116</v>
      </c>
      <c r="E1" s="7">
        <v>165</v>
      </c>
      <c r="F1" s="7">
        <v>197</v>
      </c>
      <c r="G1" s="7">
        <v>110</v>
      </c>
      <c r="H1" s="7">
        <v>112</v>
      </c>
      <c r="I1" s="7">
        <v>100</v>
      </c>
      <c r="J1" s="7">
        <v>157</v>
      </c>
      <c r="K1" s="7" t="s">
        <v>66</v>
      </c>
      <c r="L1" s="7" t="s">
        <v>117</v>
      </c>
      <c r="M1" s="7" t="s">
        <v>147</v>
      </c>
      <c r="N1" s="7" t="s">
        <v>39</v>
      </c>
      <c r="O1" s="7" t="s">
        <v>115</v>
      </c>
      <c r="P1" s="7">
        <v>100</v>
      </c>
      <c r="Q1" s="7" t="s">
        <v>119</v>
      </c>
      <c r="R1" s="7" t="s">
        <v>120</v>
      </c>
      <c r="S1" s="7">
        <v>70</v>
      </c>
      <c r="T1" s="7" t="s">
        <v>124</v>
      </c>
      <c r="U1" s="7" t="s">
        <v>121</v>
      </c>
      <c r="V1" s="7">
        <v>100</v>
      </c>
      <c r="W1" s="7" t="s">
        <v>122</v>
      </c>
      <c r="X1" s="7" t="s">
        <v>69</v>
      </c>
      <c r="Y1" s="7">
        <v>90</v>
      </c>
    </row>
    <row r="2" spans="1:25">
      <c r="A2" s="3" t="s">
        <v>2</v>
      </c>
      <c r="B2" s="3" t="s">
        <v>115</v>
      </c>
      <c r="C2" s="3" t="s">
        <v>69</v>
      </c>
      <c r="D2" s="3" t="s">
        <v>116</v>
      </c>
      <c r="E2" s="3">
        <v>165</v>
      </c>
      <c r="F2" s="3">
        <v>197</v>
      </c>
      <c r="G2" s="3">
        <v>110</v>
      </c>
      <c r="H2" s="3">
        <v>112</v>
      </c>
      <c r="I2" s="3">
        <v>100</v>
      </c>
      <c r="J2" s="3">
        <v>157</v>
      </c>
      <c r="K2" s="3" t="s">
        <v>66</v>
      </c>
      <c r="L2" s="3" t="s">
        <v>117</v>
      </c>
      <c r="M2" s="3" t="s">
        <v>147</v>
      </c>
      <c r="N2" s="3" t="s">
        <v>39</v>
      </c>
      <c r="O2" s="3" t="s">
        <v>115</v>
      </c>
      <c r="P2" s="3">
        <v>100</v>
      </c>
      <c r="Q2" s="3" t="s">
        <v>119</v>
      </c>
      <c r="R2" s="3" t="s">
        <v>120</v>
      </c>
      <c r="S2" s="3">
        <v>70</v>
      </c>
      <c r="T2" s="3" t="s">
        <v>124</v>
      </c>
      <c r="U2" s="3" t="s">
        <v>121</v>
      </c>
      <c r="V2" s="3">
        <v>100</v>
      </c>
      <c r="W2" s="3" t="s">
        <v>122</v>
      </c>
      <c r="X2" s="3" t="s">
        <v>69</v>
      </c>
      <c r="Y2" s="3">
        <v>90</v>
      </c>
    </row>
    <row r="3" spans="1:25">
      <c r="A3" s="1" t="s">
        <v>148</v>
      </c>
      <c r="B3" s="1" t="s">
        <v>54</v>
      </c>
      <c r="H3" s="1" t="s">
        <v>55</v>
      </c>
      <c r="N3" s="1" t="s">
        <v>56</v>
      </c>
    </row>
    <row r="4" spans="1:25">
      <c r="A4" s="4" t="s">
        <v>128</v>
      </c>
      <c r="B4" s="1" t="s">
        <v>35</v>
      </c>
      <c r="C4" s="1" t="s">
        <v>36</v>
      </c>
      <c r="D4" s="4" t="s">
        <v>42</v>
      </c>
      <c r="E4" s="1" t="s">
        <v>37</v>
      </c>
      <c r="F4" s="1" t="s">
        <v>38</v>
      </c>
      <c r="G4" s="3" t="s">
        <v>41</v>
      </c>
      <c r="H4" s="1" t="s">
        <v>35</v>
      </c>
      <c r="I4" s="1" t="s">
        <v>36</v>
      </c>
      <c r="J4" s="4" t="s">
        <v>42</v>
      </c>
      <c r="K4" s="1" t="s">
        <v>37</v>
      </c>
      <c r="L4" s="1" t="s">
        <v>38</v>
      </c>
      <c r="M4" s="3" t="s">
        <v>41</v>
      </c>
      <c r="N4" s="1" t="s">
        <v>35</v>
      </c>
      <c r="O4" s="1" t="s">
        <v>36</v>
      </c>
      <c r="P4" s="4" t="s">
        <v>42</v>
      </c>
      <c r="Q4" s="1" t="s">
        <v>37</v>
      </c>
      <c r="R4" s="1" t="s">
        <v>38</v>
      </c>
      <c r="S4" s="3" t="s">
        <v>41</v>
      </c>
      <c r="T4" s="5" t="s">
        <v>45</v>
      </c>
      <c r="U4" s="1" t="s">
        <v>114</v>
      </c>
    </row>
    <row r="5" spans="1:25">
      <c r="A5" s="4" t="s">
        <v>80</v>
      </c>
      <c r="B5" s="1" t="s">
        <v>123</v>
      </c>
      <c r="D5" s="6"/>
      <c r="G5" s="6"/>
      <c r="J5" s="6"/>
      <c r="M5" s="6"/>
    </row>
    <row r="6" spans="1:25">
      <c r="A6" s="4" t="s">
        <v>79</v>
      </c>
      <c r="B6" s="1" t="s">
        <v>123</v>
      </c>
    </row>
    <row r="7" spans="1:25">
      <c r="A7" s="4" t="s">
        <v>2</v>
      </c>
      <c r="B7" s="1" t="s">
        <v>123</v>
      </c>
    </row>
    <row r="8" spans="1:25">
      <c r="A8" s="4" t="s">
        <v>81</v>
      </c>
      <c r="B8" s="1" t="s">
        <v>39</v>
      </c>
      <c r="C8" s="1">
        <v>37.799999999999997</v>
      </c>
      <c r="D8" s="4">
        <f>100-C8+6.25</f>
        <v>68.45</v>
      </c>
      <c r="E8" s="1" t="s">
        <v>73</v>
      </c>
      <c r="F8" s="1">
        <v>0</v>
      </c>
      <c r="G8" s="3">
        <f xml:space="preserve"> 100-F8</f>
        <v>100</v>
      </c>
      <c r="H8" s="1" t="s">
        <v>39</v>
      </c>
      <c r="I8" s="1">
        <v>37.799999999999997</v>
      </c>
      <c r="J8" s="4">
        <f>D8-I8+6.25</f>
        <v>36.900000000000006</v>
      </c>
      <c r="K8" s="1" t="s">
        <v>125</v>
      </c>
      <c r="L8" s="1">
        <v>107.3</v>
      </c>
      <c r="M8" s="3">
        <f t="shared" ref="M8:M38" si="0" xml:space="preserve"> G8-L8</f>
        <v>-7.2999999999999972</v>
      </c>
      <c r="P8" s="4">
        <f>IF(J8-O8&lt;0, 0, J8-O8)</f>
        <v>36.900000000000006</v>
      </c>
      <c r="S8" s="3">
        <f>IF(M8-R8&lt;0, 0, M8-R8)</f>
        <v>0</v>
      </c>
      <c r="T8" s="5">
        <f t="shared" ref="T8" si="1">(S8-P8)/100*1024</f>
        <v>-377.85600000000005</v>
      </c>
      <c r="U8" s="1">
        <f>-1*T8</f>
        <v>377.85600000000005</v>
      </c>
    </row>
    <row r="9" spans="1:25">
      <c r="A9" s="4" t="s">
        <v>82</v>
      </c>
      <c r="B9" s="1" t="s">
        <v>39</v>
      </c>
      <c r="C9" s="1">
        <v>12.5</v>
      </c>
      <c r="D9" s="4">
        <f t="shared" ref="D9:D38" si="2">100-C9</f>
        <v>87.5</v>
      </c>
      <c r="E9" s="1" t="s">
        <v>50</v>
      </c>
      <c r="F9" s="1">
        <v>0</v>
      </c>
      <c r="G9" s="3">
        <f t="shared" ref="G9:G38" si="3" xml:space="preserve"> 100-F9</f>
        <v>100</v>
      </c>
      <c r="H9" s="1" t="s">
        <v>39</v>
      </c>
      <c r="I9" s="1">
        <v>62.15</v>
      </c>
      <c r="J9" s="4">
        <f t="shared" ref="J9:J38" si="4">D9-I9</f>
        <v>25.35</v>
      </c>
      <c r="K9" s="1" t="s">
        <v>51</v>
      </c>
      <c r="L9" s="1">
        <v>65.8</v>
      </c>
      <c r="M9" s="3">
        <f t="shared" si="0"/>
        <v>34.200000000000003</v>
      </c>
      <c r="N9" s="1" t="s">
        <v>39</v>
      </c>
      <c r="O9" s="1">
        <v>62.15</v>
      </c>
      <c r="P9" s="4">
        <f t="shared" ref="P9:P38" si="5">IF(J9-O9&lt;0, 0, J9-O9)</f>
        <v>0</v>
      </c>
      <c r="Q9" s="1" t="s">
        <v>126</v>
      </c>
      <c r="R9" s="1">
        <v>30.15</v>
      </c>
      <c r="S9" s="3">
        <f t="shared" ref="S9:S38" si="6">IF(M9-R9&lt;0, 0, M9-R9)</f>
        <v>4.0500000000000043</v>
      </c>
      <c r="T9" s="5">
        <f t="shared" ref="T9:T38" si="7">(S9-P9)/100*1024</f>
        <v>41.472000000000044</v>
      </c>
      <c r="U9" s="1">
        <f t="shared" ref="U9:U38" si="8">-1*T9</f>
        <v>-41.472000000000044</v>
      </c>
    </row>
    <row r="10" spans="1:25">
      <c r="A10" s="4" t="s">
        <v>83</v>
      </c>
      <c r="B10" s="1" t="s">
        <v>124</v>
      </c>
      <c r="C10" s="1">
        <v>92.7</v>
      </c>
      <c r="D10" s="4">
        <f>100-C10-10</f>
        <v>-2.7000000000000028</v>
      </c>
      <c r="E10" s="1" t="s">
        <v>52</v>
      </c>
      <c r="F10" s="1">
        <v>103.3</v>
      </c>
      <c r="G10" s="3">
        <f t="shared" si="3"/>
        <v>-3.2999999999999972</v>
      </c>
      <c r="J10" s="4">
        <f t="shared" si="4"/>
        <v>-2.7000000000000028</v>
      </c>
      <c r="M10" s="3">
        <f t="shared" si="0"/>
        <v>-3.2999999999999972</v>
      </c>
      <c r="P10" s="4">
        <f t="shared" si="5"/>
        <v>0</v>
      </c>
      <c r="S10" s="3">
        <f t="shared" si="6"/>
        <v>0</v>
      </c>
      <c r="T10" s="5">
        <f t="shared" si="7"/>
        <v>0</v>
      </c>
      <c r="U10" s="1">
        <f t="shared" si="8"/>
        <v>0</v>
      </c>
    </row>
    <row r="11" spans="1:25">
      <c r="A11" s="4" t="s">
        <v>6</v>
      </c>
      <c r="B11" s="1" t="s">
        <v>124</v>
      </c>
      <c r="C11" s="1">
        <v>38.4</v>
      </c>
      <c r="D11" s="4">
        <f>100-C11-10</f>
        <v>51.6</v>
      </c>
      <c r="E11" s="1" t="s">
        <v>127</v>
      </c>
      <c r="F11" s="1">
        <v>68.150000000000006</v>
      </c>
      <c r="G11" s="3">
        <f t="shared" si="3"/>
        <v>31.849999999999994</v>
      </c>
      <c r="H11" s="1" t="s">
        <v>124</v>
      </c>
      <c r="I11" s="1">
        <v>38.4</v>
      </c>
      <c r="J11" s="4">
        <f>D11-I11-10</f>
        <v>3.2000000000000028</v>
      </c>
      <c r="K11" s="1" t="s">
        <v>127</v>
      </c>
      <c r="L11" s="1">
        <v>68.150000000000006</v>
      </c>
      <c r="M11" s="3">
        <f t="shared" si="0"/>
        <v>-36.300000000000011</v>
      </c>
      <c r="P11" s="4">
        <f t="shared" si="5"/>
        <v>3.2000000000000028</v>
      </c>
      <c r="S11" s="3">
        <f t="shared" si="6"/>
        <v>0</v>
      </c>
      <c r="T11" s="5">
        <f t="shared" si="7"/>
        <v>-32.768000000000029</v>
      </c>
      <c r="U11" s="1">
        <f t="shared" si="8"/>
        <v>32.768000000000029</v>
      </c>
    </row>
    <row r="12" spans="1:25">
      <c r="A12" s="4" t="s">
        <v>84</v>
      </c>
      <c r="B12" s="1" t="s">
        <v>124</v>
      </c>
      <c r="C12" s="1">
        <v>23.45</v>
      </c>
      <c r="D12" s="4">
        <v>100</v>
      </c>
      <c r="E12" s="1" t="s">
        <v>130</v>
      </c>
      <c r="F12" s="1">
        <v>12.5</v>
      </c>
      <c r="G12" s="3">
        <f t="shared" si="3"/>
        <v>87.5</v>
      </c>
      <c r="H12" s="1" t="s">
        <v>124</v>
      </c>
      <c r="I12" s="1">
        <v>0</v>
      </c>
      <c r="J12" s="4">
        <f t="shared" si="4"/>
        <v>100</v>
      </c>
      <c r="K12" s="1" t="s">
        <v>131</v>
      </c>
      <c r="L12" s="1">
        <v>12.5</v>
      </c>
      <c r="M12" s="3">
        <f t="shared" si="0"/>
        <v>75</v>
      </c>
      <c r="N12" s="1" t="s">
        <v>124</v>
      </c>
      <c r="O12" s="1">
        <v>23.45</v>
      </c>
      <c r="P12" s="4">
        <f>100</f>
        <v>100</v>
      </c>
      <c r="Q12" s="1" t="s">
        <v>53</v>
      </c>
      <c r="R12" s="1">
        <f>43.6+12.5</f>
        <v>56.1</v>
      </c>
      <c r="S12" s="3">
        <f t="shared" si="6"/>
        <v>18.899999999999999</v>
      </c>
      <c r="T12" s="5">
        <f t="shared" si="7"/>
        <v>-830.46399999999994</v>
      </c>
      <c r="U12" s="1">
        <f t="shared" si="8"/>
        <v>830.46399999999994</v>
      </c>
    </row>
    <row r="13" spans="1:25">
      <c r="A13" s="4" t="s">
        <v>85</v>
      </c>
      <c r="B13" s="1" t="s">
        <v>39</v>
      </c>
      <c r="C13" s="1">
        <v>27.85</v>
      </c>
      <c r="D13" s="4">
        <f t="shared" si="2"/>
        <v>72.150000000000006</v>
      </c>
      <c r="E13" s="1" t="s">
        <v>74</v>
      </c>
      <c r="F13" s="1">
        <v>155.1</v>
      </c>
      <c r="G13" s="3">
        <f t="shared" si="3"/>
        <v>-55.099999999999994</v>
      </c>
      <c r="J13" s="4">
        <f t="shared" si="4"/>
        <v>72.150000000000006</v>
      </c>
      <c r="M13" s="3">
        <f t="shared" si="0"/>
        <v>-55.099999999999994</v>
      </c>
      <c r="P13" s="4">
        <f t="shared" si="5"/>
        <v>72.150000000000006</v>
      </c>
      <c r="S13" s="3">
        <f t="shared" si="6"/>
        <v>0</v>
      </c>
      <c r="T13" s="5">
        <f t="shared" si="7"/>
        <v>-738.81600000000003</v>
      </c>
      <c r="U13" s="1">
        <f t="shared" si="8"/>
        <v>738.81600000000003</v>
      </c>
    </row>
    <row r="14" spans="1:25">
      <c r="A14" s="4" t="s">
        <v>86</v>
      </c>
      <c r="B14" s="1" t="s">
        <v>122</v>
      </c>
      <c r="C14" s="1">
        <v>0</v>
      </c>
      <c r="D14" s="4">
        <f t="shared" si="2"/>
        <v>100</v>
      </c>
      <c r="E14" s="1" t="s">
        <v>59</v>
      </c>
      <c r="F14" s="1">
        <v>46.9</v>
      </c>
      <c r="G14" s="3">
        <f t="shared" si="3"/>
        <v>53.1</v>
      </c>
      <c r="H14" s="1" t="s">
        <v>122</v>
      </c>
      <c r="I14" s="1">
        <v>104</v>
      </c>
      <c r="J14" s="4">
        <f t="shared" si="4"/>
        <v>-4</v>
      </c>
      <c r="M14" s="3">
        <f t="shared" si="0"/>
        <v>53.1</v>
      </c>
      <c r="P14" s="4">
        <f t="shared" si="5"/>
        <v>0</v>
      </c>
      <c r="S14" s="3">
        <f t="shared" si="6"/>
        <v>53.1</v>
      </c>
      <c r="T14" s="5">
        <f t="shared" si="7"/>
        <v>543.74400000000003</v>
      </c>
      <c r="U14" s="1">
        <f t="shared" si="8"/>
        <v>-543.74400000000003</v>
      </c>
    </row>
    <row r="15" spans="1:25">
      <c r="A15" s="4" t="s">
        <v>87</v>
      </c>
      <c r="B15" s="1" t="s">
        <v>39</v>
      </c>
      <c r="C15" s="1">
        <v>358.9</v>
      </c>
      <c r="D15" s="4">
        <f t="shared" si="2"/>
        <v>-258.89999999999998</v>
      </c>
      <c r="G15" s="3">
        <f t="shared" si="3"/>
        <v>100</v>
      </c>
      <c r="J15" s="4">
        <f t="shared" si="4"/>
        <v>-258.89999999999998</v>
      </c>
      <c r="M15" s="3">
        <f t="shared" si="0"/>
        <v>100</v>
      </c>
      <c r="P15" s="4">
        <f t="shared" si="5"/>
        <v>0</v>
      </c>
      <c r="S15" s="3">
        <f t="shared" si="6"/>
        <v>100</v>
      </c>
      <c r="T15" s="5">
        <f t="shared" si="7"/>
        <v>1024</v>
      </c>
      <c r="U15" s="1">
        <f t="shared" si="8"/>
        <v>-1024</v>
      </c>
    </row>
    <row r="16" spans="1:25">
      <c r="A16" s="4" t="s">
        <v>88</v>
      </c>
      <c r="B16" s="1" t="s">
        <v>39</v>
      </c>
      <c r="C16" s="1">
        <v>46.25</v>
      </c>
      <c r="D16" s="4">
        <f t="shared" si="2"/>
        <v>53.75</v>
      </c>
      <c r="E16" s="1" t="s">
        <v>60</v>
      </c>
      <c r="F16" s="1">
        <v>0</v>
      </c>
      <c r="G16" s="3">
        <f t="shared" si="3"/>
        <v>100</v>
      </c>
      <c r="H16" s="1" t="s">
        <v>39</v>
      </c>
      <c r="I16" s="1">
        <v>46.25</v>
      </c>
      <c r="J16" s="4">
        <f>D16-I16+25</f>
        <v>32.5</v>
      </c>
      <c r="K16" s="1" t="s">
        <v>133</v>
      </c>
      <c r="L16" s="1">
        <v>0</v>
      </c>
      <c r="M16" s="3">
        <f t="shared" si="0"/>
        <v>100</v>
      </c>
      <c r="N16" s="1" t="s">
        <v>61</v>
      </c>
      <c r="O16" s="1">
        <v>0</v>
      </c>
      <c r="P16" s="4">
        <f t="shared" si="5"/>
        <v>32.5</v>
      </c>
      <c r="Q16" s="1" t="s">
        <v>134</v>
      </c>
      <c r="R16" s="1">
        <v>12.5</v>
      </c>
      <c r="S16" s="3">
        <f t="shared" si="6"/>
        <v>87.5</v>
      </c>
      <c r="T16" s="5">
        <f t="shared" si="7"/>
        <v>563.20000000000005</v>
      </c>
      <c r="U16" s="1">
        <f t="shared" si="8"/>
        <v>-563.20000000000005</v>
      </c>
    </row>
    <row r="17" spans="1:21">
      <c r="A17" s="4" t="s">
        <v>89</v>
      </c>
      <c r="B17" s="1" t="s">
        <v>39</v>
      </c>
      <c r="C17" s="1">
        <v>78.75</v>
      </c>
      <c r="D17" s="4">
        <f t="shared" si="2"/>
        <v>21.25</v>
      </c>
      <c r="E17" s="1" t="s">
        <v>75</v>
      </c>
      <c r="F17" s="1">
        <v>0</v>
      </c>
      <c r="G17" s="3">
        <f t="shared" si="3"/>
        <v>100</v>
      </c>
      <c r="J17" s="4">
        <f>D17-I17-10</f>
        <v>11.25</v>
      </c>
      <c r="K17" s="1" t="s">
        <v>62</v>
      </c>
      <c r="L17" s="1">
        <v>105.4</v>
      </c>
      <c r="M17" s="3">
        <f xml:space="preserve"> G17-L17</f>
        <v>-5.4000000000000057</v>
      </c>
      <c r="P17" s="4">
        <f t="shared" si="5"/>
        <v>11.25</v>
      </c>
      <c r="S17" s="3">
        <f t="shared" si="6"/>
        <v>0</v>
      </c>
      <c r="T17" s="5">
        <f t="shared" si="7"/>
        <v>-115.2</v>
      </c>
      <c r="U17" s="1">
        <f t="shared" si="8"/>
        <v>115.2</v>
      </c>
    </row>
    <row r="18" spans="1:21">
      <c r="A18" s="4" t="s">
        <v>90</v>
      </c>
      <c r="B18" s="1" t="s">
        <v>39</v>
      </c>
      <c r="C18" s="1">
        <v>78.75</v>
      </c>
      <c r="D18" s="4">
        <f t="shared" si="2"/>
        <v>21.25</v>
      </c>
      <c r="E18" s="1" t="s">
        <v>64</v>
      </c>
      <c r="F18" s="1">
        <v>95.7</v>
      </c>
      <c r="G18" s="3">
        <f t="shared" si="3"/>
        <v>4.2999999999999972</v>
      </c>
      <c r="H18" s="1" t="s">
        <v>39</v>
      </c>
      <c r="I18" s="1">
        <v>78.75</v>
      </c>
      <c r="J18" s="4">
        <f t="shared" si="4"/>
        <v>-57.5</v>
      </c>
      <c r="M18" s="3">
        <f t="shared" si="0"/>
        <v>4.2999999999999972</v>
      </c>
      <c r="P18" s="4">
        <f t="shared" si="5"/>
        <v>0</v>
      </c>
      <c r="S18" s="3">
        <f t="shared" si="6"/>
        <v>4.2999999999999972</v>
      </c>
      <c r="T18" s="5">
        <f t="shared" si="7"/>
        <v>44.031999999999968</v>
      </c>
      <c r="U18" s="1">
        <f t="shared" si="8"/>
        <v>-44.031999999999968</v>
      </c>
    </row>
    <row r="19" spans="1:21">
      <c r="A19" s="4" t="s">
        <v>91</v>
      </c>
      <c r="B19" s="1" t="s">
        <v>39</v>
      </c>
      <c r="C19" s="1">
        <v>161</v>
      </c>
      <c r="D19" s="4">
        <f t="shared" si="2"/>
        <v>-61</v>
      </c>
      <c r="G19" s="3">
        <f t="shared" si="3"/>
        <v>100</v>
      </c>
      <c r="J19" s="4">
        <f t="shared" si="4"/>
        <v>-61</v>
      </c>
      <c r="M19" s="3">
        <f t="shared" si="0"/>
        <v>100</v>
      </c>
      <c r="P19" s="4">
        <f t="shared" si="5"/>
        <v>0</v>
      </c>
      <c r="S19" s="3">
        <f t="shared" si="6"/>
        <v>100</v>
      </c>
      <c r="T19" s="5">
        <f t="shared" si="7"/>
        <v>1024</v>
      </c>
      <c r="U19" s="1">
        <f t="shared" si="8"/>
        <v>-1024</v>
      </c>
    </row>
    <row r="20" spans="1:21">
      <c r="A20" s="4" t="s">
        <v>92</v>
      </c>
      <c r="B20" s="1" t="s">
        <v>122</v>
      </c>
      <c r="C20" s="1">
        <v>476.1</v>
      </c>
      <c r="D20" s="4">
        <v>1</v>
      </c>
      <c r="E20" s="1" t="s">
        <v>135</v>
      </c>
      <c r="F20" s="1">
        <v>145.4</v>
      </c>
      <c r="G20" s="3">
        <f t="shared" si="3"/>
        <v>-45.400000000000006</v>
      </c>
      <c r="J20" s="4">
        <f t="shared" si="4"/>
        <v>1</v>
      </c>
      <c r="M20" s="3">
        <f t="shared" si="0"/>
        <v>-45.400000000000006</v>
      </c>
      <c r="P20" s="4">
        <f t="shared" si="5"/>
        <v>1</v>
      </c>
      <c r="S20" s="3">
        <f t="shared" si="6"/>
        <v>0</v>
      </c>
      <c r="T20" s="5">
        <f t="shared" si="7"/>
        <v>-10.24</v>
      </c>
      <c r="U20" s="1">
        <f t="shared" si="8"/>
        <v>10.24</v>
      </c>
    </row>
    <row r="21" spans="1:21">
      <c r="A21" s="4" t="s">
        <v>93</v>
      </c>
      <c r="B21" s="1" t="s">
        <v>124</v>
      </c>
      <c r="C21" s="1">
        <v>89.65</v>
      </c>
      <c r="D21" s="4">
        <f t="shared" si="2"/>
        <v>10.349999999999994</v>
      </c>
      <c r="E21" s="1" t="s">
        <v>137</v>
      </c>
      <c r="F21" s="1">
        <v>127.8</v>
      </c>
      <c r="G21" s="3">
        <f t="shared" si="3"/>
        <v>-27.799999999999997</v>
      </c>
      <c r="J21" s="4">
        <f t="shared" si="4"/>
        <v>10.349999999999994</v>
      </c>
      <c r="M21" s="3">
        <f t="shared" si="0"/>
        <v>-27.799999999999997</v>
      </c>
      <c r="P21" s="4">
        <f t="shared" si="5"/>
        <v>10.349999999999994</v>
      </c>
      <c r="S21" s="3">
        <f t="shared" si="6"/>
        <v>0</v>
      </c>
      <c r="T21" s="5">
        <f t="shared" si="7"/>
        <v>-105.98399999999994</v>
      </c>
      <c r="U21" s="1">
        <f t="shared" si="8"/>
        <v>105.98399999999994</v>
      </c>
    </row>
    <row r="22" spans="1:21">
      <c r="A22" s="4" t="s">
        <v>94</v>
      </c>
      <c r="B22" s="1" t="s">
        <v>39</v>
      </c>
      <c r="C22" s="1">
        <v>205.1</v>
      </c>
      <c r="D22" s="4">
        <f t="shared" si="2"/>
        <v>-105.1</v>
      </c>
      <c r="E22" s="1" t="s">
        <v>138</v>
      </c>
      <c r="F22" s="1">
        <v>62.65</v>
      </c>
      <c r="G22" s="3">
        <f t="shared" si="3"/>
        <v>37.35</v>
      </c>
      <c r="J22" s="4">
        <f t="shared" si="4"/>
        <v>-105.1</v>
      </c>
      <c r="M22" s="3">
        <f t="shared" si="0"/>
        <v>37.35</v>
      </c>
      <c r="P22" s="4">
        <f t="shared" si="5"/>
        <v>0</v>
      </c>
      <c r="S22" s="3">
        <f t="shared" si="6"/>
        <v>37.35</v>
      </c>
      <c r="T22" s="5">
        <f t="shared" si="7"/>
        <v>382.464</v>
      </c>
      <c r="U22" s="1">
        <f t="shared" si="8"/>
        <v>-382.464</v>
      </c>
    </row>
    <row r="23" spans="1:21">
      <c r="A23" s="4" t="s">
        <v>95</v>
      </c>
      <c r="B23" s="1" t="s">
        <v>39</v>
      </c>
      <c r="C23" s="1">
        <v>87.15</v>
      </c>
      <c r="D23" s="4">
        <f t="shared" si="2"/>
        <v>12.849999999999994</v>
      </c>
      <c r="E23" s="1" t="s">
        <v>139</v>
      </c>
      <c r="F23" s="1">
        <v>232.7</v>
      </c>
      <c r="G23" s="3">
        <f t="shared" si="3"/>
        <v>-132.69999999999999</v>
      </c>
      <c r="J23" s="4">
        <f t="shared" si="4"/>
        <v>12.849999999999994</v>
      </c>
      <c r="M23" s="3">
        <f t="shared" si="0"/>
        <v>-132.69999999999999</v>
      </c>
      <c r="P23" s="4">
        <f t="shared" si="5"/>
        <v>12.849999999999994</v>
      </c>
      <c r="S23" s="3">
        <f t="shared" si="6"/>
        <v>0</v>
      </c>
      <c r="T23" s="5">
        <f t="shared" si="7"/>
        <v>-131.58399999999995</v>
      </c>
      <c r="U23" s="1">
        <f t="shared" si="8"/>
        <v>131.58399999999995</v>
      </c>
    </row>
    <row r="24" spans="1:21">
      <c r="A24" s="4" t="s">
        <v>96</v>
      </c>
      <c r="B24" s="1" t="s">
        <v>119</v>
      </c>
      <c r="C24" s="1">
        <v>27.25</v>
      </c>
      <c r="D24" s="4">
        <f t="shared" si="2"/>
        <v>72.75</v>
      </c>
      <c r="E24" s="1" t="s">
        <v>74</v>
      </c>
      <c r="F24" s="1">
        <v>89.65</v>
      </c>
      <c r="G24" s="3">
        <f t="shared" si="3"/>
        <v>10.349999999999994</v>
      </c>
      <c r="H24" s="1" t="s">
        <v>119</v>
      </c>
      <c r="I24" s="1">
        <v>18.45</v>
      </c>
      <c r="J24" s="4">
        <f t="shared" si="4"/>
        <v>54.3</v>
      </c>
      <c r="K24" s="1" t="s">
        <v>74</v>
      </c>
      <c r="L24" s="1">
        <v>89.65</v>
      </c>
      <c r="M24" s="3">
        <f t="shared" si="0"/>
        <v>-79.300000000000011</v>
      </c>
      <c r="P24" s="4">
        <f t="shared" si="5"/>
        <v>54.3</v>
      </c>
      <c r="S24" s="3">
        <f t="shared" si="6"/>
        <v>0</v>
      </c>
      <c r="T24" s="5">
        <f t="shared" si="7"/>
        <v>-556.03199999999993</v>
      </c>
      <c r="U24" s="1">
        <f t="shared" si="8"/>
        <v>556.03199999999993</v>
      </c>
    </row>
    <row r="25" spans="1:21">
      <c r="A25" s="4" t="s">
        <v>97</v>
      </c>
      <c r="B25" s="1" t="s">
        <v>39</v>
      </c>
      <c r="C25" s="1">
        <v>177.7</v>
      </c>
      <c r="D25" s="4">
        <f t="shared" si="2"/>
        <v>-77.699999999999989</v>
      </c>
      <c r="G25" s="3">
        <f t="shared" si="3"/>
        <v>100</v>
      </c>
      <c r="J25" s="4">
        <f t="shared" si="4"/>
        <v>-77.699999999999989</v>
      </c>
      <c r="M25" s="3">
        <f t="shared" si="0"/>
        <v>100</v>
      </c>
      <c r="P25" s="4">
        <f t="shared" si="5"/>
        <v>0</v>
      </c>
      <c r="S25" s="3">
        <f t="shared" si="6"/>
        <v>100</v>
      </c>
      <c r="T25" s="5">
        <f t="shared" si="7"/>
        <v>1024</v>
      </c>
      <c r="U25" s="1">
        <f t="shared" si="8"/>
        <v>-1024</v>
      </c>
    </row>
    <row r="26" spans="1:21">
      <c r="A26" s="4" t="s">
        <v>98</v>
      </c>
      <c r="B26" s="1" t="s">
        <v>124</v>
      </c>
      <c r="C26" s="1">
        <v>42.5</v>
      </c>
      <c r="D26" s="4">
        <f t="shared" si="2"/>
        <v>57.5</v>
      </c>
      <c r="E26" s="1" t="s">
        <v>76</v>
      </c>
      <c r="F26" s="1">
        <v>103.6</v>
      </c>
      <c r="G26" s="3">
        <f t="shared" si="3"/>
        <v>-3.5999999999999943</v>
      </c>
      <c r="J26" s="4">
        <f t="shared" si="4"/>
        <v>57.5</v>
      </c>
      <c r="M26" s="3">
        <f t="shared" si="0"/>
        <v>-3.5999999999999943</v>
      </c>
      <c r="P26" s="4">
        <f t="shared" si="5"/>
        <v>57.5</v>
      </c>
      <c r="S26" s="3">
        <f t="shared" si="6"/>
        <v>0</v>
      </c>
      <c r="T26" s="5">
        <f t="shared" si="7"/>
        <v>-588.79999999999995</v>
      </c>
      <c r="U26" s="1">
        <f t="shared" si="8"/>
        <v>588.79999999999995</v>
      </c>
    </row>
    <row r="27" spans="1:21">
      <c r="A27" s="4" t="s">
        <v>99</v>
      </c>
      <c r="B27" s="1" t="s">
        <v>149</v>
      </c>
      <c r="C27" s="1">
        <v>57.65</v>
      </c>
      <c r="D27" s="4">
        <f t="shared" si="2"/>
        <v>42.35</v>
      </c>
      <c r="E27" s="1" t="s">
        <v>113</v>
      </c>
      <c r="F27" s="1">
        <v>134.5</v>
      </c>
      <c r="G27" s="3">
        <f t="shared" si="3"/>
        <v>-34.5</v>
      </c>
      <c r="J27" s="4">
        <f t="shared" si="4"/>
        <v>42.35</v>
      </c>
      <c r="M27" s="3">
        <f t="shared" si="0"/>
        <v>-34.5</v>
      </c>
      <c r="P27" s="4">
        <f t="shared" si="5"/>
        <v>42.35</v>
      </c>
      <c r="S27" s="3">
        <f t="shared" si="6"/>
        <v>0</v>
      </c>
      <c r="T27" s="5">
        <f t="shared" si="7"/>
        <v>-433.66399999999999</v>
      </c>
      <c r="U27" s="1">
        <f t="shared" si="8"/>
        <v>433.66399999999999</v>
      </c>
    </row>
    <row r="28" spans="1:21">
      <c r="A28" s="4" t="s">
        <v>100</v>
      </c>
      <c r="B28" s="1" t="s">
        <v>39</v>
      </c>
      <c r="C28" s="1">
        <v>39.35</v>
      </c>
      <c r="D28" s="4">
        <f t="shared" si="2"/>
        <v>60.65</v>
      </c>
      <c r="E28" s="1" t="s">
        <v>140</v>
      </c>
      <c r="F28" s="1">
        <v>227.8</v>
      </c>
      <c r="G28" s="3">
        <f t="shared" si="3"/>
        <v>-127.80000000000001</v>
      </c>
      <c r="J28" s="4">
        <f t="shared" si="4"/>
        <v>60.65</v>
      </c>
      <c r="M28" s="3">
        <f t="shared" si="0"/>
        <v>-127.80000000000001</v>
      </c>
      <c r="P28" s="4">
        <f t="shared" si="5"/>
        <v>60.65</v>
      </c>
      <c r="S28" s="3">
        <f t="shared" si="6"/>
        <v>0</v>
      </c>
      <c r="T28" s="5">
        <f t="shared" si="7"/>
        <v>-621.05600000000004</v>
      </c>
      <c r="U28" s="1">
        <f t="shared" si="8"/>
        <v>621.05600000000004</v>
      </c>
    </row>
    <row r="29" spans="1:21">
      <c r="A29" s="4" t="s">
        <v>101</v>
      </c>
      <c r="B29" s="1" t="s">
        <v>39</v>
      </c>
      <c r="C29" s="1">
        <v>37.85</v>
      </c>
      <c r="D29" s="4">
        <f t="shared" si="2"/>
        <v>62.15</v>
      </c>
      <c r="E29" s="1" t="s">
        <v>60</v>
      </c>
      <c r="F29" s="1">
        <v>0</v>
      </c>
      <c r="G29" s="3">
        <f t="shared" si="3"/>
        <v>100</v>
      </c>
      <c r="H29" s="1" t="s">
        <v>39</v>
      </c>
      <c r="I29" s="1">
        <v>37.85</v>
      </c>
      <c r="J29" s="4">
        <f>D29-I29+25</f>
        <v>49.3</v>
      </c>
      <c r="K29" s="1" t="s">
        <v>141</v>
      </c>
      <c r="L29" s="1">
        <v>36.35</v>
      </c>
      <c r="M29" s="3">
        <f t="shared" si="0"/>
        <v>63.65</v>
      </c>
      <c r="N29" s="1" t="s">
        <v>61</v>
      </c>
      <c r="O29" s="1">
        <v>0</v>
      </c>
      <c r="P29" s="4">
        <f t="shared" si="5"/>
        <v>49.3</v>
      </c>
      <c r="Q29" s="1" t="s">
        <v>141</v>
      </c>
      <c r="R29" s="1">
        <v>36.35</v>
      </c>
      <c r="S29" s="3">
        <f t="shared" si="6"/>
        <v>27.299999999999997</v>
      </c>
      <c r="T29" s="5">
        <f t="shared" si="7"/>
        <v>-225.28</v>
      </c>
      <c r="U29" s="1">
        <f t="shared" si="8"/>
        <v>225.28</v>
      </c>
    </row>
    <row r="30" spans="1:21">
      <c r="A30" s="4" t="s">
        <v>102</v>
      </c>
      <c r="B30" s="1" t="s">
        <v>39</v>
      </c>
      <c r="C30" s="1">
        <v>34.200000000000003</v>
      </c>
      <c r="D30" s="4">
        <f>100-C30+6.25+165/8</f>
        <v>92.674999999999997</v>
      </c>
      <c r="E30" s="1" t="s">
        <v>130</v>
      </c>
      <c r="F30" s="1">
        <v>12.5</v>
      </c>
      <c r="G30" s="3">
        <f t="shared" si="3"/>
        <v>87.5</v>
      </c>
      <c r="H30" s="1" t="s">
        <v>39</v>
      </c>
      <c r="I30" s="1">
        <v>0</v>
      </c>
      <c r="J30" s="4">
        <v>100</v>
      </c>
      <c r="K30" s="1" t="s">
        <v>131</v>
      </c>
      <c r="L30" s="1">
        <v>12.5</v>
      </c>
      <c r="M30" s="3">
        <f t="shared" si="0"/>
        <v>75</v>
      </c>
      <c r="N30" s="1" t="s">
        <v>39</v>
      </c>
      <c r="O30" s="1">
        <v>34.200000000000003</v>
      </c>
      <c r="P30" s="4">
        <f t="shared" si="5"/>
        <v>65.8</v>
      </c>
      <c r="Q30" s="1" t="s">
        <v>142</v>
      </c>
      <c r="R30" s="1">
        <f>38.75+12.5</f>
        <v>51.25</v>
      </c>
      <c r="S30" s="3">
        <f t="shared" si="6"/>
        <v>23.75</v>
      </c>
      <c r="T30" s="5">
        <f t="shared" si="7"/>
        <v>-430.59199999999998</v>
      </c>
      <c r="U30" s="1">
        <f t="shared" si="8"/>
        <v>430.59199999999998</v>
      </c>
    </row>
    <row r="31" spans="1:21">
      <c r="A31" s="4" t="s">
        <v>103</v>
      </c>
      <c r="B31" s="1" t="s">
        <v>39</v>
      </c>
      <c r="C31" s="1">
        <v>146.19999999999999</v>
      </c>
      <c r="D31" s="4">
        <f t="shared" si="2"/>
        <v>-46.199999999999989</v>
      </c>
      <c r="G31" s="3">
        <f t="shared" si="3"/>
        <v>100</v>
      </c>
      <c r="J31" s="4">
        <f t="shared" si="4"/>
        <v>-46.199999999999989</v>
      </c>
      <c r="M31" s="3">
        <f t="shared" si="0"/>
        <v>100</v>
      </c>
      <c r="P31" s="4">
        <f t="shared" si="5"/>
        <v>0</v>
      </c>
      <c r="S31" s="3">
        <f t="shared" si="6"/>
        <v>100</v>
      </c>
      <c r="T31" s="5">
        <f t="shared" si="7"/>
        <v>1024</v>
      </c>
      <c r="U31" s="1">
        <f t="shared" si="8"/>
        <v>-1024</v>
      </c>
    </row>
    <row r="32" spans="1:21">
      <c r="A32" s="4" t="s">
        <v>104</v>
      </c>
      <c r="B32" s="1" t="s">
        <v>124</v>
      </c>
      <c r="C32" s="1">
        <v>63.7</v>
      </c>
      <c r="D32" s="4">
        <f t="shared" si="2"/>
        <v>36.299999999999997</v>
      </c>
      <c r="E32" s="1" t="s">
        <v>75</v>
      </c>
      <c r="F32" s="1">
        <v>0</v>
      </c>
      <c r="G32" s="3">
        <f t="shared" si="3"/>
        <v>100</v>
      </c>
      <c r="H32" s="1" t="s">
        <v>124</v>
      </c>
      <c r="I32" s="1">
        <v>63.7</v>
      </c>
      <c r="J32" s="4">
        <f t="shared" si="4"/>
        <v>-27.400000000000006</v>
      </c>
      <c r="K32" s="1" t="s">
        <v>76</v>
      </c>
      <c r="L32" s="1">
        <v>99.05</v>
      </c>
      <c r="M32" s="3">
        <f t="shared" si="0"/>
        <v>0.95000000000000284</v>
      </c>
      <c r="P32" s="4">
        <f t="shared" si="5"/>
        <v>0</v>
      </c>
      <c r="S32" s="3">
        <f t="shared" si="6"/>
        <v>0.95000000000000284</v>
      </c>
      <c r="T32" s="5">
        <f t="shared" si="7"/>
        <v>9.72800000000003</v>
      </c>
      <c r="U32" s="1">
        <f t="shared" si="8"/>
        <v>-9.72800000000003</v>
      </c>
    </row>
    <row r="33" spans="1:21">
      <c r="A33" s="4" t="s">
        <v>105</v>
      </c>
      <c r="B33" s="1" t="s">
        <v>124</v>
      </c>
      <c r="C33" s="1">
        <v>63.7</v>
      </c>
      <c r="D33" s="4">
        <f t="shared" si="2"/>
        <v>36.299999999999997</v>
      </c>
      <c r="E33" s="1" t="s">
        <v>64</v>
      </c>
      <c r="F33" s="1">
        <v>107.8</v>
      </c>
      <c r="G33" s="3">
        <f t="shared" si="3"/>
        <v>-7.7999999999999972</v>
      </c>
      <c r="J33" s="4">
        <f t="shared" si="4"/>
        <v>36.299999999999997</v>
      </c>
      <c r="M33" s="3">
        <f t="shared" si="0"/>
        <v>-7.7999999999999972</v>
      </c>
      <c r="P33" s="4">
        <f t="shared" si="5"/>
        <v>36.299999999999997</v>
      </c>
      <c r="S33" s="3">
        <f t="shared" si="6"/>
        <v>0</v>
      </c>
      <c r="T33" s="5">
        <f t="shared" si="7"/>
        <v>-371.71199999999999</v>
      </c>
      <c r="U33" s="1">
        <f t="shared" si="8"/>
        <v>371.71199999999999</v>
      </c>
    </row>
    <row r="34" spans="1:21">
      <c r="A34" s="4" t="s">
        <v>106</v>
      </c>
      <c r="B34" s="1" t="s">
        <v>124</v>
      </c>
      <c r="C34" s="1">
        <v>51.6</v>
      </c>
      <c r="D34" s="4">
        <f>100-C34+25</f>
        <v>73.400000000000006</v>
      </c>
      <c r="E34" s="1" t="s">
        <v>144</v>
      </c>
      <c r="F34" s="1">
        <v>117.5</v>
      </c>
      <c r="G34" s="3">
        <f t="shared" si="3"/>
        <v>-17.5</v>
      </c>
      <c r="J34" s="4">
        <f t="shared" si="4"/>
        <v>73.400000000000006</v>
      </c>
      <c r="M34" s="3">
        <f t="shared" si="0"/>
        <v>-17.5</v>
      </c>
      <c r="P34" s="4">
        <f t="shared" si="5"/>
        <v>73.400000000000006</v>
      </c>
      <c r="S34" s="3">
        <f t="shared" si="6"/>
        <v>0</v>
      </c>
      <c r="T34" s="5">
        <f t="shared" si="7"/>
        <v>-751.6160000000001</v>
      </c>
      <c r="U34" s="1">
        <f t="shared" si="8"/>
        <v>751.6160000000001</v>
      </c>
    </row>
    <row r="35" spans="1:21">
      <c r="A35" s="4" t="s">
        <v>107</v>
      </c>
      <c r="B35" s="1" t="s">
        <v>39</v>
      </c>
      <c r="C35" s="1">
        <v>61.15</v>
      </c>
      <c r="D35" s="4">
        <f t="shared" si="2"/>
        <v>38.85</v>
      </c>
      <c r="E35" s="1" t="s">
        <v>111</v>
      </c>
      <c r="F35" s="1">
        <v>89.65</v>
      </c>
      <c r="G35" s="3">
        <f t="shared" si="3"/>
        <v>10.349999999999994</v>
      </c>
      <c r="H35" s="1" t="s">
        <v>39</v>
      </c>
      <c r="I35" s="1">
        <v>61.15</v>
      </c>
      <c r="J35" s="4">
        <f t="shared" si="4"/>
        <v>-22.299999999999997</v>
      </c>
      <c r="M35" s="3">
        <f t="shared" si="0"/>
        <v>10.349999999999994</v>
      </c>
      <c r="P35" s="4">
        <f t="shared" si="5"/>
        <v>0</v>
      </c>
      <c r="S35" s="3">
        <f t="shared" si="6"/>
        <v>10.349999999999994</v>
      </c>
      <c r="T35" s="5">
        <f t="shared" si="7"/>
        <v>105.98399999999994</v>
      </c>
      <c r="U35" s="1">
        <f t="shared" si="8"/>
        <v>-105.98399999999994</v>
      </c>
    </row>
    <row r="36" spans="1:21">
      <c r="A36" s="4" t="s">
        <v>108</v>
      </c>
      <c r="B36" s="1" t="s">
        <v>39</v>
      </c>
      <c r="C36" s="1">
        <v>90.3</v>
      </c>
      <c r="D36" s="4">
        <f t="shared" si="2"/>
        <v>9.7000000000000028</v>
      </c>
      <c r="E36" s="1" t="s">
        <v>145</v>
      </c>
      <c r="F36" s="1">
        <v>93.3</v>
      </c>
      <c r="G36" s="3">
        <f t="shared" si="3"/>
        <v>6.7000000000000028</v>
      </c>
      <c r="H36" s="1" t="s">
        <v>39</v>
      </c>
      <c r="I36" s="1">
        <v>90.3</v>
      </c>
      <c r="J36" s="4">
        <f t="shared" si="4"/>
        <v>-80.599999999999994</v>
      </c>
      <c r="M36" s="3">
        <f t="shared" si="0"/>
        <v>6.7000000000000028</v>
      </c>
      <c r="P36" s="4">
        <f t="shared" si="5"/>
        <v>0</v>
      </c>
      <c r="S36" s="3">
        <f t="shared" si="6"/>
        <v>6.7000000000000028</v>
      </c>
      <c r="T36" s="5">
        <f t="shared" si="7"/>
        <v>68.608000000000033</v>
      </c>
      <c r="U36" s="1">
        <f t="shared" si="8"/>
        <v>-68.608000000000033</v>
      </c>
    </row>
    <row r="37" spans="1:21">
      <c r="A37" s="4" t="s">
        <v>109</v>
      </c>
      <c r="B37" s="1" t="s">
        <v>39</v>
      </c>
      <c r="C37" s="1">
        <v>57.9</v>
      </c>
      <c r="D37" s="4">
        <f t="shared" si="2"/>
        <v>42.1</v>
      </c>
      <c r="E37" s="1" t="s">
        <v>76</v>
      </c>
      <c r="F37" s="1">
        <v>50.25</v>
      </c>
      <c r="G37" s="3">
        <f t="shared" si="3"/>
        <v>49.75</v>
      </c>
      <c r="H37" s="1" t="s">
        <v>39</v>
      </c>
      <c r="I37" s="1">
        <v>57.9</v>
      </c>
      <c r="J37" s="4">
        <f t="shared" si="4"/>
        <v>-15.799999999999997</v>
      </c>
      <c r="M37" s="3">
        <f t="shared" si="0"/>
        <v>49.75</v>
      </c>
      <c r="P37" s="4">
        <f t="shared" si="5"/>
        <v>0</v>
      </c>
      <c r="S37" s="3">
        <f t="shared" si="6"/>
        <v>49.75</v>
      </c>
      <c r="T37" s="5">
        <f t="shared" si="7"/>
        <v>509.44</v>
      </c>
      <c r="U37" s="1">
        <f t="shared" si="8"/>
        <v>-509.44</v>
      </c>
    </row>
    <row r="38" spans="1:21">
      <c r="A38" s="4" t="s">
        <v>110</v>
      </c>
      <c r="B38" s="1" t="s">
        <v>39</v>
      </c>
      <c r="C38" s="1">
        <v>57.65</v>
      </c>
      <c r="D38" s="4">
        <f t="shared" si="2"/>
        <v>42.35</v>
      </c>
      <c r="E38" s="1" t="s">
        <v>146</v>
      </c>
      <c r="F38" s="1">
        <v>75.400000000000006</v>
      </c>
      <c r="G38" s="3">
        <f t="shared" si="3"/>
        <v>24.599999999999994</v>
      </c>
      <c r="H38" s="1" t="s">
        <v>39</v>
      </c>
      <c r="I38" s="1">
        <v>57.65</v>
      </c>
      <c r="J38" s="4">
        <f t="shared" si="4"/>
        <v>-15.299999999999997</v>
      </c>
      <c r="M38" s="3">
        <f t="shared" si="0"/>
        <v>24.599999999999994</v>
      </c>
      <c r="P38" s="4">
        <f t="shared" si="5"/>
        <v>0</v>
      </c>
      <c r="S38" s="3">
        <f t="shared" si="6"/>
        <v>24.599999999999994</v>
      </c>
      <c r="T38" s="5">
        <f t="shared" si="7"/>
        <v>251.90399999999994</v>
      </c>
      <c r="U38" s="1">
        <f t="shared" si="8"/>
        <v>-251.90399999999994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F5990-8BD0-4E33-A437-2BE83F8B34FB}">
  <dimension ref="A1:Y37"/>
  <sheetViews>
    <sheetView workbookViewId="0">
      <pane xSplit="1" ySplit="3" topLeftCell="F4" activePane="bottomRight" state="frozen"/>
      <selection pane="topRight" activeCell="B1" sqref="B1"/>
      <selection pane="bottomLeft" activeCell="A4" sqref="A4"/>
      <selection pane="bottomRight" activeCell="F9" sqref="F9"/>
    </sheetView>
  </sheetViews>
  <sheetFormatPr defaultRowHeight="18.75"/>
  <cols>
    <col min="1" max="1" width="14.125" style="1" customWidth="1"/>
    <col min="2" max="16384" width="9" style="1"/>
  </cols>
  <sheetData>
    <row r="1" spans="1:25">
      <c r="A1" s="3" t="s">
        <v>81</v>
      </c>
      <c r="B1" s="3" t="s">
        <v>150</v>
      </c>
      <c r="C1" s="3" t="s">
        <v>151</v>
      </c>
      <c r="D1" s="3" t="s">
        <v>152</v>
      </c>
      <c r="E1" s="3">
        <v>177</v>
      </c>
      <c r="F1" s="3">
        <v>85</v>
      </c>
      <c r="G1" s="3">
        <v>183</v>
      </c>
      <c r="H1" s="3">
        <v>116</v>
      </c>
      <c r="I1" s="3">
        <v>150</v>
      </c>
      <c r="J1" s="3">
        <v>105</v>
      </c>
      <c r="K1" s="3" t="s">
        <v>153</v>
      </c>
      <c r="L1" s="3" t="s">
        <v>154</v>
      </c>
      <c r="M1" s="3" t="s">
        <v>155</v>
      </c>
      <c r="N1" s="3" t="s">
        <v>47</v>
      </c>
      <c r="O1" s="3" t="s">
        <v>151</v>
      </c>
      <c r="P1" s="3">
        <v>95</v>
      </c>
      <c r="Q1" s="3" t="s">
        <v>125</v>
      </c>
      <c r="R1" s="3" t="s">
        <v>150</v>
      </c>
      <c r="S1" s="3">
        <v>90</v>
      </c>
      <c r="T1" s="3" t="s">
        <v>73</v>
      </c>
      <c r="U1" s="3" t="s">
        <v>156</v>
      </c>
      <c r="V1" s="3" t="s">
        <v>157</v>
      </c>
      <c r="W1" s="3" t="s">
        <v>158</v>
      </c>
      <c r="X1" s="3" t="s">
        <v>70</v>
      </c>
      <c r="Y1" s="8" t="s">
        <v>159</v>
      </c>
    </row>
    <row r="2" spans="1:25">
      <c r="B2" s="1" t="s">
        <v>54</v>
      </c>
      <c r="H2" s="1" t="s">
        <v>55</v>
      </c>
      <c r="N2" s="1" t="s">
        <v>56</v>
      </c>
    </row>
    <row r="3" spans="1:25">
      <c r="A3" s="4" t="s">
        <v>128</v>
      </c>
      <c r="B3" s="1" t="s">
        <v>35</v>
      </c>
      <c r="C3" s="1" t="s">
        <v>36</v>
      </c>
      <c r="D3" s="4" t="s">
        <v>42</v>
      </c>
      <c r="E3" s="1" t="s">
        <v>37</v>
      </c>
      <c r="F3" s="1" t="s">
        <v>38</v>
      </c>
      <c r="G3" s="3" t="s">
        <v>41</v>
      </c>
      <c r="H3" s="1" t="s">
        <v>35</v>
      </c>
      <c r="I3" s="1" t="s">
        <v>36</v>
      </c>
      <c r="J3" s="4" t="s">
        <v>42</v>
      </c>
      <c r="K3" s="1" t="s">
        <v>37</v>
      </c>
      <c r="L3" s="1" t="s">
        <v>38</v>
      </c>
      <c r="M3" s="3" t="s">
        <v>41</v>
      </c>
      <c r="N3" s="1" t="s">
        <v>35</v>
      </c>
      <c r="O3" s="1" t="s">
        <v>36</v>
      </c>
      <c r="P3" s="4" t="s">
        <v>42</v>
      </c>
      <c r="Q3" s="1" t="s">
        <v>37</v>
      </c>
      <c r="R3" s="1" t="s">
        <v>38</v>
      </c>
      <c r="S3" s="3" t="s">
        <v>41</v>
      </c>
      <c r="T3" s="5" t="s">
        <v>45</v>
      </c>
      <c r="U3" s="1" t="s">
        <v>114</v>
      </c>
    </row>
    <row r="4" spans="1:25">
      <c r="A4" s="4" t="s">
        <v>80</v>
      </c>
      <c r="B4" s="1" t="s">
        <v>123</v>
      </c>
    </row>
    <row r="5" spans="1:25">
      <c r="A5" s="4" t="s">
        <v>79</v>
      </c>
      <c r="B5" s="1" t="s">
        <v>123</v>
      </c>
    </row>
    <row r="6" spans="1:25">
      <c r="A6" s="4" t="s">
        <v>2</v>
      </c>
      <c r="B6" s="1" t="s">
        <v>123</v>
      </c>
    </row>
    <row r="7" spans="1:25">
      <c r="A7" s="4" t="s">
        <v>81</v>
      </c>
      <c r="B7" s="1" t="s">
        <v>123</v>
      </c>
    </row>
    <row r="8" spans="1:25">
      <c r="A8" s="4" t="s">
        <v>82</v>
      </c>
      <c r="B8" s="1" t="s">
        <v>125</v>
      </c>
      <c r="C8" s="1">
        <v>12.5</v>
      </c>
      <c r="D8" s="4">
        <f t="shared" ref="D8:D36" si="0">100-C8</f>
        <v>87.5</v>
      </c>
      <c r="E8" s="1" t="s">
        <v>50</v>
      </c>
      <c r="F8" s="1">
        <v>0</v>
      </c>
      <c r="G8" s="3">
        <f>IF(100-F8&lt;=0, 0, IF(100-F8&gt;=100, 100, 100-F8+6.25))</f>
        <v>100</v>
      </c>
      <c r="H8" s="1" t="s">
        <v>125</v>
      </c>
      <c r="I8" s="1">
        <v>40.049999999999997</v>
      </c>
      <c r="J8" s="4">
        <f t="shared" ref="J8:J9" si="1">D8-I8</f>
        <v>47.45</v>
      </c>
      <c r="K8" s="1" t="s">
        <v>160</v>
      </c>
      <c r="L8" s="1">
        <v>48.85</v>
      </c>
      <c r="M8" s="3">
        <f>IF(G8-L8&lt;=0, 0, IF(G8-L8&gt;=100, 100, G8-L8+6.25))</f>
        <v>57.4</v>
      </c>
      <c r="N8" s="1" t="s">
        <v>125</v>
      </c>
      <c r="O8" s="1">
        <v>40.049999999999997</v>
      </c>
      <c r="P8" s="4">
        <f t="shared" ref="P8:P9" si="2">IF(J8-O8&lt;0, 0, J8-O8)</f>
        <v>7.4000000000000057</v>
      </c>
      <c r="Q8" s="1" t="s">
        <v>160</v>
      </c>
      <c r="R8" s="1">
        <v>48.85</v>
      </c>
      <c r="S8" s="3">
        <f t="shared" ref="S8:S12" si="3" xml:space="preserve"> IF(M8-R8&lt;=0, 0, IF(M8-R8&gt;=100, 100, M8-R8+6.25))</f>
        <v>14.799999999999997</v>
      </c>
      <c r="T8" s="5">
        <f t="shared" ref="T8" si="4">(S8-P8)/100*1024</f>
        <v>75.775999999999911</v>
      </c>
      <c r="U8" s="1">
        <f t="shared" ref="U8:U37" si="5">-1*T8</f>
        <v>-75.775999999999911</v>
      </c>
    </row>
    <row r="9" spans="1:25">
      <c r="A9" s="4" t="s">
        <v>83</v>
      </c>
      <c r="B9" s="1" t="s">
        <v>136</v>
      </c>
      <c r="D9" s="4">
        <f t="shared" si="0"/>
        <v>100</v>
      </c>
      <c r="E9" s="1" t="s">
        <v>78</v>
      </c>
      <c r="F9" s="1">
        <v>107.05</v>
      </c>
      <c r="G9" s="3">
        <f>IF(100-F9&lt;=0, 0, IF(100-F9&gt;=100, 100, 100-F9+6.25))</f>
        <v>0</v>
      </c>
      <c r="J9" s="4">
        <f t="shared" si="1"/>
        <v>100</v>
      </c>
      <c r="M9" s="3">
        <f>IF(G9-L9&lt;=0, 0, IF(G9-L9&gt;=100, 100, G9-L9+6.25))</f>
        <v>0</v>
      </c>
      <c r="P9" s="4">
        <f t="shared" si="2"/>
        <v>100</v>
      </c>
      <c r="S9" s="3">
        <f t="shared" si="3"/>
        <v>0</v>
      </c>
      <c r="T9" s="5">
        <f t="shared" ref="T9:T37" si="6">(S9-P9)/100*1024</f>
        <v>-1024</v>
      </c>
      <c r="U9" s="1">
        <f t="shared" si="5"/>
        <v>1024</v>
      </c>
    </row>
    <row r="10" spans="1:25">
      <c r="A10" s="4" t="s">
        <v>6</v>
      </c>
      <c r="B10" s="1" t="s">
        <v>73</v>
      </c>
      <c r="C10" s="1">
        <v>0</v>
      </c>
      <c r="D10" s="4">
        <f>100-C10-10</f>
        <v>90</v>
      </c>
      <c r="E10" s="1" t="s">
        <v>127</v>
      </c>
      <c r="F10" s="1">
        <v>47.35</v>
      </c>
      <c r="G10" s="3">
        <f t="shared" ref="G10:G37" si="7">IF(100-F10&lt;=0, 0, IF(100-F10&gt;=100, 100, 100-F10+6.25))</f>
        <v>58.9</v>
      </c>
      <c r="H10" s="1" t="s">
        <v>125</v>
      </c>
      <c r="I10" s="1">
        <v>46.15</v>
      </c>
      <c r="J10" s="4">
        <f>D10-I10-10</f>
        <v>33.85</v>
      </c>
      <c r="K10" s="1" t="s">
        <v>127</v>
      </c>
      <c r="L10" s="1">
        <v>29.05</v>
      </c>
      <c r="M10" s="3">
        <f t="shared" ref="M10:M37" si="8">IF(G10-L10&lt;=0, 0, IF(G10-L10&gt;=100, 100, G10-L10+6.25))</f>
        <v>36.099999999999994</v>
      </c>
      <c r="N10" s="1" t="s">
        <v>125</v>
      </c>
      <c r="O10" s="1">
        <v>46.15</v>
      </c>
      <c r="P10" s="4">
        <f t="shared" ref="P10:P37" si="9">IF(J10-O10&lt;0, 0, J10-O10)</f>
        <v>0</v>
      </c>
      <c r="Q10" s="1" t="s">
        <v>127</v>
      </c>
      <c r="R10" s="1">
        <v>29.05</v>
      </c>
      <c r="S10" s="3">
        <f t="shared" si="3"/>
        <v>13.299999999999994</v>
      </c>
      <c r="T10" s="5">
        <f t="shared" si="6"/>
        <v>136.19199999999992</v>
      </c>
      <c r="U10" s="1">
        <f t="shared" si="5"/>
        <v>-136.19199999999992</v>
      </c>
    </row>
    <row r="11" spans="1:25">
      <c r="A11" s="4" t="s">
        <v>84</v>
      </c>
      <c r="B11" s="1" t="s">
        <v>158</v>
      </c>
      <c r="C11" s="1">
        <v>0</v>
      </c>
      <c r="D11" s="4">
        <f t="shared" si="0"/>
        <v>100</v>
      </c>
      <c r="E11" s="1" t="s">
        <v>129</v>
      </c>
      <c r="F11" s="1">
        <v>0</v>
      </c>
      <c r="G11" s="3">
        <f t="shared" si="7"/>
        <v>100</v>
      </c>
      <c r="H11" s="1" t="s">
        <v>73</v>
      </c>
      <c r="I11" s="1">
        <v>0</v>
      </c>
      <c r="J11" s="4">
        <f t="shared" ref="J11:J37" si="10">D11-I11</f>
        <v>100</v>
      </c>
      <c r="K11" s="1" t="s">
        <v>53</v>
      </c>
      <c r="L11" s="1">
        <v>27.95</v>
      </c>
      <c r="M11" s="3">
        <f t="shared" si="8"/>
        <v>78.3</v>
      </c>
      <c r="N11" s="1" t="s">
        <v>125</v>
      </c>
      <c r="O11" s="1">
        <v>42.6</v>
      </c>
      <c r="P11" s="4">
        <f>IF(J11-O11&lt;0, 0, J11-O11)+6.25</f>
        <v>63.65</v>
      </c>
      <c r="Q11" s="1" t="s">
        <v>53</v>
      </c>
      <c r="R11" s="1">
        <v>27.95</v>
      </c>
      <c r="S11" s="3">
        <f t="shared" si="3"/>
        <v>56.599999999999994</v>
      </c>
      <c r="T11" s="5">
        <f t="shared" si="6"/>
        <v>-72.19200000000005</v>
      </c>
      <c r="U11" s="1">
        <f t="shared" si="5"/>
        <v>72.19200000000005</v>
      </c>
    </row>
    <row r="12" spans="1:25">
      <c r="A12" s="4" t="s">
        <v>85</v>
      </c>
      <c r="B12" s="1" t="s">
        <v>73</v>
      </c>
      <c r="C12" s="1">
        <v>0</v>
      </c>
      <c r="D12" s="4">
        <f t="shared" si="0"/>
        <v>100</v>
      </c>
      <c r="E12" s="1" t="s">
        <v>161</v>
      </c>
      <c r="F12" s="1">
        <v>39.5</v>
      </c>
      <c r="G12" s="3">
        <f t="shared" si="7"/>
        <v>66.75</v>
      </c>
      <c r="H12" s="1" t="s">
        <v>47</v>
      </c>
      <c r="I12" s="1">
        <v>31.45</v>
      </c>
      <c r="J12" s="4">
        <f t="shared" si="10"/>
        <v>68.55</v>
      </c>
      <c r="K12" s="1" t="s">
        <v>161</v>
      </c>
      <c r="L12" s="1">
        <v>39.5</v>
      </c>
      <c r="M12" s="3">
        <f t="shared" si="8"/>
        <v>33.5</v>
      </c>
      <c r="N12" s="1" t="s">
        <v>47</v>
      </c>
      <c r="O12" s="1">
        <v>31.45</v>
      </c>
      <c r="P12" s="4">
        <f t="shared" si="9"/>
        <v>37.099999999999994</v>
      </c>
      <c r="Q12" s="1" t="s">
        <v>161</v>
      </c>
      <c r="R12" s="1">
        <v>39.5</v>
      </c>
      <c r="S12" s="3">
        <f t="shared" si="3"/>
        <v>0</v>
      </c>
      <c r="T12" s="5">
        <f t="shared" si="6"/>
        <v>-379.90399999999994</v>
      </c>
      <c r="U12" s="1">
        <f t="shared" si="5"/>
        <v>379.90399999999994</v>
      </c>
    </row>
    <row r="13" spans="1:25">
      <c r="A13" s="4" t="s">
        <v>86</v>
      </c>
      <c r="B13" s="1" t="s">
        <v>136</v>
      </c>
      <c r="D13" s="4">
        <f t="shared" si="0"/>
        <v>100</v>
      </c>
      <c r="E13" s="1" t="s">
        <v>162</v>
      </c>
      <c r="F13" s="1">
        <v>122</v>
      </c>
      <c r="G13" s="3">
        <f t="shared" si="7"/>
        <v>0</v>
      </c>
      <c r="J13" s="4">
        <f t="shared" si="10"/>
        <v>100</v>
      </c>
      <c r="M13" s="3">
        <f t="shared" si="8"/>
        <v>0</v>
      </c>
      <c r="P13" s="4">
        <f t="shared" si="9"/>
        <v>100</v>
      </c>
      <c r="S13" s="3">
        <f xml:space="preserve"> IF(M13-R13&lt;=0, 0, IF(M13-R13&gt;=100, 100, M13-R13+6.25))</f>
        <v>0</v>
      </c>
      <c r="T13" s="5">
        <f t="shared" si="6"/>
        <v>-1024</v>
      </c>
      <c r="U13" s="1">
        <f t="shared" si="5"/>
        <v>1024</v>
      </c>
    </row>
    <row r="14" spans="1:25">
      <c r="A14" s="4" t="s">
        <v>87</v>
      </c>
      <c r="B14" s="1" t="s">
        <v>125</v>
      </c>
      <c r="C14" s="1">
        <v>47.5</v>
      </c>
      <c r="D14" s="4">
        <f t="shared" si="0"/>
        <v>52.5</v>
      </c>
      <c r="E14" s="1" t="s">
        <v>163</v>
      </c>
      <c r="F14" s="1">
        <v>79.05</v>
      </c>
      <c r="G14" s="3">
        <f t="shared" si="7"/>
        <v>27.200000000000003</v>
      </c>
      <c r="J14" s="4">
        <f t="shared" si="10"/>
        <v>52.5</v>
      </c>
      <c r="K14" s="1" t="s">
        <v>163</v>
      </c>
      <c r="L14" s="1">
        <v>79.05</v>
      </c>
      <c r="M14" s="3">
        <f t="shared" si="8"/>
        <v>0</v>
      </c>
      <c r="P14" s="4">
        <f t="shared" si="9"/>
        <v>52.5</v>
      </c>
      <c r="S14" s="3">
        <f t="shared" ref="S14:S37" si="11" xml:space="preserve"> IF(M14-R14&lt;=0, 0, IF(M14-R14&gt;=100, 100, M14-R14+6.25))</f>
        <v>0</v>
      </c>
      <c r="T14" s="5">
        <f t="shared" si="6"/>
        <v>-537.6</v>
      </c>
      <c r="U14" s="1">
        <f t="shared" si="5"/>
        <v>537.6</v>
      </c>
    </row>
    <row r="15" spans="1:25">
      <c r="A15" s="4" t="s">
        <v>88</v>
      </c>
      <c r="B15" s="1" t="s">
        <v>73</v>
      </c>
      <c r="C15" s="1">
        <v>0</v>
      </c>
      <c r="D15" s="4">
        <f t="shared" si="0"/>
        <v>100</v>
      </c>
      <c r="E15" s="1" t="s">
        <v>39</v>
      </c>
      <c r="F15" s="1">
        <f>25.65+6.25</f>
        <v>31.9</v>
      </c>
      <c r="G15" s="3">
        <f t="shared" si="7"/>
        <v>74.349999999999994</v>
      </c>
      <c r="H15" s="1" t="s">
        <v>125</v>
      </c>
      <c r="I15" s="1">
        <v>97.65</v>
      </c>
      <c r="J15" s="4">
        <f>D15-I15+25</f>
        <v>27.349999999999994</v>
      </c>
      <c r="K15" s="1" t="s">
        <v>39</v>
      </c>
      <c r="L15" s="1">
        <f>25.65+6.25</f>
        <v>31.9</v>
      </c>
      <c r="M15" s="3">
        <f t="shared" si="8"/>
        <v>48.699999999999996</v>
      </c>
      <c r="N15" s="1" t="s">
        <v>125</v>
      </c>
      <c r="O15" s="1">
        <v>97.65</v>
      </c>
      <c r="P15" s="4">
        <f t="shared" si="9"/>
        <v>0</v>
      </c>
      <c r="S15" s="3">
        <f t="shared" si="11"/>
        <v>54.949999999999996</v>
      </c>
      <c r="T15" s="5">
        <f t="shared" si="6"/>
        <v>562.68799999999999</v>
      </c>
      <c r="U15" s="1">
        <f t="shared" si="5"/>
        <v>-562.68799999999999</v>
      </c>
    </row>
    <row r="16" spans="1:25">
      <c r="A16" s="4" t="s">
        <v>89</v>
      </c>
      <c r="B16" s="1" t="s">
        <v>73</v>
      </c>
      <c r="C16" s="1">
        <v>0</v>
      </c>
      <c r="D16" s="4">
        <f t="shared" si="0"/>
        <v>100</v>
      </c>
      <c r="E16" s="1" t="s">
        <v>75</v>
      </c>
      <c r="F16" s="1">
        <v>0</v>
      </c>
      <c r="G16" s="3">
        <f t="shared" si="7"/>
        <v>100</v>
      </c>
      <c r="H16" s="1" t="s">
        <v>47</v>
      </c>
      <c r="I16" s="1">
        <v>0</v>
      </c>
      <c r="J16" s="4">
        <f t="shared" si="10"/>
        <v>100</v>
      </c>
      <c r="K16" s="1" t="s">
        <v>51</v>
      </c>
      <c r="L16" s="1">
        <v>0</v>
      </c>
      <c r="M16" s="3">
        <f t="shared" si="8"/>
        <v>100</v>
      </c>
      <c r="N16" s="1" t="s">
        <v>47</v>
      </c>
      <c r="O16" s="1">
        <v>121.4</v>
      </c>
      <c r="P16" s="4">
        <f t="shared" si="9"/>
        <v>0</v>
      </c>
      <c r="Q16" s="1" t="s">
        <v>51</v>
      </c>
      <c r="R16" s="1">
        <v>57.9</v>
      </c>
      <c r="S16" s="3">
        <f t="shared" si="11"/>
        <v>48.35</v>
      </c>
      <c r="T16" s="5">
        <f t="shared" si="6"/>
        <v>495.10400000000004</v>
      </c>
      <c r="U16" s="1">
        <f t="shared" si="5"/>
        <v>-495.10400000000004</v>
      </c>
    </row>
    <row r="17" spans="1:21">
      <c r="A17" s="4" t="s">
        <v>90</v>
      </c>
      <c r="B17" s="1" t="s">
        <v>73</v>
      </c>
      <c r="C17" s="1">
        <v>0</v>
      </c>
      <c r="D17" s="4">
        <f>100-C17-10</f>
        <v>90</v>
      </c>
      <c r="E17" s="1" t="s">
        <v>164</v>
      </c>
      <c r="F17" s="1">
        <v>37.200000000000003</v>
      </c>
      <c r="G17" s="3">
        <f t="shared" si="7"/>
        <v>69.05</v>
      </c>
      <c r="H17" s="1" t="s">
        <v>47</v>
      </c>
      <c r="I17" s="1">
        <v>121.4</v>
      </c>
      <c r="J17" s="4">
        <f t="shared" si="10"/>
        <v>-31.400000000000006</v>
      </c>
      <c r="K17" s="1" t="s">
        <v>164</v>
      </c>
      <c r="L17" s="1">
        <v>24.8</v>
      </c>
      <c r="M17" s="3">
        <f t="shared" si="8"/>
        <v>50.5</v>
      </c>
      <c r="P17" s="4">
        <f t="shared" si="9"/>
        <v>0</v>
      </c>
      <c r="S17" s="3">
        <f t="shared" si="11"/>
        <v>56.75</v>
      </c>
      <c r="T17" s="5">
        <f t="shared" si="6"/>
        <v>581.12</v>
      </c>
      <c r="U17" s="1">
        <f t="shared" si="5"/>
        <v>-581.12</v>
      </c>
    </row>
    <row r="18" spans="1:21">
      <c r="A18" s="4" t="s">
        <v>91</v>
      </c>
      <c r="B18" s="1" t="s">
        <v>136</v>
      </c>
      <c r="D18" s="4">
        <f>100-C18-10</f>
        <v>90</v>
      </c>
      <c r="E18" s="1" t="s">
        <v>163</v>
      </c>
      <c r="F18" s="1">
        <v>102.75</v>
      </c>
      <c r="G18" s="3">
        <f t="shared" si="7"/>
        <v>0</v>
      </c>
      <c r="J18" s="4">
        <f t="shared" si="10"/>
        <v>90</v>
      </c>
      <c r="M18" s="3">
        <f t="shared" si="8"/>
        <v>0</v>
      </c>
      <c r="P18" s="4">
        <f t="shared" si="9"/>
        <v>90</v>
      </c>
      <c r="S18" s="3">
        <f t="shared" si="11"/>
        <v>0</v>
      </c>
      <c r="T18" s="5">
        <f t="shared" si="6"/>
        <v>-921.6</v>
      </c>
      <c r="U18" s="1">
        <f t="shared" si="5"/>
        <v>921.6</v>
      </c>
    </row>
    <row r="19" spans="1:21">
      <c r="A19" s="4" t="s">
        <v>92</v>
      </c>
      <c r="B19" s="1" t="s">
        <v>47</v>
      </c>
      <c r="C19" s="1">
        <v>148.19999999999999</v>
      </c>
      <c r="D19" s="4">
        <v>1</v>
      </c>
      <c r="E19" s="1" t="s">
        <v>165</v>
      </c>
      <c r="F19" s="1">
        <v>42.35</v>
      </c>
      <c r="G19" s="3">
        <f t="shared" si="7"/>
        <v>63.9</v>
      </c>
      <c r="H19" s="1" t="s">
        <v>47</v>
      </c>
      <c r="I19" s="1">
        <v>148.19999999999999</v>
      </c>
      <c r="J19" s="4">
        <f t="shared" si="10"/>
        <v>-147.19999999999999</v>
      </c>
      <c r="K19" s="1" t="s">
        <v>165</v>
      </c>
      <c r="L19" s="1">
        <v>42.35</v>
      </c>
      <c r="M19" s="3">
        <f t="shared" si="8"/>
        <v>27.799999999999997</v>
      </c>
      <c r="P19" s="4">
        <f t="shared" si="9"/>
        <v>0</v>
      </c>
      <c r="S19" s="3">
        <f t="shared" si="11"/>
        <v>34.049999999999997</v>
      </c>
      <c r="T19" s="5">
        <f t="shared" si="6"/>
        <v>348.67199999999997</v>
      </c>
      <c r="U19" s="1">
        <f t="shared" si="5"/>
        <v>-348.67199999999997</v>
      </c>
    </row>
    <row r="20" spans="1:21">
      <c r="A20" s="4" t="s">
        <v>93</v>
      </c>
      <c r="B20" s="1" t="s">
        <v>73</v>
      </c>
      <c r="C20" s="1">
        <v>0</v>
      </c>
      <c r="D20" s="4">
        <f t="shared" si="0"/>
        <v>100</v>
      </c>
      <c r="E20" s="1" t="s">
        <v>158</v>
      </c>
      <c r="F20" s="1">
        <v>0</v>
      </c>
      <c r="G20" s="3">
        <f t="shared" si="7"/>
        <v>100</v>
      </c>
      <c r="H20" s="1" t="s">
        <v>47</v>
      </c>
      <c r="I20" s="1">
        <v>57.55</v>
      </c>
      <c r="J20" s="4">
        <f t="shared" si="10"/>
        <v>42.45</v>
      </c>
      <c r="K20" s="1" t="s">
        <v>52</v>
      </c>
      <c r="L20" s="1">
        <v>42.6</v>
      </c>
      <c r="M20" s="3">
        <f t="shared" si="8"/>
        <v>63.65</v>
      </c>
      <c r="P20" s="4">
        <f t="shared" si="9"/>
        <v>42.45</v>
      </c>
      <c r="Q20" s="1" t="s">
        <v>52</v>
      </c>
      <c r="R20" s="1">
        <v>106.15</v>
      </c>
      <c r="S20" s="3">
        <f t="shared" si="11"/>
        <v>0</v>
      </c>
      <c r="T20" s="5">
        <f t="shared" si="6"/>
        <v>-434.68800000000005</v>
      </c>
      <c r="U20" s="1">
        <f t="shared" si="5"/>
        <v>434.68800000000005</v>
      </c>
    </row>
    <row r="21" spans="1:21">
      <c r="A21" s="4" t="s">
        <v>94</v>
      </c>
      <c r="B21" s="1" t="s">
        <v>47</v>
      </c>
      <c r="C21" s="1">
        <v>62.2</v>
      </c>
      <c r="D21" s="4">
        <f t="shared" si="0"/>
        <v>37.799999999999997</v>
      </c>
      <c r="E21" s="1" t="s">
        <v>71</v>
      </c>
      <c r="F21" s="1">
        <f>93.55+8</f>
        <v>101.55</v>
      </c>
      <c r="G21" s="3">
        <f t="shared" si="7"/>
        <v>0</v>
      </c>
      <c r="J21" s="4">
        <f t="shared" si="10"/>
        <v>37.799999999999997</v>
      </c>
      <c r="M21" s="3">
        <f t="shared" si="8"/>
        <v>0</v>
      </c>
      <c r="P21" s="4">
        <f t="shared" si="9"/>
        <v>37.799999999999997</v>
      </c>
      <c r="S21" s="3">
        <f t="shared" si="11"/>
        <v>0</v>
      </c>
      <c r="T21" s="5">
        <f t="shared" si="6"/>
        <v>-387.07199999999995</v>
      </c>
      <c r="U21" s="1">
        <f t="shared" si="5"/>
        <v>387.07199999999995</v>
      </c>
    </row>
    <row r="22" spans="1:21">
      <c r="A22" s="4" t="s">
        <v>95</v>
      </c>
      <c r="B22" s="1" t="s">
        <v>73</v>
      </c>
      <c r="C22" s="1">
        <v>0</v>
      </c>
      <c r="D22" s="4">
        <f t="shared" si="0"/>
        <v>100</v>
      </c>
      <c r="E22" s="1" t="s">
        <v>167</v>
      </c>
      <c r="F22" s="1">
        <v>35.799999999999997</v>
      </c>
      <c r="G22" s="3">
        <f t="shared" si="7"/>
        <v>70.45</v>
      </c>
      <c r="H22" s="1" t="s">
        <v>47</v>
      </c>
      <c r="I22" s="1">
        <v>57.05</v>
      </c>
      <c r="J22" s="4">
        <f t="shared" si="10"/>
        <v>42.95</v>
      </c>
      <c r="K22" s="1" t="s">
        <v>167</v>
      </c>
      <c r="L22" s="1">
        <v>35.799999999999997</v>
      </c>
      <c r="M22" s="3">
        <f t="shared" si="8"/>
        <v>40.900000000000006</v>
      </c>
      <c r="N22" s="1" t="s">
        <v>47</v>
      </c>
      <c r="O22" s="1">
        <v>57.05</v>
      </c>
      <c r="P22" s="4">
        <f t="shared" si="9"/>
        <v>0</v>
      </c>
      <c r="Q22" s="1" t="s">
        <v>167</v>
      </c>
      <c r="R22" s="1">
        <v>35.799999999999997</v>
      </c>
      <c r="S22" s="3">
        <f t="shared" si="11"/>
        <v>11.350000000000009</v>
      </c>
      <c r="T22" s="5">
        <f t="shared" si="6"/>
        <v>116.22400000000009</v>
      </c>
      <c r="U22" s="1">
        <f t="shared" si="5"/>
        <v>-116.22400000000009</v>
      </c>
    </row>
    <row r="23" spans="1:21">
      <c r="A23" s="4" t="s">
        <v>96</v>
      </c>
      <c r="B23" s="1" t="s">
        <v>73</v>
      </c>
      <c r="C23" s="1">
        <v>0</v>
      </c>
      <c r="D23" s="4">
        <f t="shared" si="0"/>
        <v>100</v>
      </c>
      <c r="E23" s="1" t="s">
        <v>73</v>
      </c>
      <c r="F23" s="1">
        <v>0</v>
      </c>
      <c r="G23" s="3">
        <f t="shared" si="7"/>
        <v>100</v>
      </c>
      <c r="H23" s="1" t="s">
        <v>47</v>
      </c>
      <c r="I23" s="1">
        <v>20.45</v>
      </c>
      <c r="J23" s="4">
        <f t="shared" si="10"/>
        <v>79.55</v>
      </c>
      <c r="K23" s="1" t="s">
        <v>168</v>
      </c>
      <c r="L23" s="1">
        <v>36.1</v>
      </c>
      <c r="M23" s="3">
        <f t="shared" si="8"/>
        <v>70.150000000000006</v>
      </c>
      <c r="N23" s="1" t="s">
        <v>47</v>
      </c>
      <c r="O23" s="1">
        <v>20.45</v>
      </c>
      <c r="P23" s="4">
        <f t="shared" si="9"/>
        <v>59.099999999999994</v>
      </c>
      <c r="Q23" s="1" t="s">
        <v>168</v>
      </c>
      <c r="R23" s="1">
        <v>36.1</v>
      </c>
      <c r="S23" s="3">
        <f t="shared" si="11"/>
        <v>40.300000000000004</v>
      </c>
      <c r="T23" s="5">
        <f t="shared" si="6"/>
        <v>-192.51199999999989</v>
      </c>
      <c r="U23" s="1">
        <f t="shared" si="5"/>
        <v>192.51199999999989</v>
      </c>
    </row>
    <row r="24" spans="1:21">
      <c r="A24" s="4" t="s">
        <v>97</v>
      </c>
      <c r="B24" s="1" t="s">
        <v>73</v>
      </c>
      <c r="C24" s="1">
        <v>0</v>
      </c>
      <c r="D24" s="4">
        <f t="shared" si="0"/>
        <v>100</v>
      </c>
      <c r="E24" s="1" t="s">
        <v>127</v>
      </c>
      <c r="F24" s="1">
        <v>25.65</v>
      </c>
      <c r="G24" s="3">
        <f t="shared" si="7"/>
        <v>80.599999999999994</v>
      </c>
      <c r="H24" s="1" t="s">
        <v>125</v>
      </c>
      <c r="I24" s="1">
        <v>52.95</v>
      </c>
      <c r="J24" s="4">
        <f t="shared" si="10"/>
        <v>47.05</v>
      </c>
      <c r="K24" s="1" t="s">
        <v>127</v>
      </c>
      <c r="L24" s="1">
        <v>25.65</v>
      </c>
      <c r="M24" s="3">
        <f t="shared" si="8"/>
        <v>61.199999999999996</v>
      </c>
      <c r="N24" s="1" t="s">
        <v>125</v>
      </c>
      <c r="O24" s="1">
        <v>52.95</v>
      </c>
      <c r="P24" s="4">
        <f t="shared" si="9"/>
        <v>0</v>
      </c>
      <c r="S24" s="3">
        <f t="shared" si="11"/>
        <v>67.449999999999989</v>
      </c>
      <c r="T24" s="5">
        <f t="shared" si="6"/>
        <v>690.68799999999987</v>
      </c>
      <c r="U24" s="1">
        <f t="shared" si="5"/>
        <v>-690.68799999999987</v>
      </c>
    </row>
    <row r="25" spans="1:21">
      <c r="A25" s="4" t="s">
        <v>98</v>
      </c>
      <c r="B25" s="1" t="s">
        <v>73</v>
      </c>
      <c r="C25" s="1">
        <v>0</v>
      </c>
      <c r="D25" s="4">
        <f t="shared" si="0"/>
        <v>100</v>
      </c>
      <c r="E25" s="1" t="s">
        <v>75</v>
      </c>
      <c r="F25" s="1">
        <v>0</v>
      </c>
      <c r="G25" s="3">
        <f t="shared" si="7"/>
        <v>100</v>
      </c>
      <c r="H25" s="1" t="s">
        <v>125</v>
      </c>
      <c r="I25" s="1">
        <v>11.9</v>
      </c>
      <c r="J25" s="4">
        <f t="shared" si="10"/>
        <v>88.1</v>
      </c>
      <c r="K25" s="1" t="s">
        <v>169</v>
      </c>
      <c r="L25" s="1">
        <v>42.9</v>
      </c>
      <c r="M25" s="3">
        <f t="shared" si="8"/>
        <v>63.35</v>
      </c>
      <c r="N25" s="1" t="s">
        <v>47</v>
      </c>
      <c r="O25" s="1">
        <v>102.35</v>
      </c>
      <c r="P25" s="4">
        <f t="shared" si="9"/>
        <v>0</v>
      </c>
      <c r="Q25" s="1" t="s">
        <v>169</v>
      </c>
      <c r="R25" s="1">
        <v>42.9</v>
      </c>
      <c r="S25" s="3">
        <f t="shared" si="11"/>
        <v>26.700000000000003</v>
      </c>
      <c r="T25" s="5">
        <f t="shared" si="6"/>
        <v>273.40800000000002</v>
      </c>
      <c r="U25" s="1">
        <f t="shared" si="5"/>
        <v>-273.40800000000002</v>
      </c>
    </row>
    <row r="26" spans="1:21">
      <c r="A26" s="4" t="s">
        <v>99</v>
      </c>
      <c r="B26" s="1" t="s">
        <v>47</v>
      </c>
      <c r="C26" s="1">
        <v>97.65</v>
      </c>
      <c r="D26" s="4">
        <f t="shared" si="0"/>
        <v>2.3499999999999943</v>
      </c>
      <c r="E26" s="1" t="s">
        <v>77</v>
      </c>
      <c r="F26" s="1">
        <v>35</v>
      </c>
      <c r="G26" s="3">
        <f t="shared" si="7"/>
        <v>71.25</v>
      </c>
      <c r="H26" s="1" t="s">
        <v>47</v>
      </c>
      <c r="I26" s="1">
        <v>97.65</v>
      </c>
      <c r="J26" s="4">
        <f t="shared" si="10"/>
        <v>-95.300000000000011</v>
      </c>
      <c r="K26" s="1" t="s">
        <v>77</v>
      </c>
      <c r="L26" s="1">
        <v>35</v>
      </c>
      <c r="M26" s="3">
        <f t="shared" si="8"/>
        <v>42.5</v>
      </c>
      <c r="P26" s="4">
        <f t="shared" si="9"/>
        <v>0</v>
      </c>
      <c r="S26" s="3">
        <f t="shared" si="11"/>
        <v>48.75</v>
      </c>
      <c r="T26" s="5">
        <f t="shared" si="6"/>
        <v>499.2</v>
      </c>
      <c r="U26" s="1">
        <f t="shared" si="5"/>
        <v>-499.2</v>
      </c>
    </row>
    <row r="27" spans="1:21">
      <c r="A27" s="4" t="s">
        <v>100</v>
      </c>
      <c r="B27" s="1" t="s">
        <v>73</v>
      </c>
      <c r="C27" s="1">
        <v>0</v>
      </c>
      <c r="D27" s="4">
        <f t="shared" si="0"/>
        <v>100</v>
      </c>
      <c r="E27" s="1" t="s">
        <v>53</v>
      </c>
      <c r="F27" s="1">
        <v>30.15</v>
      </c>
      <c r="G27" s="3">
        <f t="shared" si="7"/>
        <v>76.099999999999994</v>
      </c>
      <c r="H27" s="1" t="s">
        <v>47</v>
      </c>
      <c r="I27" s="1">
        <v>37.85</v>
      </c>
      <c r="J27" s="4">
        <f t="shared" si="10"/>
        <v>62.15</v>
      </c>
      <c r="K27" s="1" t="s">
        <v>53</v>
      </c>
      <c r="L27" s="1">
        <v>30.15</v>
      </c>
      <c r="M27" s="3">
        <f t="shared" si="8"/>
        <v>52.199999999999996</v>
      </c>
      <c r="N27" s="1" t="s">
        <v>47</v>
      </c>
      <c r="O27" s="1">
        <v>37.85</v>
      </c>
      <c r="P27" s="4">
        <f t="shared" si="9"/>
        <v>24.299999999999997</v>
      </c>
      <c r="Q27" s="1" t="s">
        <v>53</v>
      </c>
      <c r="R27" s="1">
        <v>30.15</v>
      </c>
      <c r="S27" s="3">
        <f t="shared" si="11"/>
        <v>28.299999999999997</v>
      </c>
      <c r="T27" s="5">
        <f t="shared" si="6"/>
        <v>40.96</v>
      </c>
      <c r="U27" s="1">
        <f t="shared" si="5"/>
        <v>-40.96</v>
      </c>
    </row>
    <row r="28" spans="1:21">
      <c r="A28" s="4" t="s">
        <v>101</v>
      </c>
      <c r="B28" s="1" t="s">
        <v>73</v>
      </c>
      <c r="C28" s="1">
        <v>0</v>
      </c>
      <c r="D28" s="4">
        <f t="shared" si="0"/>
        <v>100</v>
      </c>
      <c r="E28" s="1" t="s">
        <v>39</v>
      </c>
      <c r="F28" s="1">
        <v>25.65</v>
      </c>
      <c r="G28" s="3">
        <f t="shared" si="7"/>
        <v>80.599999999999994</v>
      </c>
      <c r="H28" s="1" t="s">
        <v>47</v>
      </c>
      <c r="I28" s="1">
        <v>44.4</v>
      </c>
      <c r="J28" s="4">
        <f t="shared" si="10"/>
        <v>55.6</v>
      </c>
      <c r="K28" s="1" t="s">
        <v>39</v>
      </c>
      <c r="L28" s="1">
        <v>25.65</v>
      </c>
      <c r="M28" s="3">
        <f t="shared" si="8"/>
        <v>61.199999999999996</v>
      </c>
      <c r="N28" s="1" t="s">
        <v>47</v>
      </c>
      <c r="O28" s="1">
        <v>44.4</v>
      </c>
      <c r="P28" s="4">
        <f t="shared" si="9"/>
        <v>11.200000000000003</v>
      </c>
      <c r="Q28" s="1" t="s">
        <v>39</v>
      </c>
      <c r="R28" s="1">
        <v>25.65</v>
      </c>
      <c r="S28" s="3">
        <f t="shared" si="11"/>
        <v>41.8</v>
      </c>
      <c r="T28" s="5">
        <f t="shared" si="6"/>
        <v>313.34399999999994</v>
      </c>
      <c r="U28" s="1">
        <f t="shared" si="5"/>
        <v>-313.34399999999994</v>
      </c>
    </row>
    <row r="29" spans="1:21">
      <c r="A29" s="4" t="s">
        <v>102</v>
      </c>
      <c r="B29" s="1" t="s">
        <v>158</v>
      </c>
      <c r="C29" s="1">
        <v>0</v>
      </c>
      <c r="D29" s="4">
        <f t="shared" si="0"/>
        <v>100</v>
      </c>
      <c r="E29" s="1" t="s">
        <v>129</v>
      </c>
      <c r="F29" s="1">
        <v>0</v>
      </c>
      <c r="G29" s="3">
        <f t="shared" si="7"/>
        <v>100</v>
      </c>
      <c r="H29" s="1" t="s">
        <v>47</v>
      </c>
      <c r="I29" s="1">
        <v>13.8</v>
      </c>
      <c r="J29" s="4">
        <f t="shared" si="10"/>
        <v>86.2</v>
      </c>
      <c r="K29" s="1" t="s">
        <v>170</v>
      </c>
      <c r="L29" s="1">
        <v>52.5</v>
      </c>
      <c r="M29" s="3">
        <f t="shared" si="8"/>
        <v>53.75</v>
      </c>
      <c r="N29" s="1" t="s">
        <v>47</v>
      </c>
      <c r="O29" s="1">
        <v>13.8</v>
      </c>
      <c r="P29" s="4">
        <f t="shared" si="9"/>
        <v>72.400000000000006</v>
      </c>
      <c r="Q29" s="1" t="s">
        <v>170</v>
      </c>
      <c r="R29" s="1">
        <v>52.5</v>
      </c>
      <c r="S29" s="3">
        <f t="shared" si="11"/>
        <v>7.5</v>
      </c>
      <c r="T29" s="5">
        <f t="shared" si="6"/>
        <v>-664.57600000000002</v>
      </c>
      <c r="U29" s="1">
        <f t="shared" si="5"/>
        <v>664.57600000000002</v>
      </c>
    </row>
    <row r="30" spans="1:21">
      <c r="A30" s="4" t="s">
        <v>103</v>
      </c>
      <c r="B30" s="1" t="s">
        <v>47</v>
      </c>
      <c r="C30" s="1">
        <v>50.3</v>
      </c>
      <c r="D30" s="4">
        <f t="shared" si="0"/>
        <v>49.7</v>
      </c>
      <c r="E30" s="1" t="s">
        <v>78</v>
      </c>
      <c r="F30" s="1">
        <v>93.7</v>
      </c>
      <c r="G30" s="3">
        <f t="shared" si="7"/>
        <v>12.549999999999997</v>
      </c>
      <c r="J30" s="4">
        <f t="shared" si="10"/>
        <v>49.7</v>
      </c>
      <c r="K30" s="1" t="s">
        <v>78</v>
      </c>
      <c r="L30" s="1">
        <v>93.7</v>
      </c>
      <c r="M30" s="3">
        <f t="shared" si="8"/>
        <v>0</v>
      </c>
      <c r="P30" s="4">
        <f t="shared" si="9"/>
        <v>49.7</v>
      </c>
      <c r="S30" s="3">
        <f t="shared" si="11"/>
        <v>0</v>
      </c>
      <c r="T30" s="5">
        <f t="shared" si="6"/>
        <v>-508.92800000000005</v>
      </c>
      <c r="U30" s="1">
        <f t="shared" si="5"/>
        <v>508.92800000000005</v>
      </c>
    </row>
    <row r="31" spans="1:21">
      <c r="A31" s="4" t="s">
        <v>104</v>
      </c>
      <c r="B31" s="1" t="s">
        <v>47</v>
      </c>
      <c r="C31" s="1">
        <v>80.650000000000006</v>
      </c>
      <c r="D31" s="4">
        <f>100-C31-10</f>
        <v>9.3499999999999943</v>
      </c>
      <c r="E31" s="1" t="s">
        <v>169</v>
      </c>
      <c r="F31" s="1">
        <v>37.799999999999997</v>
      </c>
      <c r="G31" s="3">
        <f t="shared" si="7"/>
        <v>68.45</v>
      </c>
      <c r="H31" s="1" t="s">
        <v>47</v>
      </c>
      <c r="I31" s="1">
        <v>80.650000000000006</v>
      </c>
      <c r="J31" s="4">
        <f>D31-I31</f>
        <v>-71.300000000000011</v>
      </c>
      <c r="K31" s="1" t="s">
        <v>169</v>
      </c>
      <c r="L31" s="1">
        <v>37.799999999999997</v>
      </c>
      <c r="M31" s="3">
        <f t="shared" si="8"/>
        <v>36.900000000000006</v>
      </c>
      <c r="P31" s="4">
        <f t="shared" si="9"/>
        <v>0</v>
      </c>
      <c r="S31" s="3">
        <f t="shared" si="11"/>
        <v>43.150000000000006</v>
      </c>
      <c r="T31" s="5">
        <f t="shared" si="6"/>
        <v>441.85600000000005</v>
      </c>
      <c r="U31" s="1">
        <f t="shared" si="5"/>
        <v>-441.85600000000005</v>
      </c>
    </row>
    <row r="32" spans="1:21">
      <c r="A32" s="4" t="s">
        <v>105</v>
      </c>
      <c r="B32" s="1" t="s">
        <v>47</v>
      </c>
      <c r="C32" s="1">
        <v>80.650000000000006</v>
      </c>
      <c r="D32" s="4">
        <f t="shared" si="0"/>
        <v>19.349999999999994</v>
      </c>
      <c r="E32" s="1" t="s">
        <v>52</v>
      </c>
      <c r="F32" s="1">
        <v>68.599999999999994</v>
      </c>
      <c r="G32" s="3">
        <f t="shared" si="7"/>
        <v>37.650000000000006</v>
      </c>
      <c r="J32" s="4">
        <f t="shared" si="10"/>
        <v>19.349999999999994</v>
      </c>
      <c r="K32" s="1" t="s">
        <v>52</v>
      </c>
      <c r="L32" s="1">
        <v>68.599999999999994</v>
      </c>
      <c r="M32" s="3">
        <f t="shared" si="8"/>
        <v>0</v>
      </c>
      <c r="P32" s="4">
        <f t="shared" si="9"/>
        <v>19.349999999999994</v>
      </c>
      <c r="S32" s="3">
        <f t="shared" si="11"/>
        <v>0</v>
      </c>
      <c r="T32" s="5">
        <f t="shared" si="6"/>
        <v>-198.14399999999995</v>
      </c>
      <c r="U32" s="1">
        <f t="shared" si="5"/>
        <v>198.14399999999995</v>
      </c>
    </row>
    <row r="33" spans="1:21">
      <c r="A33" s="4" t="s">
        <v>106</v>
      </c>
      <c r="B33" s="1" t="s">
        <v>47</v>
      </c>
      <c r="C33" s="1">
        <v>44.4</v>
      </c>
      <c r="D33" s="4">
        <f t="shared" si="0"/>
        <v>55.6</v>
      </c>
      <c r="E33" s="1" t="s">
        <v>78</v>
      </c>
      <c r="F33" s="1">
        <v>66.650000000000006</v>
      </c>
      <c r="G33" s="3">
        <f t="shared" si="7"/>
        <v>39.599999999999994</v>
      </c>
      <c r="J33" s="4">
        <f t="shared" si="10"/>
        <v>55.6</v>
      </c>
      <c r="K33" s="1" t="s">
        <v>78</v>
      </c>
      <c r="L33" s="1">
        <v>66.650000000000006</v>
      </c>
      <c r="M33" s="3">
        <f t="shared" si="8"/>
        <v>0</v>
      </c>
      <c r="P33" s="4">
        <f t="shared" si="9"/>
        <v>55.6</v>
      </c>
      <c r="S33" s="3">
        <f t="shared" si="11"/>
        <v>0</v>
      </c>
      <c r="T33" s="5">
        <f t="shared" si="6"/>
        <v>-569.34400000000005</v>
      </c>
      <c r="U33" s="1">
        <f t="shared" si="5"/>
        <v>569.34400000000005</v>
      </c>
    </row>
    <row r="34" spans="1:21">
      <c r="A34" s="4" t="s">
        <v>107</v>
      </c>
      <c r="B34" s="1" t="s">
        <v>47</v>
      </c>
      <c r="C34" s="1">
        <v>83.6</v>
      </c>
      <c r="D34" s="4">
        <f t="shared" si="0"/>
        <v>16.400000000000006</v>
      </c>
      <c r="E34" s="1" t="s">
        <v>111</v>
      </c>
      <c r="F34" s="1">
        <v>34.4</v>
      </c>
      <c r="G34" s="3">
        <f t="shared" si="7"/>
        <v>71.849999999999994</v>
      </c>
      <c r="H34" s="1" t="s">
        <v>47</v>
      </c>
      <c r="I34" s="1">
        <v>83.6</v>
      </c>
      <c r="J34" s="4">
        <f t="shared" si="10"/>
        <v>-67.199999999999989</v>
      </c>
      <c r="K34" s="1" t="s">
        <v>111</v>
      </c>
      <c r="L34" s="1">
        <v>34.4</v>
      </c>
      <c r="M34" s="3">
        <f t="shared" si="8"/>
        <v>43.699999999999996</v>
      </c>
      <c r="P34" s="4">
        <f t="shared" si="9"/>
        <v>0</v>
      </c>
      <c r="S34" s="3">
        <f t="shared" si="11"/>
        <v>49.949999999999996</v>
      </c>
      <c r="T34" s="5">
        <f t="shared" si="6"/>
        <v>511.48799999999994</v>
      </c>
      <c r="U34" s="1">
        <f t="shared" si="5"/>
        <v>-511.48799999999994</v>
      </c>
    </row>
    <row r="35" spans="1:21">
      <c r="A35" s="4" t="s">
        <v>108</v>
      </c>
      <c r="B35" s="1" t="s">
        <v>73</v>
      </c>
      <c r="C35" s="1">
        <v>0</v>
      </c>
      <c r="D35" s="4">
        <f t="shared" si="0"/>
        <v>100</v>
      </c>
      <c r="E35" s="1" t="s">
        <v>124</v>
      </c>
      <c r="F35" s="1">
        <f>39.5+6.25</f>
        <v>45.75</v>
      </c>
      <c r="G35" s="3">
        <f t="shared" si="7"/>
        <v>60.5</v>
      </c>
      <c r="H35" s="1" t="s">
        <v>47</v>
      </c>
      <c r="I35" s="1">
        <v>36.65</v>
      </c>
      <c r="J35" s="4">
        <f t="shared" si="10"/>
        <v>63.35</v>
      </c>
      <c r="K35" s="1" t="s">
        <v>124</v>
      </c>
      <c r="L35" s="1">
        <f>39.5+6.25</f>
        <v>45.75</v>
      </c>
      <c r="M35" s="3">
        <f t="shared" si="8"/>
        <v>21</v>
      </c>
      <c r="N35" s="1" t="s">
        <v>47</v>
      </c>
      <c r="O35" s="1">
        <v>36.65</v>
      </c>
      <c r="P35" s="4">
        <f t="shared" si="9"/>
        <v>26.700000000000003</v>
      </c>
      <c r="Q35" s="1" t="s">
        <v>124</v>
      </c>
      <c r="R35" s="1">
        <f>39.5+6.25</f>
        <v>45.75</v>
      </c>
      <c r="S35" s="3">
        <f t="shared" si="11"/>
        <v>0</v>
      </c>
      <c r="T35" s="5">
        <f t="shared" si="6"/>
        <v>-273.40800000000002</v>
      </c>
      <c r="U35" s="1">
        <f t="shared" si="5"/>
        <v>273.40800000000002</v>
      </c>
    </row>
    <row r="36" spans="1:21">
      <c r="A36" s="4" t="s">
        <v>109</v>
      </c>
      <c r="B36" s="1" t="s">
        <v>47</v>
      </c>
      <c r="C36" s="1">
        <v>72.05</v>
      </c>
      <c r="D36" s="4">
        <f t="shared" si="0"/>
        <v>27.950000000000003</v>
      </c>
      <c r="E36" s="1" t="s">
        <v>50</v>
      </c>
      <c r="F36" s="1">
        <v>0</v>
      </c>
      <c r="G36" s="3">
        <f t="shared" si="7"/>
        <v>100</v>
      </c>
      <c r="H36" s="1" t="s">
        <v>47</v>
      </c>
      <c r="I36" s="1">
        <v>72.05</v>
      </c>
      <c r="J36" s="4">
        <f t="shared" si="10"/>
        <v>-44.099999999999994</v>
      </c>
      <c r="K36" s="1" t="s">
        <v>39</v>
      </c>
      <c r="L36" s="1">
        <v>69.150000000000006</v>
      </c>
      <c r="M36" s="3">
        <f t="shared" si="8"/>
        <v>37.099999999999994</v>
      </c>
      <c r="P36" s="4">
        <f t="shared" si="9"/>
        <v>0</v>
      </c>
      <c r="S36" s="3">
        <f t="shared" si="11"/>
        <v>43.349999999999994</v>
      </c>
      <c r="T36" s="5">
        <f t="shared" si="6"/>
        <v>443.90399999999994</v>
      </c>
      <c r="U36" s="1">
        <f t="shared" si="5"/>
        <v>-443.90399999999994</v>
      </c>
    </row>
    <row r="37" spans="1:21">
      <c r="A37" s="4" t="s">
        <v>110</v>
      </c>
      <c r="B37" s="1" t="s">
        <v>47</v>
      </c>
      <c r="C37" s="1">
        <v>178.2</v>
      </c>
      <c r="D37" s="4">
        <v>1</v>
      </c>
      <c r="E37" s="1" t="s">
        <v>146</v>
      </c>
      <c r="F37" s="1">
        <v>14.05</v>
      </c>
      <c r="G37" s="3">
        <f t="shared" si="7"/>
        <v>92.2</v>
      </c>
      <c r="H37" s="1" t="s">
        <v>47</v>
      </c>
      <c r="I37" s="1">
        <v>178.2</v>
      </c>
      <c r="J37" s="4">
        <f t="shared" si="10"/>
        <v>-177.2</v>
      </c>
      <c r="K37" s="1" t="s">
        <v>146</v>
      </c>
      <c r="L37" s="1">
        <v>14.05</v>
      </c>
      <c r="M37" s="3">
        <f t="shared" si="8"/>
        <v>84.4</v>
      </c>
      <c r="P37" s="4">
        <f t="shared" si="9"/>
        <v>0</v>
      </c>
      <c r="S37" s="3">
        <f t="shared" si="11"/>
        <v>90.65</v>
      </c>
      <c r="T37" s="5">
        <f t="shared" si="6"/>
        <v>928.25600000000009</v>
      </c>
      <c r="U37" s="1">
        <f t="shared" si="5"/>
        <v>-928.25600000000009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1EB6-DDDE-4F76-BBF1-43029B943922}">
  <dimension ref="A1:Y3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8" sqref="E38"/>
    </sheetView>
  </sheetViews>
  <sheetFormatPr defaultRowHeight="18.75"/>
  <cols>
    <col min="1" max="1" width="13.5" style="1" customWidth="1"/>
    <col min="2" max="16384" width="9" style="1"/>
  </cols>
  <sheetData>
    <row r="1" spans="1:25">
      <c r="A1" s="3" t="s">
        <v>82</v>
      </c>
      <c r="B1" s="3" t="s">
        <v>171</v>
      </c>
      <c r="C1" s="3" t="s">
        <v>151</v>
      </c>
      <c r="D1" s="3" t="s">
        <v>116</v>
      </c>
      <c r="E1" s="3">
        <v>131</v>
      </c>
      <c r="F1" s="3">
        <v>142</v>
      </c>
      <c r="G1" s="3">
        <v>100</v>
      </c>
      <c r="H1" s="3">
        <v>63</v>
      </c>
      <c r="I1" s="3">
        <v>112</v>
      </c>
      <c r="J1" s="3">
        <v>162</v>
      </c>
      <c r="K1" s="3" t="s">
        <v>66</v>
      </c>
      <c r="L1" s="3" t="s">
        <v>172</v>
      </c>
      <c r="M1" s="3" t="s">
        <v>173</v>
      </c>
      <c r="N1" s="3" t="s">
        <v>160</v>
      </c>
      <c r="O1" s="3" t="s">
        <v>151</v>
      </c>
      <c r="P1" s="3">
        <v>90</v>
      </c>
      <c r="Q1" s="3" t="s">
        <v>126</v>
      </c>
      <c r="R1" s="3" t="s">
        <v>171</v>
      </c>
      <c r="S1" s="3">
        <v>40</v>
      </c>
      <c r="T1" s="3" t="s">
        <v>50</v>
      </c>
      <c r="U1" s="3" t="s">
        <v>174</v>
      </c>
      <c r="V1" s="3" t="s">
        <v>175</v>
      </c>
      <c r="W1" s="3" t="s">
        <v>51</v>
      </c>
      <c r="X1" s="3" t="s">
        <v>171</v>
      </c>
      <c r="Y1" s="3">
        <v>90</v>
      </c>
    </row>
    <row r="2" spans="1:25">
      <c r="B2" s="1" t="s">
        <v>54</v>
      </c>
      <c r="H2" s="1" t="s">
        <v>55</v>
      </c>
      <c r="N2" s="1" t="s">
        <v>56</v>
      </c>
    </row>
    <row r="3" spans="1:25">
      <c r="A3" s="4" t="s">
        <v>128</v>
      </c>
      <c r="B3" s="1" t="s">
        <v>35</v>
      </c>
      <c r="C3" s="1" t="s">
        <v>36</v>
      </c>
      <c r="D3" s="4" t="s">
        <v>42</v>
      </c>
      <c r="E3" s="1" t="s">
        <v>37</v>
      </c>
      <c r="F3" s="1" t="s">
        <v>38</v>
      </c>
      <c r="G3" s="3" t="s">
        <v>41</v>
      </c>
      <c r="H3" s="1" t="s">
        <v>35</v>
      </c>
      <c r="I3" s="1" t="s">
        <v>36</v>
      </c>
      <c r="J3" s="4" t="s">
        <v>42</v>
      </c>
      <c r="K3" s="1" t="s">
        <v>37</v>
      </c>
      <c r="L3" s="1" t="s">
        <v>38</v>
      </c>
      <c r="M3" s="3" t="s">
        <v>41</v>
      </c>
      <c r="N3" s="1" t="s">
        <v>35</v>
      </c>
      <c r="O3" s="1" t="s">
        <v>36</v>
      </c>
      <c r="P3" s="4" t="s">
        <v>42</v>
      </c>
      <c r="Q3" s="1" t="s">
        <v>37</v>
      </c>
      <c r="R3" s="1" t="s">
        <v>38</v>
      </c>
      <c r="S3" s="3" t="s">
        <v>41</v>
      </c>
      <c r="T3" s="5" t="s">
        <v>45</v>
      </c>
      <c r="U3" s="1" t="s">
        <v>114</v>
      </c>
    </row>
    <row r="4" spans="1:25">
      <c r="A4" s="4" t="s">
        <v>80</v>
      </c>
      <c r="B4" s="1" t="s">
        <v>123</v>
      </c>
    </row>
    <row r="5" spans="1:25">
      <c r="A5" s="4" t="s">
        <v>79</v>
      </c>
      <c r="B5" s="1" t="s">
        <v>123</v>
      </c>
    </row>
    <row r="6" spans="1:25">
      <c r="A6" s="4" t="s">
        <v>2</v>
      </c>
      <c r="B6" s="1" t="s">
        <v>123</v>
      </c>
    </row>
    <row r="7" spans="1:25">
      <c r="A7" s="4" t="s">
        <v>81</v>
      </c>
      <c r="B7" s="1" t="s">
        <v>123</v>
      </c>
    </row>
    <row r="8" spans="1:25">
      <c r="A8" s="4" t="s">
        <v>82</v>
      </c>
      <c r="B8" s="1" t="s">
        <v>123</v>
      </c>
    </row>
    <row r="9" spans="1:25">
      <c r="A9" s="4" t="s">
        <v>83</v>
      </c>
      <c r="B9" s="1" t="s">
        <v>50</v>
      </c>
      <c r="C9" s="1">
        <v>0</v>
      </c>
      <c r="D9" s="4">
        <f>100-C9-10</f>
        <v>90</v>
      </c>
      <c r="E9" s="1" t="s">
        <v>78</v>
      </c>
      <c r="F9" s="1">
        <v>12.5</v>
      </c>
      <c r="G9" s="3">
        <f t="shared" ref="G9:G37" si="0">100-F9</f>
        <v>87.5</v>
      </c>
      <c r="H9" s="1" t="s">
        <v>51</v>
      </c>
      <c r="I9" s="1">
        <v>90.25</v>
      </c>
      <c r="J9" s="4">
        <f t="shared" ref="J9" si="1">D9-I9</f>
        <v>-0.25</v>
      </c>
      <c r="M9" s="3">
        <f t="shared" ref="M9" si="2">G9-L9</f>
        <v>87.5</v>
      </c>
      <c r="P9" s="4">
        <f>IF(J9-O9&lt;=0, 0, J9-O9)</f>
        <v>0</v>
      </c>
      <c r="S9" s="3">
        <f>IF(M9-R9&lt;=0, 0, M9-R9)</f>
        <v>87.5</v>
      </c>
      <c r="T9" s="5">
        <f t="shared" ref="T9" si="3">(S9-P9)/100*1024</f>
        <v>896</v>
      </c>
      <c r="U9" s="1">
        <f t="shared" ref="U9:U37" si="4">-1*T9</f>
        <v>-896</v>
      </c>
    </row>
    <row r="10" spans="1:25">
      <c r="A10" s="4" t="s">
        <v>6</v>
      </c>
      <c r="B10" s="1" t="s">
        <v>50</v>
      </c>
      <c r="C10" s="1">
        <v>0</v>
      </c>
      <c r="D10" s="4">
        <f t="shared" ref="D10:D36" si="5">100-C10</f>
        <v>100</v>
      </c>
      <c r="E10" s="1" t="s">
        <v>176</v>
      </c>
      <c r="F10" s="1">
        <v>12.5</v>
      </c>
      <c r="G10" s="3">
        <f t="shared" si="0"/>
        <v>87.5</v>
      </c>
      <c r="H10" s="1" t="s">
        <v>51</v>
      </c>
      <c r="I10" s="1">
        <v>74.25</v>
      </c>
      <c r="J10" s="4">
        <f t="shared" ref="J10:J37" si="6">D10-I10</f>
        <v>25.75</v>
      </c>
      <c r="K10" s="1" t="s">
        <v>127</v>
      </c>
      <c r="L10" s="1">
        <v>125.1</v>
      </c>
      <c r="M10" s="3">
        <f t="shared" ref="M10:M37" si="7">G10-L10</f>
        <v>-37.599999999999994</v>
      </c>
      <c r="P10" s="4">
        <f t="shared" ref="P10:P37" si="8">IF(J10-O10&lt;=0, 0, J10-O10)</f>
        <v>25.75</v>
      </c>
      <c r="S10" s="3">
        <f t="shared" ref="S10:S37" si="9">IF(M10-R10&lt;=0, 0, M10-R10)</f>
        <v>0</v>
      </c>
      <c r="T10" s="5">
        <f t="shared" ref="T10:T37" si="10">(S10-P10)/100*1024</f>
        <v>-263.68</v>
      </c>
      <c r="U10" s="1">
        <f t="shared" si="4"/>
        <v>263.68</v>
      </c>
    </row>
    <row r="11" spans="1:25">
      <c r="A11" s="4" t="s">
        <v>84</v>
      </c>
      <c r="B11" s="1" t="s">
        <v>50</v>
      </c>
      <c r="C11" s="1">
        <v>0</v>
      </c>
      <c r="D11" s="4">
        <f t="shared" si="5"/>
        <v>100</v>
      </c>
      <c r="E11" s="1" t="s">
        <v>130</v>
      </c>
      <c r="F11" s="1">
        <v>12.5</v>
      </c>
      <c r="G11" s="3">
        <f t="shared" si="0"/>
        <v>87.5</v>
      </c>
      <c r="H11" s="1" t="s">
        <v>51</v>
      </c>
      <c r="I11" s="1">
        <v>0</v>
      </c>
      <c r="J11" s="4">
        <f t="shared" si="6"/>
        <v>100</v>
      </c>
      <c r="K11" s="1" t="s">
        <v>127</v>
      </c>
      <c r="L11" s="1">
        <f>0+12.5</f>
        <v>12.5</v>
      </c>
      <c r="M11" s="3">
        <f t="shared" si="7"/>
        <v>75</v>
      </c>
      <c r="N11" s="1" t="s">
        <v>51</v>
      </c>
      <c r="O11" s="1">
        <v>0</v>
      </c>
      <c r="P11" s="4">
        <f t="shared" si="8"/>
        <v>100</v>
      </c>
      <c r="Q11" s="1" t="s">
        <v>131</v>
      </c>
      <c r="R11" s="1">
        <v>12.5</v>
      </c>
      <c r="S11" s="3">
        <f t="shared" si="9"/>
        <v>62.5</v>
      </c>
      <c r="T11" s="5">
        <f t="shared" si="10"/>
        <v>-384</v>
      </c>
      <c r="U11" s="1">
        <f t="shared" si="4"/>
        <v>384</v>
      </c>
    </row>
    <row r="12" spans="1:25">
      <c r="A12" s="4" t="s">
        <v>85</v>
      </c>
      <c r="B12" s="1" t="s">
        <v>50</v>
      </c>
      <c r="C12" s="1">
        <v>0</v>
      </c>
      <c r="D12" s="4">
        <f t="shared" si="5"/>
        <v>100</v>
      </c>
      <c r="E12" s="1" t="s">
        <v>161</v>
      </c>
      <c r="F12" s="1">
        <v>12.5</v>
      </c>
      <c r="G12" s="3">
        <f t="shared" si="0"/>
        <v>87.5</v>
      </c>
      <c r="H12" s="1" t="s">
        <v>160</v>
      </c>
      <c r="I12" s="1">
        <v>35.9</v>
      </c>
      <c r="J12" s="4">
        <f t="shared" si="6"/>
        <v>64.099999999999994</v>
      </c>
      <c r="K12" s="1" t="s">
        <v>74</v>
      </c>
      <c r="L12" s="1">
        <v>28.55</v>
      </c>
      <c r="M12" s="3">
        <f t="shared" si="7"/>
        <v>58.95</v>
      </c>
      <c r="N12" s="1" t="s">
        <v>160</v>
      </c>
      <c r="O12" s="1">
        <v>35.9</v>
      </c>
      <c r="P12" s="4">
        <f>IF(J12-O12&lt;=0, 0, J12-O12)+50</f>
        <v>78.199999999999989</v>
      </c>
      <c r="Q12" s="1" t="s">
        <v>177</v>
      </c>
      <c r="R12" s="1">
        <v>0</v>
      </c>
      <c r="S12" s="3">
        <f t="shared" si="9"/>
        <v>58.95</v>
      </c>
      <c r="T12" s="5">
        <f t="shared" si="10"/>
        <v>-197.11999999999986</v>
      </c>
      <c r="U12" s="1">
        <f t="shared" si="4"/>
        <v>197.11999999999986</v>
      </c>
    </row>
    <row r="13" spans="1:25">
      <c r="A13" s="4" t="s">
        <v>86</v>
      </c>
      <c r="B13" s="1" t="s">
        <v>160</v>
      </c>
      <c r="C13" s="1">
        <v>41.65</v>
      </c>
      <c r="D13" s="4">
        <f>100-C13+6.25</f>
        <v>64.599999999999994</v>
      </c>
      <c r="E13" s="1" t="s">
        <v>59</v>
      </c>
      <c r="F13" s="1">
        <v>12.5</v>
      </c>
      <c r="G13" s="3">
        <f t="shared" si="0"/>
        <v>87.5</v>
      </c>
      <c r="H13" s="1" t="s">
        <v>126</v>
      </c>
      <c r="I13" s="1">
        <v>18.8</v>
      </c>
      <c r="J13" s="4">
        <f>D13-I13+6.25</f>
        <v>52.05</v>
      </c>
      <c r="K13" s="1" t="s">
        <v>59</v>
      </c>
      <c r="L13" s="1">
        <v>95.75</v>
      </c>
      <c r="M13" s="3">
        <f t="shared" si="7"/>
        <v>-8.25</v>
      </c>
      <c r="P13" s="4">
        <f t="shared" si="8"/>
        <v>52.05</v>
      </c>
      <c r="S13" s="3">
        <f t="shared" si="9"/>
        <v>0</v>
      </c>
      <c r="T13" s="5">
        <f t="shared" si="10"/>
        <v>-532.99199999999996</v>
      </c>
      <c r="U13" s="1">
        <f t="shared" si="4"/>
        <v>532.99199999999996</v>
      </c>
    </row>
    <row r="14" spans="1:25">
      <c r="A14" s="4" t="s">
        <v>87</v>
      </c>
      <c r="B14" s="1" t="s">
        <v>51</v>
      </c>
      <c r="C14" s="1">
        <v>63.45</v>
      </c>
      <c r="D14" s="4">
        <f t="shared" si="5"/>
        <v>36.549999999999997</v>
      </c>
      <c r="E14" s="1" t="s">
        <v>132</v>
      </c>
      <c r="F14" s="1">
        <v>12.5</v>
      </c>
      <c r="G14" s="3">
        <f t="shared" si="0"/>
        <v>87.5</v>
      </c>
      <c r="H14" s="1" t="s">
        <v>126</v>
      </c>
      <c r="I14" s="1">
        <v>28.85</v>
      </c>
      <c r="J14" s="4">
        <f t="shared" si="6"/>
        <v>7.6999999999999957</v>
      </c>
      <c r="K14" s="1" t="s">
        <v>132</v>
      </c>
      <c r="L14" s="1">
        <v>110.6</v>
      </c>
      <c r="M14" s="3">
        <f t="shared" si="7"/>
        <v>-23.099999999999994</v>
      </c>
      <c r="P14" s="4">
        <f t="shared" si="8"/>
        <v>7.6999999999999957</v>
      </c>
      <c r="S14" s="3">
        <f t="shared" si="9"/>
        <v>0</v>
      </c>
      <c r="T14" s="5">
        <f t="shared" si="10"/>
        <v>-78.847999999999956</v>
      </c>
      <c r="U14" s="1">
        <f t="shared" si="4"/>
        <v>78.847999999999956</v>
      </c>
    </row>
    <row r="15" spans="1:25">
      <c r="A15" s="4" t="s">
        <v>88</v>
      </c>
      <c r="B15" s="1" t="s">
        <v>160</v>
      </c>
      <c r="C15" s="1">
        <v>20.45</v>
      </c>
      <c r="D15" s="4">
        <f t="shared" si="5"/>
        <v>79.55</v>
      </c>
      <c r="E15" s="1" t="s">
        <v>60</v>
      </c>
      <c r="F15" s="1">
        <v>0</v>
      </c>
      <c r="G15" s="3">
        <f t="shared" si="0"/>
        <v>100</v>
      </c>
      <c r="H15" s="1" t="s">
        <v>160</v>
      </c>
      <c r="I15" s="1">
        <v>20.45</v>
      </c>
      <c r="J15" s="4">
        <f t="shared" si="6"/>
        <v>59.099999999999994</v>
      </c>
      <c r="K15" s="1" t="s">
        <v>39</v>
      </c>
      <c r="L15" s="1">
        <v>12.5</v>
      </c>
      <c r="M15" s="3">
        <f t="shared" si="7"/>
        <v>87.5</v>
      </c>
      <c r="N15" s="1" t="s">
        <v>61</v>
      </c>
      <c r="O15" s="1">
        <v>0</v>
      </c>
      <c r="P15" s="4">
        <f t="shared" si="8"/>
        <v>59.099999999999994</v>
      </c>
      <c r="Q15" s="1" t="s">
        <v>39</v>
      </c>
      <c r="R15" s="1">
        <v>42.35</v>
      </c>
      <c r="S15" s="3">
        <f t="shared" si="9"/>
        <v>45.15</v>
      </c>
      <c r="T15" s="5">
        <f t="shared" si="10"/>
        <v>-142.84799999999996</v>
      </c>
      <c r="U15" s="1">
        <f t="shared" si="4"/>
        <v>142.84799999999996</v>
      </c>
    </row>
    <row r="16" spans="1:25">
      <c r="A16" s="4" t="s">
        <v>89</v>
      </c>
      <c r="B16" s="1" t="s">
        <v>50</v>
      </c>
      <c r="C16" s="1">
        <v>0</v>
      </c>
      <c r="D16" s="4">
        <f t="shared" si="5"/>
        <v>100</v>
      </c>
      <c r="E16" s="1" t="s">
        <v>63</v>
      </c>
      <c r="F16" s="1">
        <v>6.25</v>
      </c>
      <c r="G16" s="3">
        <f t="shared" si="0"/>
        <v>93.75</v>
      </c>
      <c r="H16" s="1" t="s">
        <v>126</v>
      </c>
      <c r="I16" s="1">
        <v>45.35</v>
      </c>
      <c r="J16" s="4">
        <f t="shared" si="6"/>
        <v>54.65</v>
      </c>
      <c r="K16" s="1" t="s">
        <v>51</v>
      </c>
      <c r="L16" s="1">
        <f>0+6.25</f>
        <v>6.25</v>
      </c>
      <c r="M16" s="3">
        <f t="shared" si="7"/>
        <v>87.5</v>
      </c>
      <c r="N16" s="1" t="s">
        <v>160</v>
      </c>
      <c r="O16" s="1">
        <v>102.1</v>
      </c>
      <c r="P16" s="4">
        <f t="shared" si="8"/>
        <v>0</v>
      </c>
      <c r="Q16" s="1" t="s">
        <v>51</v>
      </c>
      <c r="R16" s="1">
        <f>12.5+6.25</f>
        <v>18.75</v>
      </c>
      <c r="S16" s="3">
        <f t="shared" si="9"/>
        <v>68.75</v>
      </c>
      <c r="T16" s="5">
        <f t="shared" si="10"/>
        <v>704</v>
      </c>
      <c r="U16" s="1">
        <f t="shared" si="4"/>
        <v>-704</v>
      </c>
    </row>
    <row r="17" spans="1:21">
      <c r="A17" s="4" t="s">
        <v>90</v>
      </c>
      <c r="B17" s="1" t="s">
        <v>50</v>
      </c>
      <c r="C17" s="1">
        <v>0</v>
      </c>
      <c r="D17" s="4">
        <f t="shared" si="5"/>
        <v>100</v>
      </c>
      <c r="E17" s="1" t="s">
        <v>63</v>
      </c>
      <c r="F17" s="1">
        <v>6.25</v>
      </c>
      <c r="G17" s="3">
        <f t="shared" si="0"/>
        <v>93.75</v>
      </c>
      <c r="H17" s="1" t="s">
        <v>160</v>
      </c>
      <c r="I17" s="1">
        <v>102.1</v>
      </c>
      <c r="J17" s="4">
        <f t="shared" si="6"/>
        <v>-2.0999999999999943</v>
      </c>
      <c r="K17" s="1" t="s">
        <v>164</v>
      </c>
      <c r="L17" s="1">
        <f>12.5+6.25</f>
        <v>18.75</v>
      </c>
      <c r="M17" s="3">
        <f t="shared" si="7"/>
        <v>75</v>
      </c>
      <c r="P17" s="4">
        <f t="shared" si="8"/>
        <v>0</v>
      </c>
      <c r="S17" s="3">
        <f t="shared" si="9"/>
        <v>75</v>
      </c>
      <c r="T17" s="5">
        <f t="shared" si="10"/>
        <v>768</v>
      </c>
      <c r="U17" s="1">
        <f t="shared" si="4"/>
        <v>-768</v>
      </c>
    </row>
    <row r="18" spans="1:21">
      <c r="A18" s="4" t="s">
        <v>91</v>
      </c>
      <c r="B18" s="1" t="s">
        <v>50</v>
      </c>
      <c r="C18" s="1">
        <v>0</v>
      </c>
      <c r="D18" s="4">
        <f t="shared" si="5"/>
        <v>100</v>
      </c>
      <c r="E18" s="1" t="s">
        <v>176</v>
      </c>
      <c r="F18" s="1">
        <v>12.5</v>
      </c>
      <c r="G18" s="3">
        <f t="shared" si="0"/>
        <v>87.5</v>
      </c>
      <c r="H18" s="1" t="s">
        <v>160</v>
      </c>
      <c r="I18" s="1">
        <v>104</v>
      </c>
      <c r="J18" s="4">
        <f t="shared" si="6"/>
        <v>-4</v>
      </c>
      <c r="K18" s="1" t="s">
        <v>163</v>
      </c>
      <c r="L18" s="1">
        <v>82.75</v>
      </c>
      <c r="M18" s="3">
        <f t="shared" si="7"/>
        <v>4.75</v>
      </c>
      <c r="P18" s="4">
        <f t="shared" si="8"/>
        <v>0</v>
      </c>
      <c r="S18" s="3">
        <f t="shared" si="9"/>
        <v>4.75</v>
      </c>
      <c r="T18" s="5">
        <f t="shared" si="10"/>
        <v>48.64</v>
      </c>
      <c r="U18" s="1">
        <f t="shared" si="4"/>
        <v>-48.64</v>
      </c>
    </row>
    <row r="19" spans="1:21">
      <c r="A19" s="4" t="s">
        <v>92</v>
      </c>
      <c r="B19" s="1" t="s">
        <v>160</v>
      </c>
      <c r="C19" s="1">
        <v>172.7</v>
      </c>
      <c r="D19" s="4">
        <v>1</v>
      </c>
      <c r="E19" s="1" t="s">
        <v>135</v>
      </c>
      <c r="F19" s="1">
        <f>12.5+18.25+26.7</f>
        <v>57.45</v>
      </c>
      <c r="G19" s="3">
        <f t="shared" si="0"/>
        <v>42.55</v>
      </c>
      <c r="H19" s="1" t="s">
        <v>126</v>
      </c>
      <c r="I19" s="1">
        <v>38.700000000000003</v>
      </c>
      <c r="J19" s="4">
        <f t="shared" si="6"/>
        <v>-37.700000000000003</v>
      </c>
      <c r="M19" s="3">
        <f t="shared" si="7"/>
        <v>42.55</v>
      </c>
      <c r="P19" s="4">
        <f t="shared" si="8"/>
        <v>0</v>
      </c>
      <c r="S19" s="3">
        <f t="shared" si="9"/>
        <v>42.55</v>
      </c>
      <c r="T19" s="5">
        <f t="shared" si="10"/>
        <v>435.71199999999999</v>
      </c>
      <c r="U19" s="1">
        <f t="shared" si="4"/>
        <v>-435.71199999999999</v>
      </c>
    </row>
    <row r="20" spans="1:21">
      <c r="A20" s="4" t="s">
        <v>93</v>
      </c>
      <c r="B20" s="1" t="s">
        <v>50</v>
      </c>
      <c r="C20" s="1">
        <v>0</v>
      </c>
      <c r="D20" s="4">
        <f t="shared" si="5"/>
        <v>100</v>
      </c>
      <c r="E20" s="1" t="s">
        <v>52</v>
      </c>
      <c r="F20" s="1">
        <v>12.5</v>
      </c>
      <c r="G20" s="3">
        <f t="shared" si="0"/>
        <v>87.5</v>
      </c>
      <c r="H20" s="1" t="s">
        <v>160</v>
      </c>
      <c r="I20" s="1">
        <v>157.5</v>
      </c>
      <c r="J20" s="4">
        <f t="shared" si="6"/>
        <v>-57.5</v>
      </c>
      <c r="M20" s="3">
        <f t="shared" si="7"/>
        <v>87.5</v>
      </c>
      <c r="P20" s="4">
        <f t="shared" si="8"/>
        <v>0</v>
      </c>
      <c r="S20" s="3">
        <f t="shared" si="9"/>
        <v>87.5</v>
      </c>
      <c r="T20" s="5">
        <f t="shared" si="10"/>
        <v>896</v>
      </c>
      <c r="U20" s="1">
        <f t="shared" si="4"/>
        <v>-896</v>
      </c>
    </row>
    <row r="21" spans="1:21">
      <c r="A21" s="4" t="s">
        <v>94</v>
      </c>
      <c r="B21" s="1" t="s">
        <v>50</v>
      </c>
      <c r="C21" s="1">
        <v>0</v>
      </c>
      <c r="D21" s="4">
        <f t="shared" si="5"/>
        <v>100</v>
      </c>
      <c r="E21" s="1" t="s">
        <v>178</v>
      </c>
      <c r="F21" s="1">
        <v>0</v>
      </c>
      <c r="G21" s="3">
        <f t="shared" si="0"/>
        <v>100</v>
      </c>
      <c r="H21" s="1" t="s">
        <v>160</v>
      </c>
      <c r="I21" s="1">
        <v>71.900000000000006</v>
      </c>
      <c r="J21" s="4">
        <f t="shared" si="6"/>
        <v>28.099999999999994</v>
      </c>
      <c r="K21" s="1" t="s">
        <v>71</v>
      </c>
      <c r="L21" s="1">
        <f>12.5+12.5</f>
        <v>25</v>
      </c>
      <c r="M21" s="3">
        <f t="shared" si="7"/>
        <v>75</v>
      </c>
      <c r="N21" s="1" t="s">
        <v>126</v>
      </c>
      <c r="O21" s="1">
        <v>32.200000000000003</v>
      </c>
      <c r="P21" s="4">
        <f t="shared" si="8"/>
        <v>0</v>
      </c>
      <c r="R21" s="1">
        <v>12.5</v>
      </c>
      <c r="S21" s="3">
        <f t="shared" si="9"/>
        <v>62.5</v>
      </c>
      <c r="T21" s="5">
        <f t="shared" si="10"/>
        <v>640</v>
      </c>
      <c r="U21" s="1">
        <f t="shared" si="4"/>
        <v>-640</v>
      </c>
    </row>
    <row r="22" spans="1:21">
      <c r="A22" s="4" t="s">
        <v>95</v>
      </c>
      <c r="B22" s="1" t="s">
        <v>50</v>
      </c>
      <c r="C22" s="1">
        <v>0</v>
      </c>
      <c r="D22" s="4">
        <f t="shared" si="5"/>
        <v>100</v>
      </c>
      <c r="E22" s="1" t="s">
        <v>167</v>
      </c>
      <c r="F22" s="1">
        <v>12.5</v>
      </c>
      <c r="G22" s="3">
        <f t="shared" si="0"/>
        <v>87.5</v>
      </c>
      <c r="H22" s="1" t="s">
        <v>51</v>
      </c>
      <c r="I22" s="1">
        <v>102.6</v>
      </c>
      <c r="J22" s="4">
        <f t="shared" si="6"/>
        <v>-2.5999999999999943</v>
      </c>
      <c r="M22" s="3">
        <f t="shared" si="7"/>
        <v>87.5</v>
      </c>
      <c r="P22" s="4">
        <f t="shared" si="8"/>
        <v>0</v>
      </c>
      <c r="S22" s="3">
        <f t="shared" si="9"/>
        <v>87.5</v>
      </c>
      <c r="T22" s="5">
        <f t="shared" si="10"/>
        <v>896</v>
      </c>
      <c r="U22" s="1">
        <f t="shared" si="4"/>
        <v>-896</v>
      </c>
    </row>
    <row r="23" spans="1:21">
      <c r="A23" s="4" t="s">
        <v>96</v>
      </c>
      <c r="B23" s="1" t="s">
        <v>50</v>
      </c>
      <c r="C23" s="1">
        <v>0</v>
      </c>
      <c r="D23" s="4">
        <f t="shared" si="5"/>
        <v>100</v>
      </c>
      <c r="E23" s="1" t="s">
        <v>74</v>
      </c>
      <c r="F23" s="1">
        <v>12.5</v>
      </c>
      <c r="G23" s="3">
        <f t="shared" si="0"/>
        <v>87.5</v>
      </c>
      <c r="H23" s="1" t="s">
        <v>51</v>
      </c>
      <c r="I23" s="1">
        <v>73.5</v>
      </c>
      <c r="J23" s="4">
        <f>D23-I23+50</f>
        <v>76.5</v>
      </c>
      <c r="K23" s="1" t="s">
        <v>72</v>
      </c>
      <c r="L23" s="1">
        <v>0</v>
      </c>
      <c r="M23" s="3">
        <f t="shared" si="7"/>
        <v>87.5</v>
      </c>
      <c r="N23" s="1" t="s">
        <v>51</v>
      </c>
      <c r="O23" s="1">
        <v>49.3</v>
      </c>
      <c r="P23" s="4">
        <f>IF(J23-O23&lt;=0, 0, J23-O23)+50</f>
        <v>77.2</v>
      </c>
      <c r="Q23" s="1" t="s">
        <v>72</v>
      </c>
      <c r="R23" s="1">
        <v>0</v>
      </c>
      <c r="S23" s="3">
        <f t="shared" si="9"/>
        <v>87.5</v>
      </c>
      <c r="T23" s="5">
        <f t="shared" si="10"/>
        <v>105.47199999999997</v>
      </c>
      <c r="U23" s="1">
        <f t="shared" si="4"/>
        <v>-105.47199999999997</v>
      </c>
    </row>
    <row r="24" spans="1:21">
      <c r="A24" s="4" t="s">
        <v>97</v>
      </c>
      <c r="B24" s="1" t="s">
        <v>50</v>
      </c>
      <c r="C24" s="1">
        <v>0</v>
      </c>
      <c r="D24" s="4">
        <f t="shared" si="5"/>
        <v>100</v>
      </c>
      <c r="E24" s="1" t="s">
        <v>127</v>
      </c>
      <c r="F24" s="1">
        <v>12.5</v>
      </c>
      <c r="G24" s="3">
        <f t="shared" si="0"/>
        <v>87.5</v>
      </c>
      <c r="H24" s="1" t="s">
        <v>51</v>
      </c>
      <c r="I24" s="1">
        <v>63.3</v>
      </c>
      <c r="J24" s="4">
        <f t="shared" si="6"/>
        <v>36.700000000000003</v>
      </c>
      <c r="K24" s="1" t="s">
        <v>127</v>
      </c>
      <c r="L24" s="1">
        <v>111.4</v>
      </c>
      <c r="M24" s="3">
        <f t="shared" si="7"/>
        <v>-23.900000000000006</v>
      </c>
      <c r="P24" s="4">
        <f t="shared" si="8"/>
        <v>36.700000000000003</v>
      </c>
      <c r="S24" s="3">
        <f t="shared" si="9"/>
        <v>0</v>
      </c>
      <c r="T24" s="5">
        <f t="shared" si="10"/>
        <v>-375.80800000000005</v>
      </c>
      <c r="U24" s="1">
        <f t="shared" si="4"/>
        <v>375.80800000000005</v>
      </c>
    </row>
    <row r="25" spans="1:21">
      <c r="A25" s="4" t="s">
        <v>98</v>
      </c>
      <c r="B25" s="1" t="s">
        <v>50</v>
      </c>
      <c r="C25" s="1">
        <v>0</v>
      </c>
      <c r="D25" s="4">
        <f t="shared" si="5"/>
        <v>100</v>
      </c>
      <c r="E25" s="1" t="s">
        <v>169</v>
      </c>
      <c r="F25" s="1">
        <f>12.5+23.6</f>
        <v>36.1</v>
      </c>
      <c r="G25" s="3">
        <f t="shared" si="0"/>
        <v>63.9</v>
      </c>
      <c r="H25" s="1" t="s">
        <v>126</v>
      </c>
      <c r="I25" s="1">
        <v>18.2</v>
      </c>
      <c r="J25" s="4">
        <f t="shared" si="6"/>
        <v>81.8</v>
      </c>
      <c r="K25" s="1" t="s">
        <v>169</v>
      </c>
      <c r="L25" s="1">
        <v>47.3</v>
      </c>
      <c r="M25" s="3">
        <f t="shared" si="7"/>
        <v>16.600000000000001</v>
      </c>
      <c r="N25" s="1" t="s">
        <v>160</v>
      </c>
      <c r="O25" s="1">
        <v>150.80000000000001</v>
      </c>
      <c r="P25" s="4">
        <f t="shared" si="8"/>
        <v>0</v>
      </c>
      <c r="S25" s="3">
        <f t="shared" si="9"/>
        <v>16.600000000000001</v>
      </c>
      <c r="T25" s="5">
        <f t="shared" si="10"/>
        <v>169.98400000000001</v>
      </c>
      <c r="U25" s="1">
        <f t="shared" si="4"/>
        <v>-169.98400000000001</v>
      </c>
    </row>
    <row r="26" spans="1:21">
      <c r="A26" s="4" t="s">
        <v>99</v>
      </c>
      <c r="B26" s="1" t="s">
        <v>160</v>
      </c>
      <c r="C26" s="1">
        <v>75.349999999999994</v>
      </c>
      <c r="D26" s="4">
        <f t="shared" si="5"/>
        <v>24.650000000000006</v>
      </c>
      <c r="E26" s="1" t="s">
        <v>113</v>
      </c>
      <c r="F26" s="1">
        <f>12.5+69.43</f>
        <v>81.93</v>
      </c>
      <c r="G26" s="3">
        <f t="shared" si="0"/>
        <v>18.069999999999993</v>
      </c>
      <c r="H26" s="1" t="s">
        <v>126</v>
      </c>
      <c r="I26" s="1">
        <v>17.149999999999999</v>
      </c>
      <c r="J26" s="4">
        <f t="shared" si="6"/>
        <v>7.5000000000000071</v>
      </c>
      <c r="K26" s="1" t="s">
        <v>113</v>
      </c>
      <c r="L26" s="1">
        <v>104.15</v>
      </c>
      <c r="M26" s="3">
        <f t="shared" si="7"/>
        <v>-86.080000000000013</v>
      </c>
      <c r="P26" s="4">
        <f t="shared" si="8"/>
        <v>7.5000000000000071</v>
      </c>
      <c r="S26" s="3">
        <f t="shared" si="9"/>
        <v>0</v>
      </c>
      <c r="T26" s="5">
        <f t="shared" si="10"/>
        <v>-76.800000000000068</v>
      </c>
      <c r="U26" s="1">
        <f t="shared" si="4"/>
        <v>76.800000000000068</v>
      </c>
    </row>
    <row r="27" spans="1:21">
      <c r="A27" s="4" t="s">
        <v>100</v>
      </c>
      <c r="B27" s="1" t="s">
        <v>50</v>
      </c>
      <c r="C27" s="1">
        <v>0</v>
      </c>
      <c r="D27" s="4">
        <f t="shared" si="5"/>
        <v>100</v>
      </c>
      <c r="E27" s="1" t="s">
        <v>53</v>
      </c>
      <c r="F27" s="1">
        <v>12.5</v>
      </c>
      <c r="G27" s="3">
        <f t="shared" si="0"/>
        <v>87.5</v>
      </c>
      <c r="H27" s="1" t="s">
        <v>160</v>
      </c>
      <c r="I27" s="1">
        <v>50.65</v>
      </c>
      <c r="J27" s="4">
        <f t="shared" si="6"/>
        <v>49.35</v>
      </c>
      <c r="K27" s="1" t="s">
        <v>53</v>
      </c>
      <c r="L27" s="1">
        <v>100.7</v>
      </c>
      <c r="M27" s="3">
        <f t="shared" si="7"/>
        <v>-13.200000000000003</v>
      </c>
      <c r="P27" s="4">
        <f t="shared" si="8"/>
        <v>49.35</v>
      </c>
      <c r="S27" s="3">
        <f t="shared" si="9"/>
        <v>0</v>
      </c>
      <c r="T27" s="5">
        <f t="shared" si="10"/>
        <v>-505.34399999999999</v>
      </c>
      <c r="U27" s="1">
        <f t="shared" si="4"/>
        <v>505.34399999999999</v>
      </c>
    </row>
    <row r="28" spans="1:21">
      <c r="A28" s="4" t="s">
        <v>101</v>
      </c>
      <c r="B28" s="1" t="s">
        <v>50</v>
      </c>
      <c r="C28" s="1">
        <v>0</v>
      </c>
      <c r="D28" s="4">
        <f t="shared" si="5"/>
        <v>100</v>
      </c>
      <c r="E28" s="1" t="s">
        <v>60</v>
      </c>
      <c r="F28" s="1">
        <v>0</v>
      </c>
      <c r="G28" s="3">
        <f t="shared" si="0"/>
        <v>100</v>
      </c>
      <c r="H28" s="1" t="s">
        <v>160</v>
      </c>
      <c r="I28" s="1">
        <v>49.25</v>
      </c>
      <c r="J28" s="4">
        <f t="shared" si="6"/>
        <v>50.75</v>
      </c>
      <c r="K28" s="1" t="s">
        <v>39</v>
      </c>
      <c r="L28" s="1">
        <v>12.5</v>
      </c>
      <c r="M28" s="3">
        <f t="shared" si="7"/>
        <v>87.5</v>
      </c>
      <c r="N28" s="1" t="s">
        <v>61</v>
      </c>
      <c r="P28" s="4">
        <f t="shared" si="8"/>
        <v>50.75</v>
      </c>
      <c r="Q28" s="1" t="s">
        <v>39</v>
      </c>
      <c r="R28" s="1">
        <v>42.35</v>
      </c>
      <c r="S28" s="3">
        <f t="shared" si="9"/>
        <v>45.15</v>
      </c>
      <c r="T28" s="5">
        <f t="shared" si="10"/>
        <v>-57.344000000000015</v>
      </c>
      <c r="U28" s="1">
        <f t="shared" si="4"/>
        <v>57.344000000000015</v>
      </c>
    </row>
    <row r="29" spans="1:21">
      <c r="A29" s="4" t="s">
        <v>102</v>
      </c>
      <c r="B29" s="1" t="s">
        <v>50</v>
      </c>
      <c r="C29" s="1">
        <v>0</v>
      </c>
      <c r="D29" s="4">
        <f t="shared" si="5"/>
        <v>100</v>
      </c>
      <c r="E29" s="1" t="s">
        <v>130</v>
      </c>
      <c r="F29" s="1">
        <v>12.5</v>
      </c>
      <c r="G29" s="3">
        <f t="shared" si="0"/>
        <v>87.5</v>
      </c>
      <c r="H29" s="1" t="s">
        <v>160</v>
      </c>
      <c r="I29" s="1">
        <v>0</v>
      </c>
      <c r="J29" s="4">
        <f t="shared" si="6"/>
        <v>100</v>
      </c>
      <c r="K29" s="1" t="s">
        <v>131</v>
      </c>
      <c r="L29" s="1">
        <f>12.5</f>
        <v>12.5</v>
      </c>
      <c r="M29" s="3">
        <f t="shared" si="7"/>
        <v>75</v>
      </c>
      <c r="N29" s="1" t="s">
        <v>160</v>
      </c>
      <c r="O29" s="1">
        <v>21.5</v>
      </c>
      <c r="P29" s="4">
        <f t="shared" si="8"/>
        <v>78.5</v>
      </c>
      <c r="Q29" s="1" t="s">
        <v>142</v>
      </c>
      <c r="R29" s="1">
        <f>12.5+12.5</f>
        <v>25</v>
      </c>
      <c r="S29" s="3">
        <f>IF(M29-R29&lt;=0, 0, M29-R29)-12.5</f>
        <v>37.5</v>
      </c>
      <c r="T29" s="5">
        <f t="shared" si="10"/>
        <v>-419.84</v>
      </c>
      <c r="U29" s="1">
        <f t="shared" si="4"/>
        <v>419.84</v>
      </c>
    </row>
    <row r="30" spans="1:21">
      <c r="A30" s="4" t="s">
        <v>103</v>
      </c>
      <c r="B30" s="1" t="s">
        <v>50</v>
      </c>
      <c r="C30" s="1">
        <v>0</v>
      </c>
      <c r="D30" s="4">
        <f t="shared" si="5"/>
        <v>100</v>
      </c>
      <c r="E30" s="1" t="s">
        <v>78</v>
      </c>
      <c r="F30" s="1">
        <v>12.5</v>
      </c>
      <c r="G30" s="3">
        <f t="shared" si="0"/>
        <v>87.5</v>
      </c>
      <c r="H30" s="1" t="s">
        <v>160</v>
      </c>
      <c r="I30" s="1">
        <v>102.7</v>
      </c>
      <c r="J30" s="4">
        <f t="shared" si="6"/>
        <v>-2.7000000000000028</v>
      </c>
      <c r="K30" s="1" t="s">
        <v>78</v>
      </c>
      <c r="L30" s="1">
        <v>73.8</v>
      </c>
      <c r="M30" s="3">
        <f t="shared" si="7"/>
        <v>13.700000000000003</v>
      </c>
      <c r="P30" s="4">
        <f t="shared" si="8"/>
        <v>0</v>
      </c>
      <c r="S30" s="3">
        <f t="shared" si="9"/>
        <v>13.700000000000003</v>
      </c>
      <c r="T30" s="5">
        <f t="shared" si="10"/>
        <v>140.28800000000004</v>
      </c>
      <c r="U30" s="1">
        <f t="shared" si="4"/>
        <v>-140.28800000000004</v>
      </c>
    </row>
    <row r="31" spans="1:21">
      <c r="A31" s="4" t="s">
        <v>104</v>
      </c>
      <c r="B31" s="1" t="s">
        <v>160</v>
      </c>
      <c r="C31" s="1">
        <v>62.55</v>
      </c>
      <c r="D31" s="4">
        <f>100-C31-10</f>
        <v>27.450000000000003</v>
      </c>
      <c r="E31" s="1" t="s">
        <v>169</v>
      </c>
      <c r="F31" s="1">
        <f>12.5+61/2</f>
        <v>43</v>
      </c>
      <c r="G31" s="3">
        <f t="shared" si="0"/>
        <v>57</v>
      </c>
      <c r="H31" s="1" t="s">
        <v>126</v>
      </c>
      <c r="I31" s="1">
        <v>14.25</v>
      </c>
      <c r="J31" s="4">
        <f>D31-I31-10</f>
        <v>3.2000000000000028</v>
      </c>
      <c r="K31" s="1" t="s">
        <v>169</v>
      </c>
      <c r="L31" s="1">
        <v>61</v>
      </c>
      <c r="M31" s="3">
        <f t="shared" si="7"/>
        <v>-4</v>
      </c>
      <c r="P31" s="4">
        <f t="shared" si="8"/>
        <v>3.2000000000000028</v>
      </c>
      <c r="S31" s="3">
        <f t="shared" si="9"/>
        <v>0</v>
      </c>
      <c r="T31" s="5">
        <f t="shared" si="10"/>
        <v>-32.768000000000029</v>
      </c>
      <c r="U31" s="1">
        <f t="shared" si="4"/>
        <v>32.768000000000029</v>
      </c>
    </row>
    <row r="32" spans="1:21">
      <c r="A32" s="4" t="s">
        <v>105</v>
      </c>
      <c r="B32" s="1" t="s">
        <v>160</v>
      </c>
      <c r="C32" s="1">
        <v>62.55</v>
      </c>
      <c r="D32" s="4">
        <f t="shared" si="5"/>
        <v>37.450000000000003</v>
      </c>
      <c r="E32" s="1" t="s">
        <v>52</v>
      </c>
      <c r="F32" s="1">
        <v>12.5</v>
      </c>
      <c r="G32" s="3">
        <f t="shared" si="0"/>
        <v>87.5</v>
      </c>
      <c r="H32" s="1" t="s">
        <v>160</v>
      </c>
      <c r="I32" s="1">
        <v>62.55</v>
      </c>
      <c r="J32" s="4">
        <f t="shared" si="6"/>
        <v>-25.099999999999994</v>
      </c>
      <c r="M32" s="3">
        <f t="shared" si="7"/>
        <v>87.5</v>
      </c>
      <c r="P32" s="4">
        <f t="shared" si="8"/>
        <v>0</v>
      </c>
      <c r="S32" s="3">
        <f t="shared" si="9"/>
        <v>87.5</v>
      </c>
      <c r="T32" s="5">
        <f t="shared" si="10"/>
        <v>896</v>
      </c>
      <c r="U32" s="1">
        <f t="shared" si="4"/>
        <v>-896</v>
      </c>
    </row>
    <row r="33" spans="1:21">
      <c r="A33" s="4" t="s">
        <v>106</v>
      </c>
      <c r="B33" s="1" t="s">
        <v>50</v>
      </c>
      <c r="C33" s="1">
        <v>0</v>
      </c>
      <c r="D33" s="4">
        <f t="shared" si="5"/>
        <v>100</v>
      </c>
      <c r="E33" s="1" t="s">
        <v>63</v>
      </c>
      <c r="F33" s="1">
        <v>6.25</v>
      </c>
      <c r="G33" s="3">
        <f t="shared" si="0"/>
        <v>93.75</v>
      </c>
      <c r="H33" s="1" t="s">
        <v>160</v>
      </c>
      <c r="I33" s="1">
        <v>49.6</v>
      </c>
      <c r="J33" s="4">
        <f t="shared" si="6"/>
        <v>50.4</v>
      </c>
      <c r="K33" s="1" t="s">
        <v>78</v>
      </c>
      <c r="L33" s="1">
        <f>12.5+6.25</f>
        <v>18.75</v>
      </c>
      <c r="M33" s="3">
        <f t="shared" si="7"/>
        <v>75</v>
      </c>
      <c r="N33" s="1" t="s">
        <v>160</v>
      </c>
      <c r="O33" s="1">
        <v>49.6</v>
      </c>
      <c r="P33" s="4">
        <f>IF(J33-O33&lt;=0, 0, J33-O33)+25</f>
        <v>25.799999999999997</v>
      </c>
      <c r="Q33" s="1" t="s">
        <v>144</v>
      </c>
      <c r="R33" s="1">
        <v>71.3</v>
      </c>
      <c r="S33" s="3">
        <f t="shared" si="9"/>
        <v>3.7000000000000028</v>
      </c>
      <c r="T33" s="5">
        <f t="shared" si="10"/>
        <v>-226.30399999999995</v>
      </c>
      <c r="U33" s="1">
        <f t="shared" si="4"/>
        <v>226.30399999999995</v>
      </c>
    </row>
    <row r="34" spans="1:21">
      <c r="A34" s="4" t="s">
        <v>107</v>
      </c>
      <c r="B34" s="1" t="s">
        <v>160</v>
      </c>
      <c r="C34" s="1">
        <v>79.95</v>
      </c>
      <c r="D34" s="4">
        <f t="shared" si="5"/>
        <v>20.049999999999997</v>
      </c>
      <c r="E34" s="1" t="s">
        <v>111</v>
      </c>
      <c r="F34" s="1">
        <v>12.5</v>
      </c>
      <c r="G34" s="3">
        <f t="shared" si="0"/>
        <v>87.5</v>
      </c>
      <c r="H34" s="1" t="s">
        <v>126</v>
      </c>
      <c r="I34" s="1">
        <v>18.149999999999999</v>
      </c>
      <c r="J34" s="4">
        <f t="shared" si="6"/>
        <v>1.8999999999999986</v>
      </c>
      <c r="K34" s="1" t="s">
        <v>111</v>
      </c>
      <c r="L34" s="1">
        <v>56.45</v>
      </c>
      <c r="M34" s="3">
        <f t="shared" si="7"/>
        <v>31.049999999999997</v>
      </c>
      <c r="N34" s="1" t="s">
        <v>126</v>
      </c>
      <c r="O34" s="1">
        <v>18.149999999999999</v>
      </c>
      <c r="P34" s="4">
        <f t="shared" si="8"/>
        <v>0</v>
      </c>
      <c r="S34" s="3">
        <f t="shared" si="9"/>
        <v>31.049999999999997</v>
      </c>
      <c r="T34" s="5">
        <f t="shared" si="10"/>
        <v>317.952</v>
      </c>
      <c r="U34" s="1">
        <f t="shared" si="4"/>
        <v>-317.952</v>
      </c>
    </row>
    <row r="35" spans="1:21">
      <c r="A35" s="4" t="s">
        <v>108</v>
      </c>
      <c r="B35" s="1" t="s">
        <v>50</v>
      </c>
      <c r="C35" s="1">
        <v>0</v>
      </c>
      <c r="D35" s="4">
        <f t="shared" si="5"/>
        <v>100</v>
      </c>
      <c r="E35" s="1" t="s">
        <v>139</v>
      </c>
      <c r="F35" s="1">
        <v>12.5</v>
      </c>
      <c r="G35" s="3">
        <f t="shared" si="0"/>
        <v>87.5</v>
      </c>
      <c r="H35" s="1" t="s">
        <v>160</v>
      </c>
      <c r="I35" s="1">
        <v>105.3</v>
      </c>
      <c r="J35" s="4">
        <f t="shared" si="6"/>
        <v>-5.2999999999999972</v>
      </c>
      <c r="M35" s="3">
        <f t="shared" si="7"/>
        <v>87.5</v>
      </c>
      <c r="P35" s="4">
        <f t="shared" si="8"/>
        <v>0</v>
      </c>
      <c r="S35" s="3">
        <f t="shared" si="9"/>
        <v>87.5</v>
      </c>
      <c r="T35" s="5">
        <f t="shared" si="10"/>
        <v>896</v>
      </c>
      <c r="U35" s="1">
        <f t="shared" si="4"/>
        <v>-896</v>
      </c>
    </row>
    <row r="36" spans="1:21">
      <c r="A36" s="4" t="s">
        <v>109</v>
      </c>
      <c r="B36" s="1" t="s">
        <v>50</v>
      </c>
      <c r="C36" s="1">
        <v>0</v>
      </c>
      <c r="D36" s="4">
        <f t="shared" si="5"/>
        <v>100</v>
      </c>
      <c r="E36" s="1" t="s">
        <v>39</v>
      </c>
      <c r="F36" s="1">
        <v>12.5</v>
      </c>
      <c r="G36" s="3">
        <f t="shared" si="0"/>
        <v>87.5</v>
      </c>
      <c r="H36" s="1" t="s">
        <v>160</v>
      </c>
      <c r="I36" s="1">
        <v>137.69999999999999</v>
      </c>
      <c r="J36" s="4">
        <f t="shared" si="6"/>
        <v>-37.699999999999989</v>
      </c>
      <c r="K36" s="1" t="s">
        <v>39</v>
      </c>
      <c r="L36" s="1">
        <v>57.55</v>
      </c>
      <c r="M36" s="3">
        <f>G36-L36-12.5</f>
        <v>17.450000000000003</v>
      </c>
      <c r="P36" s="4">
        <f t="shared" si="8"/>
        <v>0</v>
      </c>
      <c r="S36" s="3">
        <f t="shared" si="9"/>
        <v>17.450000000000003</v>
      </c>
      <c r="T36" s="5">
        <f t="shared" si="10"/>
        <v>178.68800000000002</v>
      </c>
      <c r="U36" s="1">
        <f t="shared" si="4"/>
        <v>-178.68800000000002</v>
      </c>
    </row>
    <row r="37" spans="1:21">
      <c r="A37" s="4" t="s">
        <v>110</v>
      </c>
      <c r="B37" s="1" t="s">
        <v>160</v>
      </c>
      <c r="C37" s="1">
        <v>137.1</v>
      </c>
      <c r="D37" s="4">
        <v>1</v>
      </c>
      <c r="E37" s="1" t="s">
        <v>146</v>
      </c>
      <c r="F37" s="1">
        <v>12.5</v>
      </c>
      <c r="G37" s="3">
        <f t="shared" si="0"/>
        <v>87.5</v>
      </c>
      <c r="H37" s="1" t="s">
        <v>126</v>
      </c>
      <c r="I37" s="1">
        <v>7.4</v>
      </c>
      <c r="J37" s="4">
        <f t="shared" si="6"/>
        <v>-6.4</v>
      </c>
      <c r="K37" s="1" t="s">
        <v>46</v>
      </c>
      <c r="L37" s="1">
        <v>40.799999999999997</v>
      </c>
      <c r="M37" s="3">
        <f t="shared" si="7"/>
        <v>46.7</v>
      </c>
      <c r="P37" s="4">
        <f t="shared" si="8"/>
        <v>0</v>
      </c>
      <c r="S37" s="3">
        <f t="shared" si="9"/>
        <v>46.7</v>
      </c>
      <c r="T37" s="5">
        <f t="shared" si="10"/>
        <v>478.20800000000003</v>
      </c>
      <c r="U37" s="1">
        <f t="shared" si="4"/>
        <v>-478.20800000000003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0F3C-AFD1-4435-95E9-693C4407532E}">
  <dimension ref="A1:Y3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Y1"/>
    </sheetView>
  </sheetViews>
  <sheetFormatPr defaultRowHeight="18.75"/>
  <cols>
    <col min="1" max="1" width="17.125" style="1" customWidth="1"/>
    <col min="2" max="16384" width="9" style="1"/>
  </cols>
  <sheetData>
    <row r="1" spans="1:25">
      <c r="A1" s="3" t="s">
        <v>83</v>
      </c>
      <c r="B1" s="3" t="s">
        <v>180</v>
      </c>
      <c r="C1" s="3" t="s">
        <v>69</v>
      </c>
      <c r="D1" s="3" t="s">
        <v>181</v>
      </c>
      <c r="E1" s="3">
        <v>165</v>
      </c>
      <c r="F1" s="3">
        <v>99</v>
      </c>
      <c r="G1" s="3">
        <v>106</v>
      </c>
      <c r="H1" s="3">
        <v>194</v>
      </c>
      <c r="I1" s="3">
        <v>110</v>
      </c>
      <c r="J1" s="3">
        <v>152</v>
      </c>
      <c r="K1" s="3" t="s">
        <v>182</v>
      </c>
      <c r="L1" s="3" t="s">
        <v>183</v>
      </c>
      <c r="M1" s="3" t="s">
        <v>49</v>
      </c>
      <c r="N1" s="3" t="s">
        <v>52</v>
      </c>
      <c r="O1" s="3" t="s">
        <v>69</v>
      </c>
      <c r="P1" s="3">
        <v>110</v>
      </c>
      <c r="Q1" s="3" t="s">
        <v>184</v>
      </c>
      <c r="R1" s="3" t="s">
        <v>69</v>
      </c>
      <c r="S1" s="3" t="s">
        <v>185</v>
      </c>
      <c r="T1" s="3" t="s">
        <v>186</v>
      </c>
      <c r="U1" s="3" t="s">
        <v>65</v>
      </c>
      <c r="V1" s="3">
        <v>95</v>
      </c>
      <c r="W1" s="3" t="s">
        <v>78</v>
      </c>
      <c r="X1" s="3" t="s">
        <v>180</v>
      </c>
      <c r="Y1" s="3">
        <v>90</v>
      </c>
    </row>
    <row r="2" spans="1:25">
      <c r="B2" s="1" t="s">
        <v>54</v>
      </c>
      <c r="H2" s="1" t="s">
        <v>55</v>
      </c>
      <c r="N2" s="1" t="s">
        <v>56</v>
      </c>
    </row>
    <row r="3" spans="1:25">
      <c r="A3" s="4" t="s">
        <v>128</v>
      </c>
      <c r="B3" s="1" t="s">
        <v>35</v>
      </c>
      <c r="C3" s="1" t="s">
        <v>36</v>
      </c>
      <c r="D3" s="4" t="s">
        <v>42</v>
      </c>
      <c r="E3" s="1" t="s">
        <v>37</v>
      </c>
      <c r="F3" s="1" t="s">
        <v>38</v>
      </c>
      <c r="G3" s="3" t="s">
        <v>41</v>
      </c>
      <c r="H3" s="1" t="s">
        <v>35</v>
      </c>
      <c r="I3" s="1" t="s">
        <v>36</v>
      </c>
      <c r="J3" s="4" t="s">
        <v>42</v>
      </c>
      <c r="K3" s="1" t="s">
        <v>37</v>
      </c>
      <c r="L3" s="1" t="s">
        <v>38</v>
      </c>
      <c r="M3" s="3" t="s">
        <v>41</v>
      </c>
      <c r="N3" s="1" t="s">
        <v>35</v>
      </c>
      <c r="O3" s="1" t="s">
        <v>36</v>
      </c>
      <c r="P3" s="4" t="s">
        <v>42</v>
      </c>
      <c r="Q3" s="1" t="s">
        <v>37</v>
      </c>
      <c r="R3" s="1" t="s">
        <v>38</v>
      </c>
      <c r="S3" s="3" t="s">
        <v>41</v>
      </c>
      <c r="T3" s="5" t="s">
        <v>45</v>
      </c>
      <c r="U3" s="1" t="s">
        <v>114</v>
      </c>
    </row>
    <row r="4" spans="1:25">
      <c r="A4" s="4" t="s">
        <v>80</v>
      </c>
      <c r="B4" s="1" t="s">
        <v>123</v>
      </c>
    </row>
    <row r="5" spans="1:25">
      <c r="A5" s="4" t="s">
        <v>79</v>
      </c>
      <c r="B5" s="1" t="s">
        <v>123</v>
      </c>
    </row>
    <row r="6" spans="1:25">
      <c r="A6" s="4" t="s">
        <v>2</v>
      </c>
      <c r="B6" s="1" t="s">
        <v>123</v>
      </c>
    </row>
    <row r="7" spans="1:25">
      <c r="A7" s="4" t="s">
        <v>81</v>
      </c>
      <c r="B7" s="1" t="s">
        <v>123</v>
      </c>
    </row>
    <row r="8" spans="1:25">
      <c r="A8" s="4" t="s">
        <v>82</v>
      </c>
      <c r="B8" s="1" t="s">
        <v>123</v>
      </c>
    </row>
    <row r="9" spans="1:25">
      <c r="A9" s="4" t="s">
        <v>83</v>
      </c>
      <c r="B9" s="1" t="s">
        <v>123</v>
      </c>
    </row>
    <row r="10" spans="1:25">
      <c r="A10" s="4" t="s">
        <v>6</v>
      </c>
      <c r="B10" s="1" t="s">
        <v>78</v>
      </c>
      <c r="C10" s="1">
        <v>123.1</v>
      </c>
      <c r="D10" s="4">
        <f>100-C10</f>
        <v>-23.099999999999994</v>
      </c>
      <c r="G10" s="3">
        <f>100-F10-10</f>
        <v>90</v>
      </c>
      <c r="J10" s="4">
        <f t="shared" ref="J10" si="0">D10-I10</f>
        <v>-23.099999999999994</v>
      </c>
      <c r="M10" s="3">
        <f t="shared" ref="M10" si="1">G10-L10</f>
        <v>90</v>
      </c>
      <c r="P10" s="4">
        <f t="shared" ref="P10" si="2">IF(J10-O10&lt;=0, 0, J10-O10)</f>
        <v>0</v>
      </c>
      <c r="S10" s="3">
        <f t="shared" ref="S10" si="3">IF(M10-R10&lt;=0, 0, M10-R10)</f>
        <v>90</v>
      </c>
      <c r="T10" s="5">
        <f t="shared" ref="T10" si="4">(S10-P10)/100*1024</f>
        <v>921.6</v>
      </c>
      <c r="U10" s="1">
        <f t="shared" ref="U10:U37" si="5">-1*T10</f>
        <v>-921.6</v>
      </c>
    </row>
    <row r="11" spans="1:25">
      <c r="A11" s="4" t="s">
        <v>84</v>
      </c>
      <c r="B11" s="1" t="s">
        <v>78</v>
      </c>
      <c r="C11" s="1">
        <v>104.4</v>
      </c>
      <c r="D11" s="4">
        <f t="shared" ref="D11:D36" si="6">100-C11</f>
        <v>-4.4000000000000057</v>
      </c>
      <c r="G11" s="3">
        <f t="shared" ref="G11:G37" si="7">100-F11-10</f>
        <v>90</v>
      </c>
      <c r="J11" s="4">
        <f t="shared" ref="J11:J37" si="8">D11-I11</f>
        <v>-4.4000000000000057</v>
      </c>
      <c r="M11" s="3">
        <f t="shared" ref="M11:M37" si="9">G11-L11</f>
        <v>90</v>
      </c>
      <c r="P11" s="4">
        <f t="shared" ref="P11:P37" si="10">IF(J11-O11&lt;=0, 0, J11-O11)</f>
        <v>0</v>
      </c>
      <c r="S11" s="3">
        <f t="shared" ref="S11:S37" si="11">IF(M11-R11&lt;=0, 0, M11-R11)</f>
        <v>90</v>
      </c>
      <c r="T11" s="5">
        <f t="shared" ref="T11:T37" si="12">(S11-P11)/100*1024</f>
        <v>921.6</v>
      </c>
      <c r="U11" s="1">
        <f t="shared" si="5"/>
        <v>-921.6</v>
      </c>
    </row>
    <row r="12" spans="1:25">
      <c r="A12" s="4" t="s">
        <v>85</v>
      </c>
      <c r="B12" s="1" t="s">
        <v>52</v>
      </c>
      <c r="C12" s="1">
        <v>52</v>
      </c>
      <c r="D12" s="4">
        <f t="shared" si="6"/>
        <v>48</v>
      </c>
      <c r="E12" s="1" t="s">
        <v>74</v>
      </c>
      <c r="F12" s="1">
        <v>52.05</v>
      </c>
      <c r="G12" s="3">
        <f t="shared" si="7"/>
        <v>37.950000000000003</v>
      </c>
      <c r="H12" s="1" t="s">
        <v>52</v>
      </c>
      <c r="I12" s="1">
        <v>52</v>
      </c>
      <c r="J12" s="4">
        <f t="shared" si="8"/>
        <v>-4</v>
      </c>
      <c r="M12" s="3">
        <f t="shared" si="9"/>
        <v>37.950000000000003</v>
      </c>
      <c r="P12" s="4">
        <f t="shared" si="10"/>
        <v>0</v>
      </c>
      <c r="S12" s="3">
        <f t="shared" si="11"/>
        <v>37.950000000000003</v>
      </c>
      <c r="T12" s="5">
        <f t="shared" si="12"/>
        <v>388.608</v>
      </c>
      <c r="U12" s="1">
        <f t="shared" si="5"/>
        <v>-388.608</v>
      </c>
    </row>
    <row r="13" spans="1:25">
      <c r="A13" s="4" t="s">
        <v>86</v>
      </c>
      <c r="B13" s="1" t="s">
        <v>52</v>
      </c>
      <c r="C13" s="1">
        <v>200.5</v>
      </c>
      <c r="D13" s="4">
        <f t="shared" si="6"/>
        <v>-100.5</v>
      </c>
      <c r="E13" s="1" t="s">
        <v>59</v>
      </c>
      <c r="F13" s="1">
        <v>35.700000000000003</v>
      </c>
      <c r="G13" s="3">
        <f t="shared" si="7"/>
        <v>54.3</v>
      </c>
      <c r="J13" s="4">
        <f t="shared" si="8"/>
        <v>-100.5</v>
      </c>
      <c r="M13" s="3">
        <f t="shared" si="9"/>
        <v>54.3</v>
      </c>
      <c r="P13" s="4">
        <f t="shared" si="10"/>
        <v>0</v>
      </c>
      <c r="S13" s="3">
        <f t="shared" si="11"/>
        <v>54.3</v>
      </c>
      <c r="T13" s="5">
        <f t="shared" si="12"/>
        <v>556.03199999999993</v>
      </c>
      <c r="U13" s="1">
        <f t="shared" si="5"/>
        <v>-556.03199999999993</v>
      </c>
    </row>
    <row r="14" spans="1:25">
      <c r="A14" s="4" t="s">
        <v>87</v>
      </c>
      <c r="B14" s="1" t="s">
        <v>136</v>
      </c>
      <c r="D14" s="4">
        <f t="shared" si="6"/>
        <v>100</v>
      </c>
      <c r="E14" s="1" t="s">
        <v>132</v>
      </c>
      <c r="F14" s="1">
        <v>200</v>
      </c>
      <c r="G14" s="3">
        <f t="shared" si="7"/>
        <v>-110</v>
      </c>
      <c r="J14" s="4">
        <f t="shared" si="8"/>
        <v>100</v>
      </c>
      <c r="M14" s="3">
        <f t="shared" si="9"/>
        <v>-110</v>
      </c>
      <c r="P14" s="4">
        <f t="shared" si="10"/>
        <v>100</v>
      </c>
      <c r="S14" s="3">
        <f t="shared" si="11"/>
        <v>0</v>
      </c>
      <c r="T14" s="5">
        <f t="shared" si="12"/>
        <v>-1024</v>
      </c>
      <c r="U14" s="1">
        <f t="shared" si="5"/>
        <v>1024</v>
      </c>
    </row>
    <row r="15" spans="1:25">
      <c r="A15" s="4" t="s">
        <v>88</v>
      </c>
      <c r="B15" s="1" t="s">
        <v>52</v>
      </c>
      <c r="C15" s="1">
        <v>85.3</v>
      </c>
      <c r="D15" s="4">
        <f>100-C15+25</f>
        <v>39.700000000000003</v>
      </c>
      <c r="E15" s="1" t="s">
        <v>60</v>
      </c>
      <c r="F15" s="1">
        <v>0</v>
      </c>
      <c r="G15" s="3">
        <f t="shared" si="7"/>
        <v>90</v>
      </c>
      <c r="H15" s="1" t="s">
        <v>52</v>
      </c>
      <c r="I15" s="1">
        <v>85.3</v>
      </c>
      <c r="J15" s="4">
        <f t="shared" si="8"/>
        <v>-45.599999999999994</v>
      </c>
      <c r="M15" s="3">
        <f t="shared" si="9"/>
        <v>90</v>
      </c>
      <c r="P15" s="4">
        <f t="shared" si="10"/>
        <v>0</v>
      </c>
      <c r="S15" s="3">
        <f t="shared" si="11"/>
        <v>90</v>
      </c>
      <c r="T15" s="5">
        <f t="shared" si="12"/>
        <v>921.6</v>
      </c>
      <c r="U15" s="1">
        <f t="shared" si="5"/>
        <v>-921.6</v>
      </c>
    </row>
    <row r="16" spans="1:25">
      <c r="A16" s="4" t="s">
        <v>89</v>
      </c>
      <c r="B16" s="1" t="s">
        <v>52</v>
      </c>
      <c r="C16" s="1">
        <v>100.6</v>
      </c>
      <c r="D16" s="4">
        <f>100-C16-10</f>
        <v>-10.599999999999994</v>
      </c>
      <c r="E16" s="1" t="s">
        <v>62</v>
      </c>
      <c r="F16" s="1">
        <v>79.95</v>
      </c>
      <c r="G16" s="3">
        <f t="shared" si="7"/>
        <v>10.049999999999997</v>
      </c>
      <c r="J16" s="4">
        <f t="shared" si="8"/>
        <v>-10.599999999999994</v>
      </c>
      <c r="M16" s="3">
        <f t="shared" si="9"/>
        <v>10.049999999999997</v>
      </c>
      <c r="P16" s="4">
        <f t="shared" si="10"/>
        <v>0</v>
      </c>
      <c r="S16" s="3">
        <f t="shared" si="11"/>
        <v>10.049999999999997</v>
      </c>
      <c r="T16" s="5">
        <f t="shared" si="12"/>
        <v>102.91199999999998</v>
      </c>
      <c r="U16" s="1">
        <f t="shared" si="5"/>
        <v>-102.91199999999998</v>
      </c>
    </row>
    <row r="17" spans="1:21">
      <c r="A17" s="4" t="s">
        <v>90</v>
      </c>
      <c r="B17" s="1" t="s">
        <v>52</v>
      </c>
      <c r="C17" s="1">
        <v>100.6</v>
      </c>
      <c r="D17" s="4">
        <f>100-C17-10</f>
        <v>-10.599999999999994</v>
      </c>
      <c r="E17" s="1" t="s">
        <v>64</v>
      </c>
      <c r="F17" s="1">
        <v>87.85</v>
      </c>
      <c r="G17" s="3">
        <f t="shared" si="7"/>
        <v>2.1500000000000057</v>
      </c>
      <c r="J17" s="4">
        <f t="shared" si="8"/>
        <v>-10.599999999999994</v>
      </c>
      <c r="M17" s="3">
        <f t="shared" si="9"/>
        <v>2.1500000000000057</v>
      </c>
      <c r="P17" s="4">
        <f t="shared" si="10"/>
        <v>0</v>
      </c>
      <c r="S17" s="3">
        <f t="shared" si="11"/>
        <v>2.1500000000000057</v>
      </c>
      <c r="T17" s="5">
        <f t="shared" si="12"/>
        <v>22.016000000000059</v>
      </c>
      <c r="U17" s="1">
        <f t="shared" si="5"/>
        <v>-22.016000000000059</v>
      </c>
    </row>
    <row r="18" spans="1:21">
      <c r="A18" s="4" t="s">
        <v>91</v>
      </c>
      <c r="B18" s="1" t="s">
        <v>136</v>
      </c>
      <c r="D18" s="4">
        <f>100-C18-10</f>
        <v>90</v>
      </c>
      <c r="E18" s="1" t="s">
        <v>64</v>
      </c>
      <c r="F18" s="1">
        <v>103.3</v>
      </c>
      <c r="G18" s="3">
        <f t="shared" si="7"/>
        <v>-13.299999999999997</v>
      </c>
      <c r="J18" s="4">
        <f t="shared" si="8"/>
        <v>90</v>
      </c>
      <c r="M18" s="3">
        <f t="shared" si="9"/>
        <v>-13.299999999999997</v>
      </c>
      <c r="P18" s="4">
        <f t="shared" si="10"/>
        <v>90</v>
      </c>
      <c r="S18" s="3">
        <f t="shared" si="11"/>
        <v>0</v>
      </c>
      <c r="T18" s="5">
        <f t="shared" si="12"/>
        <v>-921.6</v>
      </c>
      <c r="U18" s="1">
        <f t="shared" si="5"/>
        <v>921.6</v>
      </c>
    </row>
    <row r="19" spans="1:21">
      <c r="A19" s="4" t="s">
        <v>92</v>
      </c>
      <c r="B19" s="1" t="s">
        <v>136</v>
      </c>
      <c r="D19" s="4">
        <f t="shared" si="6"/>
        <v>100</v>
      </c>
      <c r="E19" s="1" t="s">
        <v>135</v>
      </c>
      <c r="F19" s="1">
        <v>110.3</v>
      </c>
      <c r="G19" s="3">
        <f t="shared" si="7"/>
        <v>-20.299999999999997</v>
      </c>
      <c r="J19" s="4">
        <f t="shared" si="8"/>
        <v>100</v>
      </c>
      <c r="M19" s="3">
        <f t="shared" si="9"/>
        <v>-20.299999999999997</v>
      </c>
      <c r="P19" s="4">
        <f t="shared" si="10"/>
        <v>100</v>
      </c>
      <c r="S19" s="3">
        <f t="shared" si="11"/>
        <v>0</v>
      </c>
      <c r="T19" s="5">
        <f t="shared" si="12"/>
        <v>-1024</v>
      </c>
      <c r="U19" s="1">
        <f t="shared" si="5"/>
        <v>1024</v>
      </c>
    </row>
    <row r="20" spans="1:21">
      <c r="A20" s="4" t="s">
        <v>93</v>
      </c>
      <c r="B20" s="1" t="s">
        <v>52</v>
      </c>
      <c r="C20" s="1">
        <v>105.4</v>
      </c>
      <c r="D20" s="4">
        <f t="shared" si="6"/>
        <v>-5.4000000000000057</v>
      </c>
      <c r="G20" s="3">
        <f t="shared" si="7"/>
        <v>90</v>
      </c>
      <c r="J20" s="4">
        <f t="shared" si="8"/>
        <v>-5.4000000000000057</v>
      </c>
      <c r="M20" s="3">
        <f t="shared" si="9"/>
        <v>90</v>
      </c>
      <c r="P20" s="4">
        <f t="shared" si="10"/>
        <v>0</v>
      </c>
      <c r="S20" s="3">
        <f t="shared" si="11"/>
        <v>90</v>
      </c>
      <c r="T20" s="5">
        <f t="shared" si="12"/>
        <v>921.6</v>
      </c>
      <c r="U20" s="1">
        <f t="shared" si="5"/>
        <v>-921.6</v>
      </c>
    </row>
    <row r="21" spans="1:21">
      <c r="A21" s="4" t="s">
        <v>94</v>
      </c>
      <c r="B21" s="1" t="s">
        <v>186</v>
      </c>
      <c r="C21" s="1">
        <v>90.6</v>
      </c>
      <c r="D21" s="4">
        <f t="shared" si="6"/>
        <v>9.4000000000000057</v>
      </c>
      <c r="E21" s="1" t="s">
        <v>71</v>
      </c>
      <c r="F21" s="1">
        <f>68.45+12.5</f>
        <v>80.95</v>
      </c>
      <c r="G21" s="3">
        <f t="shared" si="7"/>
        <v>9.0499999999999972</v>
      </c>
      <c r="J21" s="4">
        <f t="shared" si="8"/>
        <v>9.4000000000000057</v>
      </c>
      <c r="K21" s="1" t="s">
        <v>71</v>
      </c>
      <c r="L21" s="1">
        <f>68.45+12.5</f>
        <v>80.95</v>
      </c>
      <c r="M21" s="3">
        <f t="shared" si="9"/>
        <v>-71.900000000000006</v>
      </c>
      <c r="P21" s="4">
        <f t="shared" si="10"/>
        <v>9.4000000000000057</v>
      </c>
      <c r="S21" s="3">
        <f t="shared" si="11"/>
        <v>0</v>
      </c>
      <c r="T21" s="5">
        <f t="shared" si="12"/>
        <v>-96.256000000000057</v>
      </c>
      <c r="U21" s="1">
        <f t="shared" si="5"/>
        <v>96.256000000000057</v>
      </c>
    </row>
    <row r="22" spans="1:21">
      <c r="A22" s="4" t="s">
        <v>95</v>
      </c>
      <c r="B22" s="1" t="s">
        <v>78</v>
      </c>
      <c r="C22" s="1">
        <v>68.099999999999994</v>
      </c>
      <c r="D22" s="4">
        <f t="shared" si="6"/>
        <v>31.900000000000006</v>
      </c>
      <c r="E22" s="1" t="s">
        <v>139</v>
      </c>
      <c r="F22" s="1">
        <v>68.099999999999994</v>
      </c>
      <c r="G22" s="3">
        <f t="shared" si="7"/>
        <v>21.900000000000006</v>
      </c>
      <c r="H22" s="1" t="s">
        <v>186</v>
      </c>
      <c r="I22" s="1">
        <v>95.95</v>
      </c>
      <c r="J22" s="4">
        <f t="shared" si="8"/>
        <v>-64.05</v>
      </c>
      <c r="M22" s="3">
        <f>G22-L22-10</f>
        <v>11.900000000000006</v>
      </c>
      <c r="P22" s="4">
        <f t="shared" si="10"/>
        <v>0</v>
      </c>
      <c r="S22" s="3">
        <f t="shared" si="11"/>
        <v>11.900000000000006</v>
      </c>
      <c r="T22" s="5">
        <f t="shared" si="12"/>
        <v>121.85600000000005</v>
      </c>
      <c r="U22" s="1">
        <f t="shared" si="5"/>
        <v>-121.85600000000005</v>
      </c>
    </row>
    <row r="23" spans="1:21">
      <c r="A23" s="4" t="s">
        <v>96</v>
      </c>
      <c r="B23" s="1" t="s">
        <v>52</v>
      </c>
      <c r="C23" s="1">
        <v>50.6</v>
      </c>
      <c r="D23" s="4">
        <f t="shared" si="6"/>
        <v>49.4</v>
      </c>
      <c r="E23" s="1" t="s">
        <v>73</v>
      </c>
      <c r="F23" s="1">
        <v>0</v>
      </c>
      <c r="G23" s="3">
        <f t="shared" si="7"/>
        <v>90</v>
      </c>
      <c r="H23" s="1" t="s">
        <v>52</v>
      </c>
      <c r="I23" s="1">
        <v>33.65</v>
      </c>
      <c r="J23" s="4">
        <f>D23-I23+50</f>
        <v>65.75</v>
      </c>
      <c r="K23" s="1" t="s">
        <v>72</v>
      </c>
      <c r="L23" s="1">
        <v>0</v>
      </c>
      <c r="M23" s="3">
        <f>G23-L23-10</f>
        <v>80</v>
      </c>
      <c r="N23" s="1" t="s">
        <v>52</v>
      </c>
      <c r="O23" s="1">
        <v>33.65</v>
      </c>
      <c r="P23" s="4">
        <f>IF(J23-O23&lt;=0, 0, J23-O23)+50</f>
        <v>82.1</v>
      </c>
      <c r="Q23" s="1" t="s">
        <v>72</v>
      </c>
      <c r="R23" s="1">
        <v>0</v>
      </c>
      <c r="S23" s="3">
        <f>IF(M23-R23&lt;=0, 0, M23-R23)-10</f>
        <v>70</v>
      </c>
      <c r="T23" s="5">
        <f t="shared" si="12"/>
        <v>-123.90399999999994</v>
      </c>
      <c r="U23" s="1">
        <f t="shared" si="5"/>
        <v>123.90399999999994</v>
      </c>
    </row>
    <row r="24" spans="1:21">
      <c r="A24" s="4" t="s">
        <v>97</v>
      </c>
      <c r="B24" s="1" t="s">
        <v>78</v>
      </c>
      <c r="C24" s="1">
        <v>37.85</v>
      </c>
      <c r="D24" s="4">
        <f t="shared" si="6"/>
        <v>62.15</v>
      </c>
      <c r="E24" s="1" t="s">
        <v>187</v>
      </c>
      <c r="F24" s="1">
        <f>68.45+12.5</f>
        <v>80.95</v>
      </c>
      <c r="G24" s="3">
        <f t="shared" si="7"/>
        <v>9.0499999999999972</v>
      </c>
      <c r="H24" s="1" t="s">
        <v>78</v>
      </c>
      <c r="I24" s="1">
        <v>37.85</v>
      </c>
      <c r="J24" s="4">
        <f t="shared" si="8"/>
        <v>24.299999999999997</v>
      </c>
      <c r="K24" s="1" t="s">
        <v>187</v>
      </c>
      <c r="L24" s="1">
        <f>68.45+12.5</f>
        <v>80.95</v>
      </c>
      <c r="M24" s="3">
        <f t="shared" si="9"/>
        <v>-71.900000000000006</v>
      </c>
      <c r="P24" s="4">
        <f t="shared" si="10"/>
        <v>24.299999999999997</v>
      </c>
      <c r="S24" s="3">
        <f t="shared" si="11"/>
        <v>0</v>
      </c>
      <c r="T24" s="5">
        <f t="shared" si="12"/>
        <v>-248.83199999999997</v>
      </c>
      <c r="U24" s="1">
        <f t="shared" si="5"/>
        <v>248.83199999999997</v>
      </c>
    </row>
    <row r="25" spans="1:21">
      <c r="A25" s="4" t="s">
        <v>98</v>
      </c>
      <c r="B25" s="1" t="s">
        <v>52</v>
      </c>
      <c r="C25" s="1">
        <v>43.1</v>
      </c>
      <c r="D25" s="4">
        <f t="shared" si="6"/>
        <v>56.9</v>
      </c>
      <c r="E25" s="1" t="s">
        <v>75</v>
      </c>
      <c r="F25" s="1">
        <v>0</v>
      </c>
      <c r="G25" s="3">
        <f t="shared" si="7"/>
        <v>90</v>
      </c>
      <c r="J25" s="4">
        <f t="shared" si="8"/>
        <v>56.9</v>
      </c>
      <c r="K25" s="1" t="s">
        <v>76</v>
      </c>
      <c r="L25" s="1">
        <v>107.8</v>
      </c>
      <c r="M25" s="3">
        <f t="shared" si="9"/>
        <v>-17.799999999999997</v>
      </c>
      <c r="P25" s="4">
        <f t="shared" si="10"/>
        <v>56.9</v>
      </c>
      <c r="S25" s="3">
        <f t="shared" si="11"/>
        <v>0</v>
      </c>
      <c r="T25" s="5">
        <f t="shared" si="12"/>
        <v>-582.65599999999995</v>
      </c>
      <c r="U25" s="1">
        <f t="shared" si="5"/>
        <v>582.65599999999995</v>
      </c>
    </row>
    <row r="26" spans="1:21">
      <c r="A26" s="4" t="s">
        <v>99</v>
      </c>
      <c r="B26" s="1" t="s">
        <v>52</v>
      </c>
      <c r="C26" s="1">
        <v>224.5</v>
      </c>
      <c r="D26" s="4">
        <v>1</v>
      </c>
      <c r="E26" s="1" t="s">
        <v>113</v>
      </c>
      <c r="F26" s="1">
        <v>74.5</v>
      </c>
      <c r="G26" s="3">
        <f t="shared" si="7"/>
        <v>15.5</v>
      </c>
      <c r="J26" s="4">
        <f t="shared" si="8"/>
        <v>1</v>
      </c>
      <c r="K26" s="1" t="s">
        <v>113</v>
      </c>
      <c r="L26" s="1">
        <v>74.5</v>
      </c>
      <c r="M26" s="3">
        <f t="shared" si="9"/>
        <v>-59</v>
      </c>
      <c r="P26" s="4">
        <f t="shared" si="10"/>
        <v>1</v>
      </c>
      <c r="S26" s="3">
        <f t="shared" si="11"/>
        <v>0</v>
      </c>
      <c r="T26" s="5">
        <f t="shared" si="12"/>
        <v>-10.24</v>
      </c>
      <c r="U26" s="1">
        <f t="shared" si="5"/>
        <v>10.24</v>
      </c>
    </row>
    <row r="27" spans="1:21">
      <c r="A27" s="4" t="s">
        <v>100</v>
      </c>
      <c r="B27" s="1" t="s">
        <v>186</v>
      </c>
      <c r="C27" s="1">
        <v>73.849999999999994</v>
      </c>
      <c r="D27" s="4">
        <f t="shared" si="6"/>
        <v>26.150000000000006</v>
      </c>
      <c r="E27" s="1" t="s">
        <v>140</v>
      </c>
      <c r="F27" s="1">
        <v>120</v>
      </c>
      <c r="G27" s="3">
        <f t="shared" si="7"/>
        <v>-30</v>
      </c>
      <c r="J27" s="4">
        <f t="shared" si="8"/>
        <v>26.150000000000006</v>
      </c>
      <c r="M27" s="3">
        <f t="shared" si="9"/>
        <v>-30</v>
      </c>
      <c r="P27" s="4">
        <f t="shared" si="10"/>
        <v>26.150000000000006</v>
      </c>
      <c r="S27" s="3">
        <f t="shared" si="11"/>
        <v>0</v>
      </c>
      <c r="T27" s="5">
        <f t="shared" si="12"/>
        <v>-267.77600000000007</v>
      </c>
      <c r="U27" s="1">
        <f t="shared" si="5"/>
        <v>267.77600000000007</v>
      </c>
    </row>
    <row r="28" spans="1:21">
      <c r="A28" s="4" t="s">
        <v>101</v>
      </c>
      <c r="B28" s="1" t="s">
        <v>52</v>
      </c>
      <c r="C28" s="1">
        <v>74.8</v>
      </c>
      <c r="D28" s="4">
        <f>100-C28+25</f>
        <v>50.2</v>
      </c>
      <c r="E28" s="1" t="s">
        <v>60</v>
      </c>
      <c r="F28" s="1">
        <v>0</v>
      </c>
      <c r="G28" s="3">
        <f t="shared" si="7"/>
        <v>90</v>
      </c>
      <c r="H28" s="1" t="s">
        <v>52</v>
      </c>
      <c r="I28" s="1">
        <v>74.8</v>
      </c>
      <c r="J28" s="4">
        <f t="shared" si="8"/>
        <v>-24.599999999999994</v>
      </c>
      <c r="M28" s="3">
        <f t="shared" si="9"/>
        <v>90</v>
      </c>
      <c r="P28" s="4">
        <f t="shared" si="10"/>
        <v>0</v>
      </c>
      <c r="S28" s="3">
        <f t="shared" si="11"/>
        <v>90</v>
      </c>
      <c r="T28" s="5">
        <f t="shared" si="12"/>
        <v>921.6</v>
      </c>
      <c r="U28" s="1">
        <f t="shared" si="5"/>
        <v>-921.6</v>
      </c>
    </row>
    <row r="29" spans="1:21">
      <c r="A29" s="4" t="s">
        <v>102</v>
      </c>
      <c r="B29" s="1" t="s">
        <v>186</v>
      </c>
      <c r="C29" s="1">
        <v>146.4</v>
      </c>
      <c r="D29" s="4">
        <f t="shared" si="6"/>
        <v>-46.400000000000006</v>
      </c>
      <c r="G29" s="3">
        <f t="shared" si="7"/>
        <v>90</v>
      </c>
      <c r="J29" s="4">
        <f t="shared" si="8"/>
        <v>-46.400000000000006</v>
      </c>
      <c r="M29" s="3">
        <f t="shared" si="9"/>
        <v>90</v>
      </c>
      <c r="P29" s="4">
        <f t="shared" si="10"/>
        <v>0</v>
      </c>
      <c r="S29" s="3">
        <f t="shared" si="11"/>
        <v>90</v>
      </c>
      <c r="T29" s="5">
        <f t="shared" si="12"/>
        <v>921.6</v>
      </c>
      <c r="U29" s="1">
        <f t="shared" si="5"/>
        <v>-921.6</v>
      </c>
    </row>
    <row r="30" spans="1:21">
      <c r="A30" s="4" t="s">
        <v>103</v>
      </c>
      <c r="B30" s="1" t="s">
        <v>186</v>
      </c>
      <c r="C30" s="1">
        <v>71.7</v>
      </c>
      <c r="D30" s="4">
        <f t="shared" si="6"/>
        <v>28.299999999999997</v>
      </c>
      <c r="E30" s="1" t="s">
        <v>78</v>
      </c>
      <c r="F30" s="1">
        <v>87.25</v>
      </c>
      <c r="G30" s="3">
        <f t="shared" si="7"/>
        <v>2.75</v>
      </c>
      <c r="J30" s="4">
        <f t="shared" si="8"/>
        <v>28.299999999999997</v>
      </c>
      <c r="K30" s="1" t="s">
        <v>78</v>
      </c>
      <c r="L30" s="1">
        <v>87.25</v>
      </c>
      <c r="M30" s="3">
        <f t="shared" si="9"/>
        <v>-84.5</v>
      </c>
      <c r="P30" s="4">
        <f t="shared" si="10"/>
        <v>28.299999999999997</v>
      </c>
      <c r="S30" s="3">
        <f t="shared" si="11"/>
        <v>0</v>
      </c>
      <c r="T30" s="5">
        <f t="shared" si="12"/>
        <v>-289.79199999999997</v>
      </c>
      <c r="U30" s="1">
        <f t="shared" si="5"/>
        <v>289.79199999999997</v>
      </c>
    </row>
    <row r="31" spans="1:21">
      <c r="A31" s="4" t="s">
        <v>104</v>
      </c>
      <c r="B31" s="1" t="s">
        <v>136</v>
      </c>
      <c r="D31" s="4">
        <f t="shared" si="6"/>
        <v>100</v>
      </c>
      <c r="E31" s="1" t="s">
        <v>76</v>
      </c>
      <c r="F31" s="1">
        <v>103.3</v>
      </c>
      <c r="G31" s="3">
        <f t="shared" si="7"/>
        <v>-13.299999999999997</v>
      </c>
      <c r="J31" s="4">
        <f t="shared" si="8"/>
        <v>100</v>
      </c>
      <c r="M31" s="3">
        <f t="shared" si="9"/>
        <v>-13.299999999999997</v>
      </c>
      <c r="P31" s="4">
        <f t="shared" si="10"/>
        <v>100</v>
      </c>
      <c r="S31" s="3">
        <f t="shared" si="11"/>
        <v>0</v>
      </c>
      <c r="T31" s="5">
        <f t="shared" si="12"/>
        <v>-1024</v>
      </c>
      <c r="U31" s="1">
        <f t="shared" si="5"/>
        <v>1024</v>
      </c>
    </row>
    <row r="32" spans="1:21">
      <c r="A32" s="4" t="s">
        <v>105</v>
      </c>
      <c r="B32" s="1" t="s">
        <v>52</v>
      </c>
      <c r="C32" s="1">
        <v>99.65</v>
      </c>
      <c r="D32" s="4">
        <f t="shared" si="6"/>
        <v>0.34999999999999432</v>
      </c>
      <c r="E32" s="1" t="s">
        <v>64</v>
      </c>
      <c r="F32" s="1">
        <v>107.8</v>
      </c>
      <c r="G32" s="3">
        <f t="shared" si="7"/>
        <v>-17.799999999999997</v>
      </c>
      <c r="J32" s="4">
        <f t="shared" si="8"/>
        <v>0.34999999999999432</v>
      </c>
      <c r="M32" s="3">
        <f t="shared" si="9"/>
        <v>-17.799999999999997</v>
      </c>
      <c r="P32" s="4">
        <f t="shared" si="10"/>
        <v>0.34999999999999432</v>
      </c>
      <c r="S32" s="3">
        <f t="shared" si="11"/>
        <v>0</v>
      </c>
      <c r="T32" s="5">
        <f t="shared" si="12"/>
        <v>-3.5839999999999419</v>
      </c>
      <c r="U32" s="1">
        <f t="shared" si="5"/>
        <v>3.5839999999999419</v>
      </c>
    </row>
    <row r="33" spans="1:21">
      <c r="A33" s="4" t="s">
        <v>106</v>
      </c>
      <c r="B33" s="1" t="s">
        <v>78</v>
      </c>
      <c r="C33" s="1">
        <v>88.8</v>
      </c>
      <c r="D33" s="4">
        <f t="shared" si="6"/>
        <v>11.200000000000003</v>
      </c>
      <c r="E33" s="1" t="s">
        <v>144</v>
      </c>
      <c r="F33" s="1">
        <v>64.150000000000006</v>
      </c>
      <c r="G33" s="3">
        <f t="shared" si="7"/>
        <v>25.849999999999994</v>
      </c>
      <c r="H33" s="1" t="s">
        <v>78</v>
      </c>
      <c r="I33" s="1">
        <v>88.8</v>
      </c>
      <c r="J33" s="4">
        <f t="shared" si="8"/>
        <v>-77.599999999999994</v>
      </c>
      <c r="M33" s="3">
        <f t="shared" si="9"/>
        <v>25.849999999999994</v>
      </c>
      <c r="P33" s="4">
        <f t="shared" si="10"/>
        <v>0</v>
      </c>
      <c r="S33" s="3">
        <f t="shared" si="11"/>
        <v>25.849999999999994</v>
      </c>
      <c r="T33" s="5">
        <f t="shared" si="12"/>
        <v>264.70399999999995</v>
      </c>
      <c r="U33" s="1">
        <f t="shared" si="5"/>
        <v>-264.70399999999995</v>
      </c>
    </row>
    <row r="34" spans="1:21">
      <c r="A34" s="4" t="s">
        <v>107</v>
      </c>
      <c r="B34" s="1" t="s">
        <v>136</v>
      </c>
      <c r="D34" s="4">
        <f t="shared" si="6"/>
        <v>100</v>
      </c>
      <c r="E34" s="1" t="s">
        <v>111</v>
      </c>
      <c r="F34" s="1">
        <v>116.9</v>
      </c>
      <c r="G34" s="3">
        <f t="shared" si="7"/>
        <v>-26.900000000000006</v>
      </c>
      <c r="J34" s="4">
        <f t="shared" si="8"/>
        <v>100</v>
      </c>
      <c r="M34" s="3">
        <f t="shared" si="9"/>
        <v>-26.900000000000006</v>
      </c>
      <c r="P34" s="4">
        <f t="shared" si="10"/>
        <v>100</v>
      </c>
      <c r="S34" s="3">
        <f t="shared" si="11"/>
        <v>0</v>
      </c>
      <c r="T34" s="5">
        <f t="shared" si="12"/>
        <v>-1024</v>
      </c>
      <c r="U34" s="1">
        <f t="shared" si="5"/>
        <v>1024</v>
      </c>
    </row>
    <row r="35" spans="1:21">
      <c r="A35" s="4" t="s">
        <v>108</v>
      </c>
      <c r="B35" s="1" t="s">
        <v>78</v>
      </c>
      <c r="C35" s="1">
        <v>25.8</v>
      </c>
      <c r="D35" s="4">
        <f t="shared" si="6"/>
        <v>74.2</v>
      </c>
      <c r="E35" s="1" t="s">
        <v>124</v>
      </c>
      <c r="F35" s="1">
        <v>132.1</v>
      </c>
      <c r="G35" s="3">
        <f t="shared" si="7"/>
        <v>-42.099999999999994</v>
      </c>
      <c r="J35" s="4">
        <f t="shared" si="8"/>
        <v>74.2</v>
      </c>
      <c r="M35" s="3">
        <f t="shared" si="9"/>
        <v>-42.099999999999994</v>
      </c>
      <c r="P35" s="4">
        <f t="shared" si="10"/>
        <v>74.2</v>
      </c>
      <c r="S35" s="3">
        <f t="shared" si="11"/>
        <v>0</v>
      </c>
      <c r="T35" s="5">
        <f t="shared" si="12"/>
        <v>-759.80799999999999</v>
      </c>
      <c r="U35" s="1">
        <f t="shared" si="5"/>
        <v>759.80799999999999</v>
      </c>
    </row>
    <row r="36" spans="1:21">
      <c r="A36" s="4" t="s">
        <v>109</v>
      </c>
      <c r="B36" s="1" t="s">
        <v>52</v>
      </c>
      <c r="C36" s="1">
        <v>89.3</v>
      </c>
      <c r="D36" s="4">
        <f t="shared" si="6"/>
        <v>10.700000000000003</v>
      </c>
      <c r="E36" s="1" t="s">
        <v>76</v>
      </c>
      <c r="F36" s="1">
        <v>77.25</v>
      </c>
      <c r="G36" s="3">
        <f t="shared" si="7"/>
        <v>12.75</v>
      </c>
      <c r="J36" s="4">
        <f t="shared" si="8"/>
        <v>10.700000000000003</v>
      </c>
      <c r="K36" s="1" t="s">
        <v>76</v>
      </c>
      <c r="L36" s="1">
        <v>77.25</v>
      </c>
      <c r="M36" s="3">
        <f t="shared" si="9"/>
        <v>-64.5</v>
      </c>
      <c r="P36" s="4">
        <f t="shared" si="10"/>
        <v>10.700000000000003</v>
      </c>
      <c r="S36" s="3">
        <f t="shared" si="11"/>
        <v>0</v>
      </c>
      <c r="T36" s="5">
        <f t="shared" si="12"/>
        <v>-109.56800000000003</v>
      </c>
      <c r="U36" s="1">
        <f t="shared" si="5"/>
        <v>109.56800000000003</v>
      </c>
    </row>
    <row r="37" spans="1:21">
      <c r="A37" s="4" t="s">
        <v>110</v>
      </c>
      <c r="B37" s="1" t="s">
        <v>52</v>
      </c>
      <c r="C37" s="1">
        <v>224.5</v>
      </c>
      <c r="D37" s="4">
        <v>1</v>
      </c>
      <c r="E37" s="1" t="s">
        <v>146</v>
      </c>
      <c r="F37" s="1">
        <v>77.849999999999994</v>
      </c>
      <c r="G37" s="3">
        <f t="shared" si="7"/>
        <v>12.150000000000006</v>
      </c>
      <c r="J37" s="4">
        <f t="shared" si="8"/>
        <v>1</v>
      </c>
      <c r="K37" s="1" t="s">
        <v>146</v>
      </c>
      <c r="L37" s="1">
        <v>77.849999999999994</v>
      </c>
      <c r="M37" s="3">
        <f t="shared" si="9"/>
        <v>-65.699999999999989</v>
      </c>
      <c r="P37" s="4">
        <f t="shared" si="10"/>
        <v>1</v>
      </c>
      <c r="S37" s="3">
        <f t="shared" si="11"/>
        <v>0</v>
      </c>
      <c r="T37" s="5">
        <f t="shared" si="12"/>
        <v>-10.24</v>
      </c>
      <c r="U37" s="1">
        <f t="shared" si="5"/>
        <v>10.24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A07E5-2404-4FA4-B0A3-A86578B709F0}">
  <dimension ref="A1:Y3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9" sqref="E19"/>
    </sheetView>
  </sheetViews>
  <sheetFormatPr defaultRowHeight="18.75"/>
  <cols>
    <col min="1" max="1" width="14.5" style="1" customWidth="1"/>
    <col min="2" max="16384" width="9" style="1"/>
  </cols>
  <sheetData>
    <row r="1" spans="1:25">
      <c r="A1" s="3" t="s">
        <v>6</v>
      </c>
      <c r="B1" s="3" t="s">
        <v>188</v>
      </c>
      <c r="C1" s="3" t="s">
        <v>69</v>
      </c>
      <c r="D1" s="3" t="s">
        <v>189</v>
      </c>
      <c r="E1" s="3">
        <v>173</v>
      </c>
      <c r="F1" s="3">
        <v>108</v>
      </c>
      <c r="G1" s="3">
        <v>123</v>
      </c>
      <c r="H1" s="3">
        <v>174</v>
      </c>
      <c r="I1" s="3">
        <v>121</v>
      </c>
      <c r="J1" s="3">
        <v>113</v>
      </c>
      <c r="K1" s="3" t="s">
        <v>182</v>
      </c>
      <c r="L1" s="3" t="s">
        <v>190</v>
      </c>
      <c r="M1" s="3" t="s">
        <v>49</v>
      </c>
      <c r="N1" s="3" t="s">
        <v>191</v>
      </c>
      <c r="O1" s="3" t="s">
        <v>69</v>
      </c>
      <c r="P1" s="3">
        <v>75</v>
      </c>
      <c r="Q1" s="3" t="s">
        <v>176</v>
      </c>
      <c r="R1" s="3" t="s">
        <v>65</v>
      </c>
      <c r="S1" s="3">
        <v>110</v>
      </c>
      <c r="T1" s="3" t="s">
        <v>127</v>
      </c>
      <c r="U1" s="3" t="s">
        <v>188</v>
      </c>
      <c r="V1" s="3">
        <v>80</v>
      </c>
      <c r="W1" s="3" t="s">
        <v>132</v>
      </c>
      <c r="X1" s="3" t="s">
        <v>121</v>
      </c>
      <c r="Y1" s="3">
        <v>120</v>
      </c>
    </row>
    <row r="2" spans="1:25">
      <c r="B2" s="1" t="s">
        <v>54</v>
      </c>
      <c r="H2" s="1" t="s">
        <v>55</v>
      </c>
      <c r="N2" s="1" t="s">
        <v>56</v>
      </c>
    </row>
    <row r="3" spans="1:25">
      <c r="A3" s="4" t="s">
        <v>128</v>
      </c>
      <c r="B3" s="1" t="s">
        <v>35</v>
      </c>
      <c r="C3" s="1" t="s">
        <v>36</v>
      </c>
      <c r="D3" s="4" t="s">
        <v>42</v>
      </c>
      <c r="E3" s="1" t="s">
        <v>37</v>
      </c>
      <c r="F3" s="1" t="s">
        <v>38</v>
      </c>
      <c r="G3" s="3" t="s">
        <v>41</v>
      </c>
      <c r="H3" s="1" t="s">
        <v>35</v>
      </c>
      <c r="I3" s="1" t="s">
        <v>36</v>
      </c>
      <c r="J3" s="4" t="s">
        <v>42</v>
      </c>
      <c r="K3" s="1" t="s">
        <v>37</v>
      </c>
      <c r="L3" s="1" t="s">
        <v>38</v>
      </c>
      <c r="M3" s="3" t="s">
        <v>41</v>
      </c>
      <c r="N3" s="1" t="s">
        <v>35</v>
      </c>
      <c r="O3" s="1" t="s">
        <v>36</v>
      </c>
      <c r="P3" s="4" t="s">
        <v>42</v>
      </c>
      <c r="Q3" s="1" t="s">
        <v>37</v>
      </c>
      <c r="R3" s="1" t="s">
        <v>38</v>
      </c>
      <c r="S3" s="3" t="s">
        <v>41</v>
      </c>
      <c r="T3" s="5" t="s">
        <v>45</v>
      </c>
      <c r="U3" s="1" t="s">
        <v>114</v>
      </c>
    </row>
    <row r="4" spans="1:25">
      <c r="A4" s="4" t="s">
        <v>80</v>
      </c>
      <c r="B4" s="1" t="s">
        <v>123</v>
      </c>
    </row>
    <row r="5" spans="1:25">
      <c r="A5" s="4" t="s">
        <v>79</v>
      </c>
      <c r="B5" s="1" t="s">
        <v>123</v>
      </c>
    </row>
    <row r="6" spans="1:25">
      <c r="A6" s="4" t="s">
        <v>2</v>
      </c>
      <c r="B6" s="1" t="s">
        <v>123</v>
      </c>
    </row>
    <row r="7" spans="1:25">
      <c r="A7" s="4" t="s">
        <v>81</v>
      </c>
      <c r="B7" s="1" t="s">
        <v>123</v>
      </c>
    </row>
    <row r="8" spans="1:25">
      <c r="A8" s="4" t="s">
        <v>82</v>
      </c>
      <c r="B8" s="1" t="s">
        <v>123</v>
      </c>
    </row>
    <row r="9" spans="1:25">
      <c r="A9" s="4" t="s">
        <v>83</v>
      </c>
      <c r="B9" s="1" t="s">
        <v>123</v>
      </c>
    </row>
    <row r="10" spans="1:25">
      <c r="A10" s="4" t="s">
        <v>6</v>
      </c>
      <c r="B10" s="1" t="s">
        <v>123</v>
      </c>
    </row>
    <row r="11" spans="1:25">
      <c r="A11" s="4" t="s">
        <v>84</v>
      </c>
      <c r="B11" s="1" t="s">
        <v>176</v>
      </c>
      <c r="C11" s="1">
        <v>83.5</v>
      </c>
      <c r="D11" s="4">
        <f>100-C11+6.25+173/8</f>
        <v>44.375</v>
      </c>
      <c r="E11" s="1" t="s">
        <v>130</v>
      </c>
      <c r="F11" s="1">
        <v>12.5</v>
      </c>
      <c r="G11" s="3">
        <f>100-F11-10</f>
        <v>77.5</v>
      </c>
      <c r="H11" s="1" t="s">
        <v>176</v>
      </c>
      <c r="I11" s="1">
        <v>0</v>
      </c>
      <c r="J11" s="4">
        <f>D11-I11+6.25+173/8</f>
        <v>72.25</v>
      </c>
      <c r="K11" s="1" t="s">
        <v>131</v>
      </c>
      <c r="L11" s="1">
        <v>12.5</v>
      </c>
      <c r="M11" s="3">
        <f t="shared" ref="M11" si="0">G11-L11</f>
        <v>65</v>
      </c>
      <c r="N11" s="1" t="s">
        <v>176</v>
      </c>
      <c r="O11" s="1">
        <v>83.5</v>
      </c>
      <c r="P11" s="4">
        <f t="shared" ref="P11" si="1">IF(J11-O11&lt;=0, 0, J11-O11)</f>
        <v>0</v>
      </c>
      <c r="S11" s="3">
        <f>IF(M11-R11&lt;=0, 0, M11-R11)-10</f>
        <v>55</v>
      </c>
      <c r="T11" s="5">
        <f t="shared" ref="T11" si="2">(S11-P11)/100*1024</f>
        <v>563.20000000000005</v>
      </c>
      <c r="U11" s="1">
        <f t="shared" ref="U11:U37" si="3">-1*T11</f>
        <v>-563.20000000000005</v>
      </c>
    </row>
    <row r="12" spans="1:25">
      <c r="A12" s="4" t="s">
        <v>85</v>
      </c>
      <c r="B12" s="1" t="s">
        <v>127</v>
      </c>
      <c r="C12" s="1">
        <v>37.5</v>
      </c>
      <c r="D12" s="4">
        <f t="shared" ref="D12:D36" si="4">100-C12</f>
        <v>62.5</v>
      </c>
      <c r="E12" s="1" t="s">
        <v>161</v>
      </c>
      <c r="F12" s="1">
        <v>59.5</v>
      </c>
      <c r="G12" s="3">
        <f t="shared" ref="G12:G37" si="5">100-F12-10</f>
        <v>30.5</v>
      </c>
      <c r="H12" s="1" t="s">
        <v>127</v>
      </c>
      <c r="I12" s="1">
        <v>37.5</v>
      </c>
      <c r="J12" s="4">
        <f t="shared" ref="J12:J37" si="6">D12-I12</f>
        <v>25</v>
      </c>
      <c r="K12" s="1" t="s">
        <v>161</v>
      </c>
      <c r="L12" s="1">
        <v>59.5</v>
      </c>
      <c r="M12" s="3">
        <f t="shared" ref="M12:M37" si="7">G12-L12</f>
        <v>-29</v>
      </c>
      <c r="P12" s="4">
        <f t="shared" ref="P12:P37" si="8">IF(J12-O12&lt;=0, 0, J12-O12)</f>
        <v>25</v>
      </c>
      <c r="S12" s="3">
        <f t="shared" ref="S12:S37" si="9">IF(M12-R12&lt;=0, 0, M12-R12)</f>
        <v>0</v>
      </c>
      <c r="T12" s="5">
        <f t="shared" ref="T12:T37" si="10">(S12-P12)/100*1024</f>
        <v>-256</v>
      </c>
      <c r="U12" s="1">
        <f t="shared" si="3"/>
        <v>256</v>
      </c>
    </row>
    <row r="13" spans="1:25">
      <c r="A13" s="4" t="s">
        <v>86</v>
      </c>
      <c r="B13" s="1" t="s">
        <v>191</v>
      </c>
      <c r="C13" s="1">
        <v>102.25</v>
      </c>
      <c r="D13" s="4">
        <f t="shared" si="4"/>
        <v>-2.25</v>
      </c>
      <c r="E13" s="1" t="s">
        <v>192</v>
      </c>
      <c r="F13" s="1">
        <v>54.3</v>
      </c>
      <c r="G13" s="3">
        <f>100-F13</f>
        <v>45.7</v>
      </c>
      <c r="J13" s="4">
        <f t="shared" si="6"/>
        <v>-2.25</v>
      </c>
      <c r="M13" s="3">
        <f t="shared" si="7"/>
        <v>45.7</v>
      </c>
      <c r="P13" s="4">
        <f t="shared" si="8"/>
        <v>0</v>
      </c>
      <c r="S13" s="3">
        <f t="shared" si="9"/>
        <v>45.7</v>
      </c>
      <c r="T13" s="5">
        <f t="shared" si="10"/>
        <v>467.96800000000002</v>
      </c>
      <c r="U13" s="1">
        <f t="shared" si="3"/>
        <v>-467.96800000000002</v>
      </c>
    </row>
    <row r="14" spans="1:25">
      <c r="A14" s="4" t="s">
        <v>87</v>
      </c>
      <c r="B14" s="1" t="s">
        <v>127</v>
      </c>
      <c r="C14" s="1">
        <v>81.2</v>
      </c>
      <c r="D14" s="4">
        <f t="shared" si="4"/>
        <v>18.799999999999997</v>
      </c>
      <c r="E14" s="1" t="s">
        <v>132</v>
      </c>
      <c r="F14" s="1">
        <v>94.5</v>
      </c>
      <c r="G14" s="3">
        <f t="shared" si="5"/>
        <v>-4.5</v>
      </c>
      <c r="J14" s="4">
        <f t="shared" si="6"/>
        <v>18.799999999999997</v>
      </c>
      <c r="K14" s="1" t="s">
        <v>78</v>
      </c>
      <c r="L14" s="1">
        <v>86.7</v>
      </c>
      <c r="M14" s="3">
        <f t="shared" si="7"/>
        <v>-91.2</v>
      </c>
      <c r="P14" s="4">
        <f t="shared" si="8"/>
        <v>18.799999999999997</v>
      </c>
      <c r="S14" s="3">
        <f t="shared" si="9"/>
        <v>0</v>
      </c>
      <c r="T14" s="5">
        <f t="shared" si="10"/>
        <v>-192.51199999999997</v>
      </c>
      <c r="U14" s="1">
        <f t="shared" si="3"/>
        <v>192.51199999999997</v>
      </c>
    </row>
    <row r="15" spans="1:25">
      <c r="A15" s="4" t="s">
        <v>88</v>
      </c>
      <c r="B15" s="1" t="s">
        <v>127</v>
      </c>
      <c r="C15" s="1">
        <v>55.5</v>
      </c>
      <c r="D15" s="4">
        <f>100-C15+25</f>
        <v>69.5</v>
      </c>
      <c r="E15" s="1" t="s">
        <v>60</v>
      </c>
      <c r="F15" s="1">
        <v>0</v>
      </c>
      <c r="G15" s="3">
        <f t="shared" si="5"/>
        <v>90</v>
      </c>
      <c r="H15" s="1" t="s">
        <v>127</v>
      </c>
      <c r="I15" s="1">
        <v>55.5</v>
      </c>
      <c r="J15" s="4">
        <f t="shared" si="6"/>
        <v>14</v>
      </c>
      <c r="K15" s="1" t="s">
        <v>133</v>
      </c>
      <c r="L15" s="1">
        <v>0</v>
      </c>
      <c r="M15" s="3">
        <f>G15-L15-10</f>
        <v>80</v>
      </c>
      <c r="N15" s="1" t="s">
        <v>61</v>
      </c>
      <c r="O15" s="1">
        <v>0</v>
      </c>
      <c r="P15" s="4">
        <f t="shared" si="8"/>
        <v>14</v>
      </c>
      <c r="Q15" s="1" t="s">
        <v>134</v>
      </c>
      <c r="R15" s="1">
        <v>12.5</v>
      </c>
      <c r="S15" s="3">
        <f t="shared" si="9"/>
        <v>67.5</v>
      </c>
      <c r="T15" s="5">
        <f t="shared" si="10"/>
        <v>547.84</v>
      </c>
      <c r="U15" s="1">
        <f t="shared" si="3"/>
        <v>-547.84</v>
      </c>
    </row>
    <row r="16" spans="1:25">
      <c r="A16" s="4" t="s">
        <v>89</v>
      </c>
      <c r="B16" s="1" t="s">
        <v>127</v>
      </c>
      <c r="C16" s="1">
        <v>72.95</v>
      </c>
      <c r="D16" s="4">
        <f>100-C16-10</f>
        <v>17.049999999999997</v>
      </c>
      <c r="E16" s="1" t="s">
        <v>51</v>
      </c>
      <c r="F16" s="1">
        <v>59.2</v>
      </c>
      <c r="G16" s="3">
        <f t="shared" si="5"/>
        <v>30.799999999999997</v>
      </c>
      <c r="J16" s="4">
        <f>D16-I16-10</f>
        <v>7.0499999999999972</v>
      </c>
      <c r="K16" s="1" t="s">
        <v>62</v>
      </c>
      <c r="L16" s="1">
        <v>32.9</v>
      </c>
      <c r="M16" s="3">
        <f t="shared" si="7"/>
        <v>-2.1000000000000014</v>
      </c>
      <c r="P16" s="4">
        <f t="shared" si="8"/>
        <v>7.0499999999999972</v>
      </c>
      <c r="S16" s="3">
        <f t="shared" si="9"/>
        <v>0</v>
      </c>
      <c r="T16" s="5">
        <f t="shared" si="10"/>
        <v>-72.191999999999965</v>
      </c>
      <c r="U16" s="1">
        <f t="shared" si="3"/>
        <v>72.191999999999965</v>
      </c>
    </row>
    <row r="17" spans="1:21">
      <c r="A17" s="4" t="s">
        <v>90</v>
      </c>
      <c r="B17" s="1" t="s">
        <v>127</v>
      </c>
      <c r="C17" s="1">
        <v>72.95</v>
      </c>
      <c r="D17" s="4">
        <f>100-C17-10</f>
        <v>17.049999999999997</v>
      </c>
      <c r="E17" s="1" t="s">
        <v>176</v>
      </c>
      <c r="F17" s="1">
        <v>85.5</v>
      </c>
      <c r="G17" s="3">
        <f t="shared" si="5"/>
        <v>4.5</v>
      </c>
      <c r="J17" s="4">
        <f>D17-I17-10</f>
        <v>7.0499999999999972</v>
      </c>
      <c r="K17" s="1" t="s">
        <v>176</v>
      </c>
      <c r="L17" s="1">
        <v>85.5</v>
      </c>
      <c r="M17" s="3">
        <f t="shared" si="7"/>
        <v>-81</v>
      </c>
      <c r="P17" s="4">
        <f t="shared" si="8"/>
        <v>7.0499999999999972</v>
      </c>
      <c r="S17" s="3">
        <f t="shared" si="9"/>
        <v>0</v>
      </c>
      <c r="T17" s="5">
        <f t="shared" si="10"/>
        <v>-72.191999999999965</v>
      </c>
      <c r="U17" s="1">
        <f t="shared" si="3"/>
        <v>72.191999999999965</v>
      </c>
    </row>
    <row r="18" spans="1:21">
      <c r="A18" s="4" t="s">
        <v>91</v>
      </c>
      <c r="B18" s="1" t="s">
        <v>136</v>
      </c>
      <c r="D18" s="4">
        <f t="shared" si="4"/>
        <v>100</v>
      </c>
      <c r="E18" s="1" t="s">
        <v>176</v>
      </c>
      <c r="F18" s="1">
        <v>101.4</v>
      </c>
      <c r="G18" s="3">
        <f t="shared" si="5"/>
        <v>-11.400000000000006</v>
      </c>
      <c r="J18" s="4">
        <f t="shared" si="6"/>
        <v>100</v>
      </c>
      <c r="M18" s="3">
        <f t="shared" si="7"/>
        <v>-11.400000000000006</v>
      </c>
      <c r="P18" s="4">
        <f t="shared" si="8"/>
        <v>100</v>
      </c>
      <c r="S18" s="3">
        <f t="shared" si="9"/>
        <v>0</v>
      </c>
      <c r="T18" s="5">
        <f t="shared" si="10"/>
        <v>-1024</v>
      </c>
      <c r="U18" s="1">
        <f t="shared" si="3"/>
        <v>1024</v>
      </c>
    </row>
    <row r="19" spans="1:21">
      <c r="A19" s="4" t="s">
        <v>92</v>
      </c>
      <c r="B19" s="1" t="s">
        <v>191</v>
      </c>
      <c r="C19" s="1">
        <v>456.4</v>
      </c>
      <c r="D19" s="4">
        <v>1</v>
      </c>
      <c r="E19" s="1" t="s">
        <v>57</v>
      </c>
      <c r="F19" s="1">
        <v>78.25</v>
      </c>
      <c r="G19" s="3">
        <f t="shared" si="5"/>
        <v>11.75</v>
      </c>
      <c r="J19" s="4">
        <f t="shared" si="6"/>
        <v>1</v>
      </c>
      <c r="K19" s="1" t="s">
        <v>57</v>
      </c>
      <c r="L19" s="1">
        <v>78.25</v>
      </c>
      <c r="M19" s="3">
        <f t="shared" si="7"/>
        <v>-66.5</v>
      </c>
      <c r="P19" s="4">
        <f t="shared" si="8"/>
        <v>1</v>
      </c>
      <c r="S19" s="3">
        <f t="shared" si="9"/>
        <v>0</v>
      </c>
      <c r="T19" s="5">
        <f t="shared" si="10"/>
        <v>-10.24</v>
      </c>
      <c r="U19" s="1">
        <f t="shared" si="3"/>
        <v>10.24</v>
      </c>
    </row>
    <row r="20" spans="1:21">
      <c r="A20" s="4" t="s">
        <v>93</v>
      </c>
      <c r="B20" s="1" t="s">
        <v>132</v>
      </c>
      <c r="C20" s="1">
        <v>0</v>
      </c>
      <c r="D20" s="4">
        <f t="shared" si="4"/>
        <v>100</v>
      </c>
      <c r="E20" s="1" t="s">
        <v>166</v>
      </c>
      <c r="F20" s="1">
        <v>0</v>
      </c>
      <c r="G20" s="3">
        <f>100-F20</f>
        <v>100</v>
      </c>
      <c r="H20" s="1" t="s">
        <v>132</v>
      </c>
      <c r="I20" s="1">
        <v>129</v>
      </c>
      <c r="J20" s="4">
        <f t="shared" si="6"/>
        <v>-29</v>
      </c>
      <c r="K20" s="1" t="s">
        <v>137</v>
      </c>
      <c r="L20" s="1">
        <v>88.7</v>
      </c>
      <c r="M20" s="3">
        <f>G20-L20-10</f>
        <v>1.2999999999999972</v>
      </c>
      <c r="P20" s="4">
        <f t="shared" si="8"/>
        <v>0</v>
      </c>
      <c r="S20" s="3">
        <f t="shared" si="9"/>
        <v>1.2999999999999972</v>
      </c>
      <c r="T20" s="5">
        <f t="shared" si="10"/>
        <v>13.311999999999971</v>
      </c>
      <c r="U20" s="1">
        <f t="shared" si="3"/>
        <v>-13.311999999999971</v>
      </c>
    </row>
    <row r="21" spans="1:21">
      <c r="A21" s="4" t="s">
        <v>94</v>
      </c>
      <c r="B21" s="1" t="s">
        <v>136</v>
      </c>
      <c r="D21" s="4">
        <f t="shared" si="4"/>
        <v>100</v>
      </c>
      <c r="E21" s="1" t="s">
        <v>71</v>
      </c>
      <c r="F21" s="1">
        <v>107.5</v>
      </c>
      <c r="G21" s="3">
        <f t="shared" si="5"/>
        <v>-17.5</v>
      </c>
      <c r="J21" s="4">
        <f t="shared" si="6"/>
        <v>100</v>
      </c>
      <c r="M21" s="3">
        <f t="shared" si="7"/>
        <v>-17.5</v>
      </c>
      <c r="P21" s="4">
        <f t="shared" si="8"/>
        <v>100</v>
      </c>
      <c r="S21" s="3">
        <f t="shared" si="9"/>
        <v>0</v>
      </c>
      <c r="T21" s="5">
        <f t="shared" si="10"/>
        <v>-1024</v>
      </c>
      <c r="U21" s="1">
        <f t="shared" si="3"/>
        <v>1024</v>
      </c>
    </row>
    <row r="22" spans="1:21">
      <c r="A22" s="4" t="s">
        <v>95</v>
      </c>
      <c r="B22" s="1" t="s">
        <v>176</v>
      </c>
      <c r="C22" s="1">
        <v>110.9</v>
      </c>
      <c r="D22" s="4">
        <f t="shared" si="4"/>
        <v>-10.900000000000006</v>
      </c>
      <c r="G22" s="3">
        <f t="shared" si="5"/>
        <v>90</v>
      </c>
      <c r="J22" s="4">
        <f t="shared" si="6"/>
        <v>-10.900000000000006</v>
      </c>
      <c r="M22" s="3">
        <f t="shared" si="7"/>
        <v>90</v>
      </c>
      <c r="P22" s="4">
        <f t="shared" si="8"/>
        <v>0</v>
      </c>
      <c r="S22" s="3">
        <f t="shared" si="9"/>
        <v>90</v>
      </c>
      <c r="T22" s="5">
        <f t="shared" si="10"/>
        <v>921.6</v>
      </c>
      <c r="U22" s="1">
        <f t="shared" si="3"/>
        <v>-921.6</v>
      </c>
    </row>
    <row r="23" spans="1:21">
      <c r="A23" s="4" t="s">
        <v>96</v>
      </c>
      <c r="B23" s="1" t="s">
        <v>127</v>
      </c>
      <c r="C23" s="1">
        <v>33</v>
      </c>
      <c r="D23" s="4">
        <f t="shared" si="4"/>
        <v>67</v>
      </c>
      <c r="E23" s="1" t="s">
        <v>73</v>
      </c>
      <c r="F23" s="1">
        <v>0</v>
      </c>
      <c r="G23" s="3">
        <f t="shared" si="5"/>
        <v>90</v>
      </c>
      <c r="H23" s="1" t="s">
        <v>127</v>
      </c>
      <c r="I23" s="1">
        <v>21.95</v>
      </c>
      <c r="J23" s="4">
        <f>D23-I23+50</f>
        <v>95.05</v>
      </c>
      <c r="K23" s="1" t="s">
        <v>72</v>
      </c>
      <c r="L23" s="1">
        <v>0</v>
      </c>
      <c r="M23" s="3">
        <f>G23-L23-10</f>
        <v>80</v>
      </c>
      <c r="N23" s="1" t="s">
        <v>127</v>
      </c>
      <c r="O23" s="1">
        <v>21.95</v>
      </c>
      <c r="P23" s="4">
        <f t="shared" si="8"/>
        <v>73.099999999999994</v>
      </c>
      <c r="Q23" s="1" t="s">
        <v>74</v>
      </c>
      <c r="R23" s="1">
        <v>22.8</v>
      </c>
      <c r="S23" s="3">
        <f>IF(M23-R23&lt;=0, 0, M23-R23)-10</f>
        <v>47.2</v>
      </c>
      <c r="T23" s="5">
        <f t="shared" si="10"/>
        <v>-265.21599999999989</v>
      </c>
      <c r="U23" s="1">
        <f t="shared" si="3"/>
        <v>265.21599999999989</v>
      </c>
    </row>
    <row r="24" spans="1:21">
      <c r="A24" s="4" t="s">
        <v>97</v>
      </c>
      <c r="B24" s="1" t="s">
        <v>191</v>
      </c>
      <c r="C24" s="1">
        <v>14.35</v>
      </c>
      <c r="D24" s="4">
        <f t="shared" si="4"/>
        <v>85.65</v>
      </c>
      <c r="E24" s="1" t="s">
        <v>187</v>
      </c>
      <c r="F24" s="1">
        <v>107.5</v>
      </c>
      <c r="G24" s="3">
        <f t="shared" si="5"/>
        <v>-17.5</v>
      </c>
      <c r="J24" s="4">
        <f t="shared" si="6"/>
        <v>85.65</v>
      </c>
      <c r="M24" s="3">
        <f t="shared" si="7"/>
        <v>-17.5</v>
      </c>
      <c r="P24" s="4">
        <f t="shared" si="8"/>
        <v>85.65</v>
      </c>
      <c r="S24" s="3">
        <f t="shared" si="9"/>
        <v>0</v>
      </c>
      <c r="T24" s="5">
        <f t="shared" si="10"/>
        <v>-877.05600000000004</v>
      </c>
      <c r="U24" s="1">
        <f t="shared" si="3"/>
        <v>877.05600000000004</v>
      </c>
    </row>
    <row r="25" spans="1:21">
      <c r="A25" s="4" t="s">
        <v>98</v>
      </c>
      <c r="B25" s="1" t="s">
        <v>127</v>
      </c>
      <c r="C25" s="1">
        <v>28.6</v>
      </c>
      <c r="D25" s="4">
        <f t="shared" si="4"/>
        <v>71.400000000000006</v>
      </c>
      <c r="E25" s="1" t="s">
        <v>193</v>
      </c>
      <c r="F25" s="1">
        <v>53.85</v>
      </c>
      <c r="G25" s="3">
        <f t="shared" si="5"/>
        <v>36.15</v>
      </c>
      <c r="J25" s="4">
        <f t="shared" si="6"/>
        <v>71.400000000000006</v>
      </c>
      <c r="K25" s="1" t="s">
        <v>193</v>
      </c>
      <c r="L25" s="1">
        <v>53.85</v>
      </c>
      <c r="M25" s="3">
        <f t="shared" si="7"/>
        <v>-17.700000000000003</v>
      </c>
      <c r="P25" s="4">
        <f t="shared" si="8"/>
        <v>71.400000000000006</v>
      </c>
      <c r="S25" s="3">
        <f t="shared" si="9"/>
        <v>0</v>
      </c>
      <c r="T25" s="5">
        <f t="shared" si="10"/>
        <v>-731.13600000000008</v>
      </c>
      <c r="U25" s="1">
        <f t="shared" si="3"/>
        <v>731.13600000000008</v>
      </c>
    </row>
    <row r="26" spans="1:21">
      <c r="A26" s="4" t="s">
        <v>99</v>
      </c>
      <c r="B26" s="1" t="s">
        <v>191</v>
      </c>
      <c r="C26" s="1">
        <v>138.19999999999999</v>
      </c>
      <c r="D26" s="4">
        <v>1</v>
      </c>
      <c r="E26" s="1" t="s">
        <v>113</v>
      </c>
      <c r="F26" s="1">
        <v>63.25</v>
      </c>
      <c r="G26" s="3">
        <f t="shared" si="5"/>
        <v>26.75</v>
      </c>
      <c r="J26" s="4">
        <f t="shared" si="6"/>
        <v>1</v>
      </c>
      <c r="K26" s="1" t="s">
        <v>113</v>
      </c>
      <c r="L26" s="1">
        <v>63.25</v>
      </c>
      <c r="M26" s="3">
        <f t="shared" si="7"/>
        <v>-36.5</v>
      </c>
      <c r="P26" s="4">
        <f t="shared" si="8"/>
        <v>1</v>
      </c>
      <c r="S26" s="3">
        <f t="shared" si="9"/>
        <v>0</v>
      </c>
      <c r="T26" s="5">
        <f t="shared" si="10"/>
        <v>-10.24</v>
      </c>
      <c r="U26" s="1">
        <f t="shared" si="3"/>
        <v>10.24</v>
      </c>
    </row>
    <row r="27" spans="1:21">
      <c r="A27" s="4" t="s">
        <v>100</v>
      </c>
      <c r="B27" s="1" t="s">
        <v>191</v>
      </c>
      <c r="C27" s="1">
        <v>39.799999999999997</v>
      </c>
      <c r="D27" s="4">
        <f t="shared" si="4"/>
        <v>60.2</v>
      </c>
      <c r="E27" s="1" t="s">
        <v>140</v>
      </c>
      <c r="F27" s="1">
        <v>53.15</v>
      </c>
      <c r="G27" s="3">
        <f t="shared" si="5"/>
        <v>36.85</v>
      </c>
      <c r="H27" s="1" t="s">
        <v>127</v>
      </c>
      <c r="I27" s="1">
        <v>84.25</v>
      </c>
      <c r="J27" s="4">
        <f t="shared" si="6"/>
        <v>-24.049999999999997</v>
      </c>
      <c r="M27" s="3">
        <f t="shared" si="7"/>
        <v>36.85</v>
      </c>
      <c r="P27" s="4">
        <f t="shared" si="8"/>
        <v>0</v>
      </c>
      <c r="S27" s="3">
        <f t="shared" si="9"/>
        <v>36.85</v>
      </c>
      <c r="T27" s="5">
        <f t="shared" si="10"/>
        <v>377.34399999999999</v>
      </c>
      <c r="U27" s="1">
        <f t="shared" si="3"/>
        <v>-377.34399999999999</v>
      </c>
    </row>
    <row r="28" spans="1:21">
      <c r="A28" s="4" t="s">
        <v>101</v>
      </c>
      <c r="B28" s="1" t="s">
        <v>191</v>
      </c>
      <c r="C28" s="1">
        <v>45.85</v>
      </c>
      <c r="D28" s="4">
        <f t="shared" si="4"/>
        <v>54.15</v>
      </c>
      <c r="E28" s="1" t="s">
        <v>60</v>
      </c>
      <c r="F28" s="1">
        <v>0</v>
      </c>
      <c r="G28" s="3">
        <f t="shared" si="5"/>
        <v>90</v>
      </c>
      <c r="H28" s="1" t="s">
        <v>191</v>
      </c>
      <c r="I28" s="1">
        <v>45.85</v>
      </c>
      <c r="J28" s="4">
        <f>D28-I28+25</f>
        <v>33.299999999999997</v>
      </c>
      <c r="K28" s="1" t="s">
        <v>141</v>
      </c>
      <c r="L28" s="1">
        <v>22.8</v>
      </c>
      <c r="M28" s="3">
        <f>G28-L28-10</f>
        <v>57.2</v>
      </c>
      <c r="N28" s="1" t="s">
        <v>61</v>
      </c>
      <c r="O28" s="1">
        <v>0</v>
      </c>
      <c r="P28" s="4">
        <f t="shared" si="8"/>
        <v>33.299999999999997</v>
      </c>
      <c r="Q28" s="1" t="s">
        <v>141</v>
      </c>
      <c r="R28" s="1">
        <v>22.8</v>
      </c>
      <c r="S28" s="3">
        <f t="shared" si="9"/>
        <v>34.400000000000006</v>
      </c>
      <c r="T28" s="5">
        <f t="shared" si="10"/>
        <v>11.264000000000088</v>
      </c>
      <c r="U28" s="1">
        <f t="shared" si="3"/>
        <v>-11.264000000000088</v>
      </c>
    </row>
    <row r="29" spans="1:21">
      <c r="A29" s="4" t="s">
        <v>102</v>
      </c>
      <c r="B29" s="1" t="s">
        <v>176</v>
      </c>
      <c r="C29" s="1">
        <v>152.4</v>
      </c>
      <c r="D29" s="4">
        <f t="shared" si="4"/>
        <v>-52.400000000000006</v>
      </c>
      <c r="G29" s="3">
        <f t="shared" si="5"/>
        <v>90</v>
      </c>
      <c r="J29" s="4">
        <f t="shared" si="6"/>
        <v>-52.400000000000006</v>
      </c>
      <c r="M29" s="3">
        <f t="shared" si="7"/>
        <v>90</v>
      </c>
      <c r="P29" s="4">
        <f t="shared" si="8"/>
        <v>0</v>
      </c>
      <c r="S29" s="3">
        <f t="shared" si="9"/>
        <v>90</v>
      </c>
      <c r="T29" s="5">
        <f t="shared" si="10"/>
        <v>921.6</v>
      </c>
      <c r="U29" s="1">
        <f t="shared" si="3"/>
        <v>-921.6</v>
      </c>
    </row>
    <row r="30" spans="1:21">
      <c r="A30" s="4" t="s">
        <v>103</v>
      </c>
      <c r="B30" s="1" t="s">
        <v>136</v>
      </c>
      <c r="D30" s="4">
        <f t="shared" si="4"/>
        <v>100</v>
      </c>
      <c r="E30" s="1" t="s">
        <v>78</v>
      </c>
      <c r="F30" s="1">
        <v>138.69999999999999</v>
      </c>
      <c r="G30" s="3">
        <f t="shared" si="5"/>
        <v>-48.699999999999989</v>
      </c>
      <c r="J30" s="4">
        <f t="shared" si="6"/>
        <v>100</v>
      </c>
      <c r="M30" s="3">
        <f t="shared" si="7"/>
        <v>-48.699999999999989</v>
      </c>
      <c r="P30" s="4">
        <f t="shared" si="8"/>
        <v>100</v>
      </c>
      <c r="S30" s="3">
        <f t="shared" si="9"/>
        <v>0</v>
      </c>
      <c r="T30" s="5">
        <f t="shared" si="10"/>
        <v>-1024</v>
      </c>
      <c r="U30" s="1">
        <f t="shared" si="3"/>
        <v>1024</v>
      </c>
    </row>
    <row r="31" spans="1:21">
      <c r="A31" s="4" t="s">
        <v>104</v>
      </c>
      <c r="B31" s="1" t="s">
        <v>127</v>
      </c>
      <c r="C31" s="1">
        <v>66.099999999999994</v>
      </c>
      <c r="D31" s="4">
        <f t="shared" si="4"/>
        <v>33.900000000000006</v>
      </c>
      <c r="E31" s="1" t="s">
        <v>76</v>
      </c>
      <c r="F31" s="1">
        <v>41.85</v>
      </c>
      <c r="G31" s="3">
        <f t="shared" si="5"/>
        <v>48.15</v>
      </c>
      <c r="H31" s="1" t="s">
        <v>127</v>
      </c>
      <c r="I31" s="1">
        <v>66.099999999999994</v>
      </c>
      <c r="J31" s="4">
        <f t="shared" si="6"/>
        <v>-32.199999999999989</v>
      </c>
      <c r="K31" s="1" t="s">
        <v>76</v>
      </c>
      <c r="L31" s="1">
        <v>41.85</v>
      </c>
      <c r="M31" s="3">
        <f>G31-L31-10</f>
        <v>-3.7000000000000028</v>
      </c>
      <c r="P31" s="4">
        <f t="shared" si="8"/>
        <v>0</v>
      </c>
      <c r="S31" s="3">
        <f t="shared" si="9"/>
        <v>0</v>
      </c>
      <c r="T31" s="5">
        <f t="shared" si="10"/>
        <v>0</v>
      </c>
      <c r="U31" s="1">
        <f t="shared" si="3"/>
        <v>0</v>
      </c>
    </row>
    <row r="32" spans="1:21">
      <c r="A32" s="4" t="s">
        <v>105</v>
      </c>
      <c r="B32" s="1" t="s">
        <v>136</v>
      </c>
      <c r="D32" s="4">
        <f t="shared" si="4"/>
        <v>100</v>
      </c>
      <c r="E32" s="1" t="s">
        <v>176</v>
      </c>
      <c r="F32" s="1">
        <v>105.2</v>
      </c>
      <c r="G32" s="3">
        <f t="shared" si="5"/>
        <v>-15.200000000000003</v>
      </c>
      <c r="J32" s="4">
        <f t="shared" si="6"/>
        <v>100</v>
      </c>
      <c r="M32" s="3">
        <f t="shared" si="7"/>
        <v>-15.200000000000003</v>
      </c>
      <c r="P32" s="4">
        <f t="shared" si="8"/>
        <v>100</v>
      </c>
      <c r="S32" s="3">
        <f t="shared" si="9"/>
        <v>0</v>
      </c>
      <c r="T32" s="5">
        <f t="shared" si="10"/>
        <v>-1024</v>
      </c>
      <c r="U32" s="1">
        <f t="shared" si="3"/>
        <v>1024</v>
      </c>
    </row>
    <row r="33" spans="1:21">
      <c r="A33" s="4" t="s">
        <v>106</v>
      </c>
      <c r="B33" s="1" t="s">
        <v>127</v>
      </c>
      <c r="C33" s="1">
        <v>17.2</v>
      </c>
      <c r="D33" s="4">
        <f t="shared" si="4"/>
        <v>82.8</v>
      </c>
      <c r="E33" s="1" t="s">
        <v>78</v>
      </c>
      <c r="F33" s="1">
        <v>92.4</v>
      </c>
      <c r="G33" s="3">
        <f t="shared" si="5"/>
        <v>-2.4000000000000057</v>
      </c>
      <c r="J33" s="4">
        <f t="shared" si="6"/>
        <v>82.8</v>
      </c>
      <c r="M33" s="3">
        <f t="shared" si="7"/>
        <v>-2.4000000000000057</v>
      </c>
      <c r="P33" s="4">
        <f t="shared" si="8"/>
        <v>82.8</v>
      </c>
      <c r="S33" s="3">
        <f t="shared" si="9"/>
        <v>0</v>
      </c>
      <c r="T33" s="5">
        <f t="shared" si="10"/>
        <v>-847.87199999999996</v>
      </c>
      <c r="U33" s="1">
        <f t="shared" si="3"/>
        <v>847.87199999999996</v>
      </c>
    </row>
    <row r="34" spans="1:21">
      <c r="A34" s="4" t="s">
        <v>107</v>
      </c>
      <c r="B34" s="1" t="s">
        <v>136</v>
      </c>
      <c r="D34" s="4">
        <f t="shared" si="4"/>
        <v>100</v>
      </c>
      <c r="E34" s="1" t="s">
        <v>111</v>
      </c>
      <c r="F34" s="1">
        <v>105.7</v>
      </c>
      <c r="G34" s="3">
        <f t="shared" si="5"/>
        <v>-15.700000000000003</v>
      </c>
      <c r="J34" s="4">
        <f t="shared" si="6"/>
        <v>100</v>
      </c>
      <c r="M34" s="3">
        <f t="shared" si="7"/>
        <v>-15.700000000000003</v>
      </c>
      <c r="P34" s="4">
        <f t="shared" si="8"/>
        <v>100</v>
      </c>
      <c r="S34" s="3">
        <f t="shared" si="9"/>
        <v>0</v>
      </c>
      <c r="T34" s="5">
        <f t="shared" si="10"/>
        <v>-1024</v>
      </c>
      <c r="U34" s="1">
        <f t="shared" si="3"/>
        <v>1024</v>
      </c>
    </row>
    <row r="35" spans="1:21">
      <c r="A35" s="4" t="s">
        <v>108</v>
      </c>
      <c r="B35" s="1" t="s">
        <v>127</v>
      </c>
      <c r="C35" s="1">
        <v>41.5</v>
      </c>
      <c r="D35" s="4">
        <f t="shared" si="4"/>
        <v>58.5</v>
      </c>
      <c r="E35" s="1" t="s">
        <v>124</v>
      </c>
      <c r="F35" s="1">
        <v>58.9</v>
      </c>
      <c r="G35" s="3">
        <f t="shared" si="5"/>
        <v>31.1</v>
      </c>
      <c r="H35" s="1" t="s">
        <v>127</v>
      </c>
      <c r="I35" s="1">
        <v>41.5</v>
      </c>
      <c r="J35" s="4">
        <f t="shared" si="6"/>
        <v>17</v>
      </c>
      <c r="K35" s="1" t="s">
        <v>124</v>
      </c>
      <c r="L35" s="1">
        <v>58.9</v>
      </c>
      <c r="M35" s="3">
        <f t="shared" si="7"/>
        <v>-27.799999999999997</v>
      </c>
      <c r="P35" s="4">
        <f t="shared" si="8"/>
        <v>17</v>
      </c>
      <c r="S35" s="3">
        <f t="shared" si="9"/>
        <v>0</v>
      </c>
      <c r="T35" s="5">
        <f t="shared" si="10"/>
        <v>-174.08</v>
      </c>
      <c r="U35" s="1">
        <f t="shared" si="3"/>
        <v>174.08</v>
      </c>
    </row>
    <row r="36" spans="1:21">
      <c r="A36" s="4" t="s">
        <v>109</v>
      </c>
      <c r="B36" s="1" t="s">
        <v>127</v>
      </c>
      <c r="C36" s="1">
        <v>58.95</v>
      </c>
      <c r="D36" s="4">
        <f t="shared" si="4"/>
        <v>41.05</v>
      </c>
      <c r="E36" s="1" t="s">
        <v>194</v>
      </c>
      <c r="F36" s="1">
        <v>46.75</v>
      </c>
      <c r="G36" s="3">
        <f t="shared" si="5"/>
        <v>43.25</v>
      </c>
      <c r="J36" s="4">
        <f t="shared" si="6"/>
        <v>41.05</v>
      </c>
      <c r="K36" s="1" t="s">
        <v>194</v>
      </c>
      <c r="L36" s="1">
        <v>46.75</v>
      </c>
      <c r="M36" s="3">
        <f t="shared" si="7"/>
        <v>-3.5</v>
      </c>
      <c r="P36" s="4">
        <f t="shared" si="8"/>
        <v>41.05</v>
      </c>
      <c r="S36" s="3">
        <f t="shared" si="9"/>
        <v>0</v>
      </c>
      <c r="T36" s="5">
        <f t="shared" si="10"/>
        <v>-420.35199999999998</v>
      </c>
      <c r="U36" s="1">
        <f t="shared" si="3"/>
        <v>420.35199999999998</v>
      </c>
    </row>
    <row r="37" spans="1:21">
      <c r="A37" s="4" t="s">
        <v>110</v>
      </c>
      <c r="B37" s="1" t="s">
        <v>191</v>
      </c>
      <c r="C37" s="1">
        <v>138.19999999999999</v>
      </c>
      <c r="D37" s="4">
        <v>1</v>
      </c>
      <c r="E37" s="1" t="s">
        <v>146</v>
      </c>
      <c r="F37" s="1">
        <v>64.400000000000006</v>
      </c>
      <c r="G37" s="3">
        <f t="shared" si="5"/>
        <v>25.599999999999994</v>
      </c>
      <c r="J37" s="4">
        <f t="shared" si="6"/>
        <v>1</v>
      </c>
      <c r="K37" s="1" t="s">
        <v>146</v>
      </c>
      <c r="L37" s="1">
        <v>64.400000000000006</v>
      </c>
      <c r="M37" s="3">
        <f t="shared" si="7"/>
        <v>-38.800000000000011</v>
      </c>
      <c r="P37" s="4">
        <f t="shared" si="8"/>
        <v>1</v>
      </c>
      <c r="S37" s="3">
        <f t="shared" si="9"/>
        <v>0</v>
      </c>
      <c r="T37" s="5">
        <f t="shared" si="10"/>
        <v>-10.24</v>
      </c>
      <c r="U37" s="1">
        <f t="shared" si="3"/>
        <v>10.24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CA9-8078-4968-B14A-40CB3DB5C0B4}">
  <dimension ref="A1:Z3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13" sqref="U13:V13"/>
    </sheetView>
  </sheetViews>
  <sheetFormatPr defaultRowHeight="18.75"/>
  <cols>
    <col min="1" max="1" width="13" style="1" customWidth="1"/>
    <col min="2" max="2" width="4.375" style="1" customWidth="1"/>
    <col min="3" max="16384" width="9" style="1"/>
  </cols>
  <sheetData>
    <row r="1" spans="1:26">
      <c r="A1" s="3" t="s">
        <v>84</v>
      </c>
      <c r="B1" s="3"/>
      <c r="C1" s="3" t="s">
        <v>188</v>
      </c>
      <c r="D1" s="3" t="s">
        <v>69</v>
      </c>
      <c r="E1" s="3" t="s">
        <v>152</v>
      </c>
      <c r="F1" s="3">
        <v>204</v>
      </c>
      <c r="G1" s="3">
        <v>108</v>
      </c>
      <c r="H1" s="3">
        <v>170</v>
      </c>
      <c r="I1" s="3">
        <v>128</v>
      </c>
      <c r="J1" s="3">
        <v>121</v>
      </c>
      <c r="K1" s="3">
        <v>81</v>
      </c>
      <c r="L1" s="3" t="s">
        <v>153</v>
      </c>
      <c r="M1" s="3" t="s">
        <v>190</v>
      </c>
      <c r="N1" s="3" t="s">
        <v>155</v>
      </c>
      <c r="O1" s="3" t="s">
        <v>129</v>
      </c>
      <c r="P1" s="3" t="s">
        <v>195</v>
      </c>
      <c r="Q1" s="3" t="s">
        <v>196</v>
      </c>
      <c r="R1" s="3" t="s">
        <v>197</v>
      </c>
      <c r="S1" s="3" t="s">
        <v>65</v>
      </c>
      <c r="T1" s="3">
        <v>90</v>
      </c>
      <c r="U1" s="3" t="s">
        <v>131</v>
      </c>
      <c r="V1" s="3" t="s">
        <v>174</v>
      </c>
      <c r="W1" s="3" t="s">
        <v>198</v>
      </c>
      <c r="X1" s="3" t="s">
        <v>53</v>
      </c>
      <c r="Y1" s="3" t="s">
        <v>188</v>
      </c>
      <c r="Z1" s="8" t="s">
        <v>199</v>
      </c>
    </row>
    <row r="2" spans="1:26">
      <c r="C2" s="1" t="s">
        <v>54</v>
      </c>
      <c r="I2" s="1" t="s">
        <v>55</v>
      </c>
      <c r="O2" s="1" t="s">
        <v>56</v>
      </c>
    </row>
    <row r="3" spans="1:26">
      <c r="A3" s="4" t="s">
        <v>128</v>
      </c>
      <c r="B3" t="s">
        <v>201</v>
      </c>
      <c r="C3" s="1" t="s">
        <v>35</v>
      </c>
      <c r="D3" s="1" t="s">
        <v>36</v>
      </c>
      <c r="E3" s="4" t="s">
        <v>42</v>
      </c>
      <c r="F3" s="1" t="s">
        <v>37</v>
      </c>
      <c r="G3" s="1" t="s">
        <v>38</v>
      </c>
      <c r="H3" s="3" t="s">
        <v>41</v>
      </c>
      <c r="I3" s="1" t="s">
        <v>35</v>
      </c>
      <c r="J3" s="1" t="s">
        <v>36</v>
      </c>
      <c r="K3" s="4" t="s">
        <v>42</v>
      </c>
      <c r="L3" s="1" t="s">
        <v>37</v>
      </c>
      <c r="M3" s="1" t="s">
        <v>38</v>
      </c>
      <c r="N3" s="3" t="s">
        <v>41</v>
      </c>
      <c r="O3" s="1" t="s">
        <v>35</v>
      </c>
      <c r="P3" s="1" t="s">
        <v>36</v>
      </c>
      <c r="Q3" s="4" t="s">
        <v>42</v>
      </c>
      <c r="R3" s="1" t="s">
        <v>37</v>
      </c>
      <c r="S3" s="1" t="s">
        <v>38</v>
      </c>
      <c r="T3" s="3" t="s">
        <v>41</v>
      </c>
      <c r="U3" s="5" t="s">
        <v>45</v>
      </c>
      <c r="V3" s="1" t="s">
        <v>114</v>
      </c>
    </row>
    <row r="4" spans="1:26">
      <c r="A4" s="4" t="s">
        <v>80</v>
      </c>
      <c r="B4">
        <v>155</v>
      </c>
    </row>
    <row r="5" spans="1:26">
      <c r="A5" s="4" t="s">
        <v>79</v>
      </c>
      <c r="B5">
        <v>165</v>
      </c>
    </row>
    <row r="6" spans="1:26">
      <c r="A6" s="4" t="s">
        <v>2</v>
      </c>
      <c r="B6">
        <v>165</v>
      </c>
    </row>
    <row r="7" spans="1:26">
      <c r="A7" s="4" t="s">
        <v>81</v>
      </c>
      <c r="B7">
        <v>177</v>
      </c>
    </row>
    <row r="8" spans="1:26">
      <c r="A8" s="4" t="s">
        <v>82</v>
      </c>
      <c r="B8">
        <v>131</v>
      </c>
    </row>
    <row r="9" spans="1:26">
      <c r="A9" s="4" t="s">
        <v>83</v>
      </c>
      <c r="B9">
        <v>165</v>
      </c>
    </row>
    <row r="10" spans="1:26">
      <c r="A10" s="4" t="s">
        <v>6</v>
      </c>
      <c r="B10">
        <v>173</v>
      </c>
    </row>
    <row r="11" spans="1:26">
      <c r="A11" s="4" t="s">
        <v>84</v>
      </c>
      <c r="B11">
        <v>204</v>
      </c>
    </row>
    <row r="12" spans="1:26">
      <c r="A12" s="4" t="s">
        <v>85</v>
      </c>
      <c r="B12">
        <v>192</v>
      </c>
      <c r="C12" s="1" t="s">
        <v>130</v>
      </c>
      <c r="D12" s="1">
        <v>12.5</v>
      </c>
      <c r="E12" s="4">
        <f>100-D12</f>
        <v>87.5</v>
      </c>
      <c r="F12" s="1" t="s">
        <v>161</v>
      </c>
      <c r="G12" s="1">
        <v>50.45</v>
      </c>
      <c r="H12" s="3">
        <f>IF(100-G12+6.25&gt;100, 100, 100-G12+6.25)+192/8</f>
        <v>79.8</v>
      </c>
      <c r="I12" s="1" t="s">
        <v>131</v>
      </c>
      <c r="J12" s="1">
        <v>12.5</v>
      </c>
      <c r="K12" s="4">
        <f>E12-J12</f>
        <v>75</v>
      </c>
      <c r="L12" s="1" t="s">
        <v>161</v>
      </c>
      <c r="M12" s="1">
        <v>0</v>
      </c>
      <c r="N12" s="3">
        <f>IF(H12-M12+6.25+192/8&gt;100, 100, H12-M12+6.25)</f>
        <v>100</v>
      </c>
      <c r="O12" s="1" t="s">
        <v>53</v>
      </c>
      <c r="P12" s="1">
        <f>29.9+12.5</f>
        <v>42.4</v>
      </c>
      <c r="Q12" s="4">
        <f>IF(K12-P12&lt;=0, 0, K12-P12)+50</f>
        <v>82.6</v>
      </c>
      <c r="R12" s="1" t="s">
        <v>177</v>
      </c>
      <c r="S12" s="1">
        <v>0</v>
      </c>
      <c r="T12" s="3">
        <f>IF(N12-S12&lt;=0, 0, IF(N12-S12+6.25&gt;100, 100, N12-S12+6.25))</f>
        <v>100</v>
      </c>
      <c r="U12" s="5">
        <f t="shared" ref="U12" si="0">(T12-Q12)/100*1024</f>
        <v>178.17600000000004</v>
      </c>
      <c r="V12" s="1">
        <f t="shared" ref="V12:V37" si="1">-1*U12</f>
        <v>-178.17600000000004</v>
      </c>
    </row>
    <row r="13" spans="1:26">
      <c r="A13" s="4" t="s">
        <v>86</v>
      </c>
      <c r="B13">
        <v>175</v>
      </c>
      <c r="C13" s="1" t="s">
        <v>53</v>
      </c>
      <c r="D13" s="1">
        <v>46.5</v>
      </c>
      <c r="E13" s="4">
        <f>100-D13+6.25</f>
        <v>59.75</v>
      </c>
      <c r="F13" s="1" t="s">
        <v>192</v>
      </c>
      <c r="G13" s="1">
        <v>33.75</v>
      </c>
      <c r="H13" s="3">
        <f>100-G13</f>
        <v>66.25</v>
      </c>
      <c r="I13" s="1" t="s">
        <v>53</v>
      </c>
      <c r="J13" s="1">
        <v>46.5</v>
      </c>
      <c r="K13" s="4">
        <f t="shared" ref="K13:K37" si="2">E13-J13</f>
        <v>13.25</v>
      </c>
      <c r="L13" s="1" t="s">
        <v>192</v>
      </c>
      <c r="M13" s="1">
        <v>22.5</v>
      </c>
      <c r="N13" s="3">
        <f>H13-M13</f>
        <v>43.75</v>
      </c>
      <c r="O13" s="1" t="s">
        <v>53</v>
      </c>
      <c r="P13" s="1">
        <v>46.5</v>
      </c>
      <c r="Q13" s="4">
        <f t="shared" ref="Q13:Q37" si="3">IF(K13-P13&lt;=0, 0, K13-P13)</f>
        <v>0</v>
      </c>
      <c r="R13" s="1" t="s">
        <v>192</v>
      </c>
      <c r="S13" s="1">
        <v>22.5</v>
      </c>
      <c r="T13" s="3">
        <f>IF(N13-S13&lt;=0, 0, IF(N13-S13&gt;100, 100, N13-S13))</f>
        <v>21.25</v>
      </c>
      <c r="U13" s="5">
        <f t="shared" ref="U13:U37" si="4">(T13-Q13)/100*1024</f>
        <v>217.6</v>
      </c>
      <c r="V13" s="1">
        <f t="shared" si="1"/>
        <v>-217.6</v>
      </c>
    </row>
    <row r="14" spans="1:26">
      <c r="A14" s="4" t="s">
        <v>87</v>
      </c>
      <c r="B14">
        <v>185</v>
      </c>
      <c r="C14" s="1" t="s">
        <v>53</v>
      </c>
      <c r="D14" s="1">
        <v>133.6</v>
      </c>
      <c r="E14" s="4">
        <f t="shared" ref="E14:E37" si="5">100-D14</f>
        <v>-33.599999999999994</v>
      </c>
      <c r="F14" s="1" t="s">
        <v>132</v>
      </c>
      <c r="G14" s="1">
        <v>80.099999999999994</v>
      </c>
      <c r="H14" s="3">
        <f t="shared" ref="H14:H29" si="6">IF(100-G14+6.25&gt;100, 100, 100-G14+6.25)</f>
        <v>26.150000000000006</v>
      </c>
      <c r="K14" s="4">
        <f t="shared" si="2"/>
        <v>-33.599999999999994</v>
      </c>
      <c r="N14" s="3">
        <f t="shared" ref="N14:N29" si="7">IF(H14-M14+6.25&gt;100, 100, H14-M14+6.25)</f>
        <v>32.400000000000006</v>
      </c>
      <c r="Q14" s="4">
        <f t="shared" si="3"/>
        <v>0</v>
      </c>
      <c r="T14" s="3">
        <f t="shared" ref="T14:T30" si="8">IF(N14-S14&lt;=0, 0, IF(N14-S14+6.25&gt;100, 100, N14-S14+6.25))</f>
        <v>38.650000000000006</v>
      </c>
      <c r="U14" s="5">
        <f t="shared" si="4"/>
        <v>395.77600000000007</v>
      </c>
      <c r="V14" s="1">
        <f t="shared" si="1"/>
        <v>-395.77600000000007</v>
      </c>
    </row>
    <row r="15" spans="1:26">
      <c r="A15" s="4" t="s">
        <v>88</v>
      </c>
      <c r="B15">
        <v>215</v>
      </c>
      <c r="C15" s="1" t="s">
        <v>130</v>
      </c>
      <c r="D15" s="1">
        <v>12.5</v>
      </c>
      <c r="E15" s="4">
        <f t="shared" si="5"/>
        <v>87.5</v>
      </c>
      <c r="F15" s="1" t="s">
        <v>60</v>
      </c>
      <c r="G15" s="1">
        <v>0</v>
      </c>
      <c r="H15" s="3">
        <f t="shared" ref="H15:H23" si="9">IF(100-G15+6.25+B15/8&gt;100, 100, 100-G15+6.25+B15/8)</f>
        <v>100</v>
      </c>
      <c r="I15" s="1" t="s">
        <v>200</v>
      </c>
      <c r="J15" s="1">
        <f>(21.8+26)/2+12.5</f>
        <v>36.4</v>
      </c>
      <c r="K15" s="4">
        <f t="shared" si="2"/>
        <v>51.1</v>
      </c>
      <c r="L15" s="1" t="s">
        <v>133</v>
      </c>
      <c r="M15" s="1">
        <v>0</v>
      </c>
      <c r="N15" s="3">
        <f>IF(H15-M15+6.25+B15/8&gt;100, 100, H15-M15+6.25+B15/8)</f>
        <v>100</v>
      </c>
      <c r="O15" s="1" t="s">
        <v>61</v>
      </c>
      <c r="P15" s="1">
        <v>12.5</v>
      </c>
      <c r="Q15" s="4">
        <f t="shared" si="3"/>
        <v>38.6</v>
      </c>
      <c r="R15" s="1" t="s">
        <v>134</v>
      </c>
      <c r="S15" s="1">
        <v>12.5</v>
      </c>
      <c r="T15" s="3">
        <f t="shared" si="8"/>
        <v>93.75</v>
      </c>
      <c r="U15" s="5">
        <f t="shared" si="4"/>
        <v>564.73599999999999</v>
      </c>
      <c r="V15" s="1">
        <f t="shared" si="1"/>
        <v>-564.73599999999999</v>
      </c>
    </row>
    <row r="16" spans="1:26">
      <c r="A16" s="4" t="s">
        <v>89</v>
      </c>
      <c r="B16">
        <v>163</v>
      </c>
      <c r="C16" s="1" t="s">
        <v>130</v>
      </c>
      <c r="D16" s="1">
        <v>12.5</v>
      </c>
      <c r="E16" s="4">
        <f>100-D16-10</f>
        <v>77.5</v>
      </c>
      <c r="F16" s="1" t="s">
        <v>51</v>
      </c>
      <c r="G16" s="1">
        <f>(33.3+40.1)/2</f>
        <v>36.700000000000003</v>
      </c>
      <c r="H16" s="3">
        <f t="shared" si="9"/>
        <v>89.924999999999997</v>
      </c>
      <c r="I16" s="1" t="s">
        <v>131</v>
      </c>
      <c r="J16" s="1">
        <v>25</v>
      </c>
      <c r="K16" s="4">
        <f t="shared" si="2"/>
        <v>52.5</v>
      </c>
      <c r="L16" s="1" t="s">
        <v>51</v>
      </c>
      <c r="M16" s="1">
        <v>0</v>
      </c>
      <c r="N16" s="3">
        <f t="shared" ref="N16:N28" si="10">IF(H16-M16+6.25+B16/8&gt;100, 100, H16-M16+6.25+B16/8)</f>
        <v>100</v>
      </c>
      <c r="O16" s="1" t="s">
        <v>131</v>
      </c>
      <c r="P16" s="1">
        <v>25</v>
      </c>
      <c r="Q16" s="4">
        <f t="shared" si="3"/>
        <v>27.5</v>
      </c>
      <c r="R16" s="1" t="s">
        <v>51</v>
      </c>
      <c r="S16" s="1">
        <v>0</v>
      </c>
      <c r="T16" s="3">
        <f>IF(N16-S16&lt;=0, 0, IF(N16-S16+6.25+B16&gt;100, 100, N16-S16+6.25+B16))</f>
        <v>100</v>
      </c>
      <c r="U16" s="5">
        <f t="shared" si="4"/>
        <v>742.4</v>
      </c>
      <c r="V16" s="1">
        <f t="shared" si="1"/>
        <v>-742.4</v>
      </c>
    </row>
    <row r="17" spans="1:22">
      <c r="A17" s="4" t="s">
        <v>90</v>
      </c>
      <c r="B17">
        <v>163</v>
      </c>
      <c r="C17" s="1" t="s">
        <v>130</v>
      </c>
      <c r="D17" s="1">
        <v>12.5</v>
      </c>
      <c r="E17" s="4">
        <f>100-D17-10</f>
        <v>77.5</v>
      </c>
      <c r="F17" s="1" t="s">
        <v>176</v>
      </c>
      <c r="G17" s="1">
        <f>(66.1+78.9)/2</f>
        <v>72.5</v>
      </c>
      <c r="H17" s="3">
        <f t="shared" si="9"/>
        <v>54.125</v>
      </c>
      <c r="I17" s="1" t="s">
        <v>131</v>
      </c>
      <c r="J17" s="1">
        <v>12.5</v>
      </c>
      <c r="K17" s="4">
        <f t="shared" si="2"/>
        <v>65</v>
      </c>
      <c r="L17" s="1" t="s">
        <v>176</v>
      </c>
      <c r="M17" s="1">
        <v>0</v>
      </c>
      <c r="N17" s="3">
        <f t="shared" si="10"/>
        <v>80.75</v>
      </c>
      <c r="O17" s="1" t="s">
        <v>53</v>
      </c>
      <c r="P17" s="1">
        <f>(53.3+63.1)/2+12.5</f>
        <v>70.7</v>
      </c>
      <c r="Q17" s="4">
        <f t="shared" si="3"/>
        <v>0</v>
      </c>
      <c r="R17" s="1" t="s">
        <v>176</v>
      </c>
      <c r="S17" s="1">
        <f>(66.1+78.9)/2</f>
        <v>72.5</v>
      </c>
      <c r="T17" s="3">
        <f>IF(N17-S17&lt;=0, 0, IF(N17-S17+6.25&gt;100, 100, N17-S17+6.25))+K17-(53.3+63.1)/2</f>
        <v>21.299999999999997</v>
      </c>
      <c r="U17" s="5">
        <f t="shared" si="4"/>
        <v>218.11199999999997</v>
      </c>
      <c r="V17" s="1">
        <f t="shared" si="1"/>
        <v>-218.11199999999997</v>
      </c>
    </row>
    <row r="18" spans="1:22">
      <c r="A18" s="4" t="s">
        <v>91</v>
      </c>
      <c r="B18">
        <v>149</v>
      </c>
      <c r="C18" s="1" t="s">
        <v>130</v>
      </c>
      <c r="D18" s="1">
        <v>12.5</v>
      </c>
      <c r="E18" s="4">
        <f>100-D18-10</f>
        <v>77.5</v>
      </c>
      <c r="F18" s="1" t="s">
        <v>176</v>
      </c>
      <c r="G18" s="1">
        <f>(78.9+93.1)/2</f>
        <v>86</v>
      </c>
      <c r="H18" s="3">
        <f t="shared" si="9"/>
        <v>38.875</v>
      </c>
      <c r="I18" s="1" t="s">
        <v>131</v>
      </c>
      <c r="J18" s="1">
        <v>12.5</v>
      </c>
      <c r="K18" s="4">
        <f t="shared" si="2"/>
        <v>65</v>
      </c>
      <c r="L18" s="1" t="s">
        <v>176</v>
      </c>
      <c r="M18" s="1">
        <v>0</v>
      </c>
      <c r="N18" s="3">
        <f t="shared" si="10"/>
        <v>63.75</v>
      </c>
      <c r="Q18" s="4">
        <f t="shared" si="3"/>
        <v>65</v>
      </c>
      <c r="R18" s="1" t="s">
        <v>176</v>
      </c>
      <c r="S18" s="1">
        <f>(78.9+93.1)/2</f>
        <v>86</v>
      </c>
      <c r="T18" s="3">
        <f t="shared" si="8"/>
        <v>0</v>
      </c>
      <c r="U18" s="5">
        <f t="shared" si="4"/>
        <v>-665.6</v>
      </c>
      <c r="V18" s="1">
        <f t="shared" si="1"/>
        <v>665.6</v>
      </c>
    </row>
    <row r="19" spans="1:22">
      <c r="A19" s="4" t="s">
        <v>92</v>
      </c>
      <c r="B19">
        <v>147</v>
      </c>
      <c r="C19" s="1" t="s">
        <v>130</v>
      </c>
      <c r="D19" s="1">
        <v>12.5</v>
      </c>
      <c r="E19" s="4">
        <f t="shared" si="5"/>
        <v>87.5</v>
      </c>
      <c r="F19" s="1" t="s">
        <v>112</v>
      </c>
      <c r="G19" s="1">
        <f>(41.1+48.5)/2</f>
        <v>44.8</v>
      </c>
      <c r="H19" s="3">
        <f t="shared" si="9"/>
        <v>79.825000000000003</v>
      </c>
      <c r="I19" s="1" t="s">
        <v>131</v>
      </c>
      <c r="J19" s="1">
        <v>12.5</v>
      </c>
      <c r="K19" s="4">
        <f t="shared" si="2"/>
        <v>75</v>
      </c>
      <c r="L19" s="1" t="s">
        <v>112</v>
      </c>
      <c r="M19" s="1">
        <v>0</v>
      </c>
      <c r="N19" s="3">
        <f t="shared" si="10"/>
        <v>100</v>
      </c>
      <c r="O19" s="1" t="s">
        <v>53</v>
      </c>
      <c r="P19" s="1">
        <f>(98.6+117.1)/2</f>
        <v>107.85</v>
      </c>
      <c r="Q19" s="4">
        <f>IF(K19-P19&lt;=0, 0, K19-P19)</f>
        <v>0</v>
      </c>
      <c r="R19" s="1" t="s">
        <v>112</v>
      </c>
      <c r="S19" s="1">
        <f>(41.1+48.5)/2</f>
        <v>44.8</v>
      </c>
      <c r="T19" s="3">
        <f>IF(N19-S19&lt;=0, 0, IF(N19-S19+6.25&gt;100, 100, N19-S19+6.25))+1</f>
        <v>62.45</v>
      </c>
      <c r="U19" s="5">
        <f t="shared" si="4"/>
        <v>639.48800000000006</v>
      </c>
      <c r="V19" s="1">
        <f t="shared" si="1"/>
        <v>-639.48800000000006</v>
      </c>
    </row>
    <row r="20" spans="1:22">
      <c r="A20" s="4" t="s">
        <v>93</v>
      </c>
      <c r="B20">
        <v>165</v>
      </c>
      <c r="C20" s="1" t="s">
        <v>130</v>
      </c>
      <c r="D20" s="1">
        <v>12.5</v>
      </c>
      <c r="E20" s="4">
        <f t="shared" si="5"/>
        <v>87.5</v>
      </c>
      <c r="F20" s="1" t="s">
        <v>166</v>
      </c>
      <c r="G20" s="1">
        <v>0</v>
      </c>
      <c r="H20" s="3">
        <f t="shared" si="9"/>
        <v>100</v>
      </c>
      <c r="I20" s="1" t="s">
        <v>53</v>
      </c>
      <c r="J20" s="1">
        <f>(45.4+53.3)/2+12.5</f>
        <v>61.849999999999994</v>
      </c>
      <c r="K20" s="4">
        <f t="shared" si="2"/>
        <v>25.650000000000006</v>
      </c>
      <c r="L20" s="1" t="s">
        <v>137</v>
      </c>
      <c r="M20" s="1">
        <f>(69.1+81.3)/2</f>
        <v>75.199999999999989</v>
      </c>
      <c r="N20" s="3">
        <f t="shared" si="10"/>
        <v>51.675000000000011</v>
      </c>
      <c r="O20" s="1" t="s">
        <v>131</v>
      </c>
      <c r="P20" s="1">
        <v>12.5</v>
      </c>
      <c r="Q20" s="4">
        <f t="shared" si="3"/>
        <v>13.150000000000006</v>
      </c>
      <c r="R20" s="1" t="s">
        <v>137</v>
      </c>
      <c r="S20" s="1">
        <v>0</v>
      </c>
      <c r="T20" s="3">
        <f t="shared" si="8"/>
        <v>57.925000000000011</v>
      </c>
      <c r="U20" s="5">
        <f t="shared" si="4"/>
        <v>458.49600000000004</v>
      </c>
      <c r="V20" s="1">
        <f t="shared" si="1"/>
        <v>-458.49600000000004</v>
      </c>
    </row>
    <row r="21" spans="1:22">
      <c r="A21" s="4" t="s">
        <v>94</v>
      </c>
      <c r="B21">
        <v>155</v>
      </c>
      <c r="C21" s="1" t="s">
        <v>130</v>
      </c>
      <c r="D21" s="1">
        <v>12.5</v>
      </c>
      <c r="E21" s="4">
        <f t="shared" si="5"/>
        <v>87.5</v>
      </c>
      <c r="F21" s="1" t="s">
        <v>71</v>
      </c>
      <c r="G21" s="1">
        <f>(91.1+108.8)/2</f>
        <v>99.949999999999989</v>
      </c>
      <c r="H21" s="3">
        <f t="shared" si="9"/>
        <v>25.675000000000011</v>
      </c>
      <c r="I21" s="1" t="s">
        <v>131</v>
      </c>
      <c r="J21" s="1">
        <v>12.5</v>
      </c>
      <c r="K21" s="4">
        <f t="shared" si="2"/>
        <v>75</v>
      </c>
      <c r="L21" s="1" t="s">
        <v>71</v>
      </c>
      <c r="M21" s="1">
        <v>0</v>
      </c>
      <c r="N21" s="3">
        <f t="shared" si="10"/>
        <v>51.300000000000011</v>
      </c>
      <c r="Q21" s="4">
        <f t="shared" si="3"/>
        <v>75</v>
      </c>
      <c r="R21" s="1" t="s">
        <v>71</v>
      </c>
      <c r="S21" s="1">
        <f>(91.1+108.8)/2</f>
        <v>99.949999999999989</v>
      </c>
      <c r="T21" s="3">
        <f t="shared" si="8"/>
        <v>0</v>
      </c>
      <c r="U21" s="5">
        <f t="shared" si="4"/>
        <v>-768</v>
      </c>
      <c r="V21" s="1">
        <f t="shared" si="1"/>
        <v>768</v>
      </c>
    </row>
    <row r="22" spans="1:22">
      <c r="A22" s="4" t="s">
        <v>95</v>
      </c>
      <c r="B22">
        <v>187</v>
      </c>
      <c r="C22" s="1" t="s">
        <v>130</v>
      </c>
      <c r="D22" s="1">
        <v>12.5</v>
      </c>
      <c r="E22" s="4">
        <f t="shared" si="5"/>
        <v>87.5</v>
      </c>
      <c r="F22" s="1" t="s">
        <v>139</v>
      </c>
      <c r="G22" s="1">
        <f>(20+16.6)/2</f>
        <v>18.3</v>
      </c>
      <c r="H22" s="3">
        <f t="shared" si="9"/>
        <v>100</v>
      </c>
      <c r="I22" s="1" t="s">
        <v>131</v>
      </c>
      <c r="J22" s="1">
        <v>12.5</v>
      </c>
      <c r="K22" s="4">
        <f t="shared" si="2"/>
        <v>75</v>
      </c>
      <c r="L22" s="1" t="s">
        <v>139</v>
      </c>
      <c r="M22" s="1">
        <v>0</v>
      </c>
      <c r="N22" s="3">
        <f t="shared" si="10"/>
        <v>100</v>
      </c>
      <c r="O22" s="1" t="s">
        <v>200</v>
      </c>
      <c r="P22" s="1">
        <f>(42.7+51.3)/2+12.5</f>
        <v>59.5</v>
      </c>
      <c r="Q22" s="4">
        <f t="shared" si="3"/>
        <v>15.5</v>
      </c>
      <c r="R22" s="1" t="s">
        <v>139</v>
      </c>
      <c r="S22" s="1">
        <f>(20+16.6)/2</f>
        <v>18.3</v>
      </c>
      <c r="T22" s="3">
        <f>IF(N22-S22&lt;=0, 0, IF(N22-S22+6.25+B22/8&gt;100, 100, N22-S22+6.25+B22/8))</f>
        <v>100</v>
      </c>
      <c r="U22" s="5">
        <f t="shared" si="4"/>
        <v>865.28</v>
      </c>
      <c r="V22" s="1">
        <f t="shared" si="1"/>
        <v>-865.28</v>
      </c>
    </row>
    <row r="23" spans="1:22">
      <c r="A23" s="4" t="s">
        <v>96</v>
      </c>
      <c r="B23">
        <v>227</v>
      </c>
      <c r="C23" s="1" t="s">
        <v>130</v>
      </c>
      <c r="D23" s="1">
        <v>12.5</v>
      </c>
      <c r="E23" s="4">
        <f t="shared" si="5"/>
        <v>87.5</v>
      </c>
      <c r="F23" s="1" t="s">
        <v>73</v>
      </c>
      <c r="G23" s="1">
        <v>0</v>
      </c>
      <c r="H23" s="3">
        <f t="shared" si="9"/>
        <v>100</v>
      </c>
      <c r="I23" s="1" t="s">
        <v>53</v>
      </c>
      <c r="J23" s="1">
        <f>(18.9+22.9)/2+12.5</f>
        <v>33.4</v>
      </c>
      <c r="K23" s="4">
        <f t="shared" si="2"/>
        <v>54.1</v>
      </c>
      <c r="L23" s="1" t="s">
        <v>73</v>
      </c>
      <c r="M23" s="1">
        <v>0</v>
      </c>
      <c r="N23" s="3">
        <f t="shared" si="10"/>
        <v>100</v>
      </c>
      <c r="O23" s="1" t="s">
        <v>53</v>
      </c>
      <c r="P23" s="1">
        <f>(13.2+15.8)/2+12.5</f>
        <v>27</v>
      </c>
      <c r="Q23" s="4">
        <f t="shared" si="3"/>
        <v>27.1</v>
      </c>
      <c r="R23" s="1" t="s">
        <v>74</v>
      </c>
      <c r="S23" s="1">
        <f>(26.4+31.3)/2</f>
        <v>28.85</v>
      </c>
      <c r="T23" s="3">
        <f>IF(N23-S23&lt;=0, 0, IF(N23-S23+6.25+B23/8&gt;100, 100, N23-S23+6.25+B23/8))</f>
        <v>100</v>
      </c>
      <c r="U23" s="5">
        <f t="shared" si="4"/>
        <v>746.49600000000009</v>
      </c>
      <c r="V23" s="1">
        <f t="shared" si="1"/>
        <v>-746.49600000000009</v>
      </c>
    </row>
    <row r="24" spans="1:22">
      <c r="A24" s="4" t="s">
        <v>97</v>
      </c>
      <c r="B24">
        <v>198</v>
      </c>
      <c r="C24" s="1" t="s">
        <v>130</v>
      </c>
      <c r="D24" s="1">
        <v>12.5</v>
      </c>
      <c r="E24" s="4">
        <f t="shared" si="5"/>
        <v>87.5</v>
      </c>
      <c r="F24" s="1" t="s">
        <v>187</v>
      </c>
      <c r="G24" s="1">
        <f>(91.1+108.8)/2</f>
        <v>99.949999999999989</v>
      </c>
      <c r="H24" s="3">
        <f>IF(100-G24+6.25+B24/8&gt;100, 100, 100-G24+6.25+B24/8)-12.5</f>
        <v>18.550000000000011</v>
      </c>
      <c r="I24" s="1" t="s">
        <v>131</v>
      </c>
      <c r="J24" s="1">
        <v>12.5</v>
      </c>
      <c r="K24" s="4">
        <f t="shared" si="2"/>
        <v>75</v>
      </c>
      <c r="L24" s="1" t="s">
        <v>187</v>
      </c>
      <c r="M24" s="1">
        <v>0</v>
      </c>
      <c r="N24" s="3">
        <f>IF(H24-M24+6.25+B24/8&gt;100, 100, H24-M24+6.25+B24/8)-12.5</f>
        <v>37.050000000000011</v>
      </c>
      <c r="Q24" s="4">
        <f t="shared" si="3"/>
        <v>75</v>
      </c>
      <c r="R24" s="1" t="s">
        <v>187</v>
      </c>
      <c r="S24" s="1">
        <f>(91.1+108.8)/2</f>
        <v>99.949999999999989</v>
      </c>
      <c r="T24" s="3">
        <f t="shared" si="8"/>
        <v>0</v>
      </c>
      <c r="U24" s="5">
        <f t="shared" si="4"/>
        <v>-768</v>
      </c>
      <c r="V24" s="1">
        <f t="shared" si="1"/>
        <v>768</v>
      </c>
    </row>
    <row r="25" spans="1:22">
      <c r="A25" s="4" t="s">
        <v>98</v>
      </c>
      <c r="B25">
        <v>167</v>
      </c>
      <c r="C25" s="1" t="s">
        <v>130</v>
      </c>
      <c r="D25" s="1">
        <v>12.5</v>
      </c>
      <c r="E25" s="4">
        <f t="shared" si="5"/>
        <v>87.5</v>
      </c>
      <c r="F25" s="1" t="s">
        <v>193</v>
      </c>
      <c r="G25" s="1">
        <f>(31.3+37.2)/2</f>
        <v>34.25</v>
      </c>
      <c r="H25" s="3">
        <f>IF(100-G25+6.25+B25/8&gt;100, 100, 100-G25+6.25+B25/8)</f>
        <v>92.875</v>
      </c>
      <c r="I25" s="1" t="s">
        <v>131</v>
      </c>
      <c r="J25" s="1">
        <v>12.5</v>
      </c>
      <c r="K25" s="4">
        <f t="shared" si="2"/>
        <v>75</v>
      </c>
      <c r="L25" s="1" t="s">
        <v>75</v>
      </c>
      <c r="M25" s="1">
        <v>0</v>
      </c>
      <c r="N25" s="3">
        <f t="shared" si="10"/>
        <v>100</v>
      </c>
      <c r="O25" s="1" t="s">
        <v>53</v>
      </c>
      <c r="P25" s="1">
        <f>(17.9+21.5)/2+12.5</f>
        <v>32.200000000000003</v>
      </c>
      <c r="Q25" s="4">
        <f t="shared" si="3"/>
        <v>42.8</v>
      </c>
      <c r="R25" s="1" t="s">
        <v>193</v>
      </c>
      <c r="S25" s="1">
        <f>(46+54.9)/2</f>
        <v>50.45</v>
      </c>
      <c r="T25" s="3">
        <f>IF(N25-S25&lt;=0, 0, IF(N25-S25+6.25+B25/8&gt;100, 100, N25-S25+6.25+B25/8))</f>
        <v>76.674999999999997</v>
      </c>
      <c r="U25" s="5">
        <f t="shared" si="4"/>
        <v>346.88</v>
      </c>
      <c r="V25" s="1">
        <f t="shared" si="1"/>
        <v>-346.88</v>
      </c>
    </row>
    <row r="26" spans="1:22">
      <c r="A26" s="4" t="s">
        <v>99</v>
      </c>
      <c r="B26">
        <v>175</v>
      </c>
      <c r="C26" s="1" t="s">
        <v>130</v>
      </c>
      <c r="D26" s="1">
        <v>12.5</v>
      </c>
      <c r="E26" s="4">
        <f t="shared" si="5"/>
        <v>87.5</v>
      </c>
      <c r="F26" s="1" t="s">
        <v>113</v>
      </c>
      <c r="G26" s="1">
        <f>(35.2+41.1)/2</f>
        <v>38.150000000000006</v>
      </c>
      <c r="H26" s="3">
        <f>IF(100-G26+6.25+B26/8&gt;100, 100, 100-G26+6.25+B26/8)</f>
        <v>89.974999999999994</v>
      </c>
      <c r="I26" s="1" t="s">
        <v>53</v>
      </c>
      <c r="J26" s="1">
        <f>(18.8+22.8)/2+12.5</f>
        <v>33.299999999999997</v>
      </c>
      <c r="K26" s="4">
        <f t="shared" si="2"/>
        <v>54.2</v>
      </c>
      <c r="L26" s="1" t="s">
        <v>113</v>
      </c>
      <c r="M26" s="1">
        <f>(35.2+41.1)/2</f>
        <v>38.150000000000006</v>
      </c>
      <c r="N26" s="3">
        <f t="shared" si="10"/>
        <v>79.949999999999989</v>
      </c>
      <c r="O26" s="1" t="s">
        <v>53</v>
      </c>
      <c r="P26" s="1">
        <f>(18.8+22.8)/2+12.5</f>
        <v>33.299999999999997</v>
      </c>
      <c r="Q26" s="4">
        <f t="shared" si="3"/>
        <v>20.900000000000006</v>
      </c>
      <c r="R26" s="1" t="s">
        <v>113</v>
      </c>
      <c r="S26" s="1">
        <f>(35.2+41.1)/2</f>
        <v>38.150000000000006</v>
      </c>
      <c r="T26" s="3">
        <f>IF(N26-S26&lt;=0, 0, IF(N26-S26+6.25+B26/8&gt;100, 100, N26-S26+6.25+B26/8))</f>
        <v>69.924999999999983</v>
      </c>
      <c r="U26" s="5">
        <f t="shared" si="4"/>
        <v>502.01599999999979</v>
      </c>
      <c r="V26" s="1">
        <f t="shared" si="1"/>
        <v>-502.01599999999979</v>
      </c>
    </row>
    <row r="27" spans="1:22">
      <c r="A27" s="4" t="s">
        <v>100</v>
      </c>
      <c r="B27">
        <v>207</v>
      </c>
      <c r="C27" s="1" t="s">
        <v>130</v>
      </c>
      <c r="D27" s="1">
        <v>12.5</v>
      </c>
      <c r="E27" s="4">
        <f t="shared" si="5"/>
        <v>87.5</v>
      </c>
      <c r="F27" s="1" t="s">
        <v>140</v>
      </c>
      <c r="G27" s="1">
        <f>(29.9+35.7)/2</f>
        <v>32.799999999999997</v>
      </c>
      <c r="H27" s="3">
        <f>IF(100-G27+6.25+B27/8&gt;100, 100, 100-G27+6.25+B27/8)</f>
        <v>99.325000000000003</v>
      </c>
      <c r="I27" s="1" t="s">
        <v>131</v>
      </c>
      <c r="J27" s="1">
        <v>12.5</v>
      </c>
      <c r="K27" s="4">
        <f t="shared" si="2"/>
        <v>75</v>
      </c>
      <c r="L27" s="1" t="s">
        <v>140</v>
      </c>
      <c r="M27" s="1">
        <v>0</v>
      </c>
      <c r="N27" s="3">
        <f t="shared" si="10"/>
        <v>100</v>
      </c>
      <c r="O27" s="1" t="s">
        <v>129</v>
      </c>
      <c r="P27" s="1">
        <v>12.5</v>
      </c>
      <c r="Q27" s="4">
        <f t="shared" si="3"/>
        <v>62.5</v>
      </c>
      <c r="R27" s="1" t="s">
        <v>140</v>
      </c>
      <c r="S27" s="1">
        <f>(29.9+35.7)/2</f>
        <v>32.799999999999997</v>
      </c>
      <c r="T27" s="3">
        <f>IF(N27-S27&lt;=0, 0, IF(N27-S27+6.25+B27/8&gt;100, 100, N27-S27+6.25+B27/8))</f>
        <v>99.325000000000003</v>
      </c>
      <c r="U27" s="5">
        <f t="shared" si="4"/>
        <v>377.08800000000002</v>
      </c>
      <c r="V27" s="1">
        <f t="shared" si="1"/>
        <v>-377.08800000000002</v>
      </c>
    </row>
    <row r="28" spans="1:22">
      <c r="A28" s="4" t="s">
        <v>101</v>
      </c>
      <c r="B28">
        <v>207</v>
      </c>
      <c r="C28" s="1" t="s">
        <v>130</v>
      </c>
      <c r="D28" s="1">
        <v>12.5</v>
      </c>
      <c r="E28" s="4">
        <f t="shared" si="5"/>
        <v>87.5</v>
      </c>
      <c r="F28" s="1" t="s">
        <v>60</v>
      </c>
      <c r="G28" s="1">
        <v>0</v>
      </c>
      <c r="H28" s="3">
        <f>IF(100-G28+6.25+B28/8&gt;100, 100, 100-G28+6.25+B28/8)</f>
        <v>100</v>
      </c>
      <c r="I28" s="1" t="s">
        <v>131</v>
      </c>
      <c r="J28" s="1">
        <v>12.5</v>
      </c>
      <c r="K28" s="4">
        <f t="shared" si="2"/>
        <v>75</v>
      </c>
      <c r="L28" s="1" t="s">
        <v>133</v>
      </c>
      <c r="M28" s="1">
        <v>0</v>
      </c>
      <c r="N28" s="3">
        <f t="shared" si="10"/>
        <v>100</v>
      </c>
      <c r="O28" s="1" t="s">
        <v>61</v>
      </c>
      <c r="P28" s="1">
        <v>12.5</v>
      </c>
      <c r="Q28" s="4">
        <f t="shared" si="3"/>
        <v>62.5</v>
      </c>
      <c r="R28" s="1" t="s">
        <v>141</v>
      </c>
      <c r="S28" s="1">
        <f>(13.2+16.1)/2</f>
        <v>14.65</v>
      </c>
      <c r="T28" s="3">
        <f>IF(N28-S28&lt;=0, 0, IF(N28-S28+6.25+B28/8&gt;100, 100, N28-S28+6.25+B28/8))</f>
        <v>100</v>
      </c>
      <c r="U28" s="5">
        <f t="shared" si="4"/>
        <v>384</v>
      </c>
      <c r="V28" s="1">
        <f t="shared" si="1"/>
        <v>-384</v>
      </c>
    </row>
    <row r="29" spans="1:22">
      <c r="A29" s="4" t="s">
        <v>102</v>
      </c>
      <c r="B29">
        <v>181</v>
      </c>
      <c r="C29" s="1" t="s">
        <v>200</v>
      </c>
      <c r="D29" s="1">
        <f>(72.9+86.1)/2</f>
        <v>79.5</v>
      </c>
      <c r="E29" s="4">
        <f>100-D29+6.25</f>
        <v>26.75</v>
      </c>
      <c r="F29" s="1" t="s">
        <v>142</v>
      </c>
      <c r="G29" s="1">
        <f>(14.2+16.6)/2</f>
        <v>15.4</v>
      </c>
      <c r="H29" s="3">
        <f t="shared" si="6"/>
        <v>90.85</v>
      </c>
      <c r="I29" s="1" t="s">
        <v>200</v>
      </c>
      <c r="J29" s="1">
        <v>0</v>
      </c>
      <c r="K29" s="4">
        <f>E29-J29+6.25</f>
        <v>33</v>
      </c>
      <c r="L29" s="1" t="s">
        <v>131</v>
      </c>
      <c r="M29" s="1">
        <v>0</v>
      </c>
      <c r="N29" s="3">
        <f t="shared" si="7"/>
        <v>97.1</v>
      </c>
      <c r="O29" s="1" t="s">
        <v>200</v>
      </c>
      <c r="P29" s="1">
        <f>(72.9+86.1)/2</f>
        <v>79.5</v>
      </c>
      <c r="Q29" s="4">
        <f t="shared" si="3"/>
        <v>0</v>
      </c>
      <c r="T29" s="3">
        <f t="shared" si="8"/>
        <v>100</v>
      </c>
      <c r="U29" s="5">
        <f t="shared" si="4"/>
        <v>1024</v>
      </c>
      <c r="V29" s="1">
        <f t="shared" si="1"/>
        <v>-1024</v>
      </c>
    </row>
    <row r="30" spans="1:22">
      <c r="A30" s="4" t="s">
        <v>103</v>
      </c>
      <c r="B30">
        <v>145</v>
      </c>
      <c r="C30" s="1" t="s">
        <v>136</v>
      </c>
      <c r="E30" s="4">
        <f t="shared" si="5"/>
        <v>100</v>
      </c>
      <c r="F30" s="1" t="s">
        <v>78</v>
      </c>
      <c r="G30" s="1">
        <v>117.6</v>
      </c>
      <c r="H30" s="3">
        <f>IF(100-G30&lt;=0, 0, IF(100-G30+6.25&gt;100, 100, 100-G30+6.25))</f>
        <v>0</v>
      </c>
      <c r="K30" s="4">
        <f t="shared" si="2"/>
        <v>100</v>
      </c>
      <c r="N30" s="3">
        <f>IF(H30-M30&lt;=0, 0, IF(H30-M30+6.25&gt;100, 100, H30-M30+6.25))</f>
        <v>0</v>
      </c>
      <c r="Q30" s="4">
        <f t="shared" si="3"/>
        <v>100</v>
      </c>
      <c r="T30" s="3">
        <f t="shared" si="8"/>
        <v>0</v>
      </c>
      <c r="U30" s="5">
        <f t="shared" si="4"/>
        <v>-1024</v>
      </c>
      <c r="V30" s="1">
        <f t="shared" si="1"/>
        <v>1024</v>
      </c>
    </row>
    <row r="31" spans="1:22">
      <c r="A31" s="4" t="s">
        <v>104</v>
      </c>
      <c r="B31">
        <v>171</v>
      </c>
      <c r="C31" s="1" t="s">
        <v>130</v>
      </c>
      <c r="D31" s="1">
        <v>12.5</v>
      </c>
      <c r="E31" s="4">
        <f t="shared" si="5"/>
        <v>87.5</v>
      </c>
      <c r="F31" s="1" t="s">
        <v>75</v>
      </c>
      <c r="G31" s="1">
        <v>0</v>
      </c>
      <c r="H31" s="3">
        <f>IF(100-G31&lt;=0, 0, IF(100-G31+6.25+B31/8&gt;100, 100, 100-G31+6.25+B31/8))</f>
        <v>100</v>
      </c>
      <c r="I31" s="1" t="s">
        <v>131</v>
      </c>
      <c r="J31" s="1">
        <v>12.5</v>
      </c>
      <c r="K31" s="4">
        <f t="shared" si="2"/>
        <v>75</v>
      </c>
      <c r="L31" s="1" t="s">
        <v>75</v>
      </c>
      <c r="M31" s="1">
        <v>0</v>
      </c>
      <c r="N31" s="3">
        <f>IF(H31-M31&lt;=0, 0, IF(H31-M31+6.25+B31/8&gt;100, 100, H31-M31+6.25+B31/8))</f>
        <v>100</v>
      </c>
      <c r="O31" s="1" t="s">
        <v>53</v>
      </c>
      <c r="P31" s="1">
        <f>(32.3+38.8)/2+12.5</f>
        <v>48.05</v>
      </c>
      <c r="Q31" s="4">
        <f>IF(K31-P31&lt;=0, 0, K31-P31)-10</f>
        <v>16.950000000000003</v>
      </c>
      <c r="R31" s="1" t="s">
        <v>76</v>
      </c>
      <c r="S31" s="1">
        <f>(48+55.8)/2</f>
        <v>51.9</v>
      </c>
      <c r="T31" s="3">
        <f>IF(N31-S31&lt;=0, 0, IF(N31-S31+6.25+B31/8&gt;100, 100, N31-S31+6.25+B31/8))</f>
        <v>75.724999999999994</v>
      </c>
      <c r="U31" s="5">
        <f t="shared" si="4"/>
        <v>601.85599999999988</v>
      </c>
      <c r="V31" s="1">
        <f t="shared" si="1"/>
        <v>-601.85599999999988</v>
      </c>
    </row>
    <row r="32" spans="1:22">
      <c r="A32" s="4" t="s">
        <v>105</v>
      </c>
      <c r="B32">
        <v>171</v>
      </c>
      <c r="C32" s="1" t="s">
        <v>130</v>
      </c>
      <c r="D32" s="1">
        <v>12.5</v>
      </c>
      <c r="E32" s="4">
        <f t="shared" si="5"/>
        <v>87.5</v>
      </c>
      <c r="F32" s="1" t="s">
        <v>176</v>
      </c>
      <c r="G32" s="1">
        <f>(89.2+105.8)/2</f>
        <v>97.5</v>
      </c>
      <c r="H32" s="3">
        <f>IF(100-G32&lt;=0, 0, IF(100-G32+6.25+B32/8&gt;100, 100, 100-G32+6.25+B32/8))</f>
        <v>30.125</v>
      </c>
      <c r="I32" s="1" t="s">
        <v>131</v>
      </c>
      <c r="J32" s="1">
        <v>12.5</v>
      </c>
      <c r="K32" s="4">
        <f t="shared" si="2"/>
        <v>75</v>
      </c>
      <c r="L32" s="1" t="s">
        <v>176</v>
      </c>
      <c r="M32" s="1">
        <v>0</v>
      </c>
      <c r="N32" s="3">
        <f t="shared" ref="N32:N37" si="11">IF(H32-M32&lt;=0, 0, IF(H32-M32+6.25+B32/8&gt;100, 100, H32-M32+6.25+B32/8))</f>
        <v>57.75</v>
      </c>
      <c r="Q32" s="4">
        <f t="shared" si="3"/>
        <v>75</v>
      </c>
      <c r="R32" s="1" t="s">
        <v>176</v>
      </c>
      <c r="S32" s="1">
        <f>(89.2+105.8)/2</f>
        <v>97.5</v>
      </c>
      <c r="T32" s="3">
        <f t="shared" ref="T32:T37" si="12">IF(N32-S32&lt;=0, 0, IF(N32-S32+6.25+B32/8&gt;100, 100, N32-S32+6.25+B32/8))</f>
        <v>0</v>
      </c>
      <c r="U32" s="5">
        <f t="shared" si="4"/>
        <v>-768</v>
      </c>
      <c r="V32" s="1">
        <f t="shared" si="1"/>
        <v>768</v>
      </c>
    </row>
    <row r="33" spans="1:22">
      <c r="A33" s="4" t="s">
        <v>106</v>
      </c>
      <c r="B33">
        <v>125</v>
      </c>
      <c r="C33" s="1" t="s">
        <v>130</v>
      </c>
      <c r="D33" s="1">
        <v>12.5</v>
      </c>
      <c r="E33" s="4">
        <f t="shared" si="5"/>
        <v>87.5</v>
      </c>
      <c r="F33" s="1" t="s">
        <v>78</v>
      </c>
      <c r="G33" s="1">
        <f>(65.6+77.4)/2</f>
        <v>71.5</v>
      </c>
      <c r="H33" s="3">
        <f>IF(100-G33&lt;=0, 0, IF(100-G33+6.25+B33/8&gt;100, 100, 100-G33+6.25+B33/8))</f>
        <v>50.375</v>
      </c>
      <c r="I33" s="1" t="s">
        <v>131</v>
      </c>
      <c r="J33" s="1">
        <v>12.5</v>
      </c>
      <c r="K33" s="4">
        <f t="shared" si="2"/>
        <v>75</v>
      </c>
      <c r="L33" s="1" t="s">
        <v>78</v>
      </c>
      <c r="M33" s="1">
        <v>0</v>
      </c>
      <c r="N33" s="3">
        <f t="shared" si="11"/>
        <v>72.25</v>
      </c>
      <c r="O33" s="1" t="s">
        <v>53</v>
      </c>
      <c r="P33" s="1">
        <f>(12.8+15.2)/2+12.5</f>
        <v>26.5</v>
      </c>
      <c r="Q33" s="4">
        <f>IF(K33-P33&lt;=0, 0, K33-P33)+25</f>
        <v>73.5</v>
      </c>
      <c r="R33" s="1" t="s">
        <v>78</v>
      </c>
      <c r="S33" s="1">
        <f>(65.6+77.4)/2</f>
        <v>71.5</v>
      </c>
      <c r="T33" s="3">
        <f t="shared" si="12"/>
        <v>22.625</v>
      </c>
      <c r="U33" s="5">
        <f t="shared" si="4"/>
        <v>-520.96</v>
      </c>
      <c r="V33" s="1">
        <f t="shared" si="1"/>
        <v>520.96</v>
      </c>
    </row>
    <row r="34" spans="1:22">
      <c r="A34" s="4" t="s">
        <v>107</v>
      </c>
      <c r="B34">
        <v>165</v>
      </c>
      <c r="C34" s="1" t="s">
        <v>130</v>
      </c>
      <c r="D34" s="1">
        <v>12.5</v>
      </c>
      <c r="E34" s="4">
        <f t="shared" si="5"/>
        <v>87.5</v>
      </c>
      <c r="F34" s="1" t="s">
        <v>111</v>
      </c>
      <c r="G34" s="1">
        <f>(64.7+76.4)/2</f>
        <v>70.550000000000011</v>
      </c>
      <c r="H34" s="3">
        <f>IF(100-G34&lt;=0, 0, IF(100-G34+6.25+B34/8&gt;100, 100, 100-G34+6.25+B34/8))</f>
        <v>56.324999999999989</v>
      </c>
      <c r="I34" s="1" t="s">
        <v>131</v>
      </c>
      <c r="J34" s="1">
        <v>12.5</v>
      </c>
      <c r="K34" s="4">
        <f t="shared" si="2"/>
        <v>75</v>
      </c>
      <c r="L34" s="1" t="s">
        <v>111</v>
      </c>
      <c r="M34" s="1">
        <v>0</v>
      </c>
      <c r="N34" s="3">
        <f t="shared" si="11"/>
        <v>83.199999999999989</v>
      </c>
      <c r="O34" s="1" t="s">
        <v>53</v>
      </c>
      <c r="P34" s="1">
        <f>(17.5+20.6)/2+12.5</f>
        <v>31.55</v>
      </c>
      <c r="Q34" s="4">
        <f t="shared" si="3"/>
        <v>43.45</v>
      </c>
      <c r="R34" s="1" t="s">
        <v>111</v>
      </c>
      <c r="S34" s="1">
        <f>(64.7+76.4)/2</f>
        <v>70.550000000000011</v>
      </c>
      <c r="T34" s="3">
        <f t="shared" si="12"/>
        <v>39.524999999999977</v>
      </c>
      <c r="U34" s="5">
        <f t="shared" si="4"/>
        <v>-40.192000000000263</v>
      </c>
      <c r="V34" s="1">
        <f t="shared" si="1"/>
        <v>40.192000000000263</v>
      </c>
    </row>
    <row r="35" spans="1:22">
      <c r="A35" s="4" t="s">
        <v>108</v>
      </c>
      <c r="B35">
        <v>207</v>
      </c>
      <c r="C35" s="1" t="s">
        <v>130</v>
      </c>
      <c r="D35" s="1">
        <v>12.5</v>
      </c>
      <c r="E35" s="4">
        <f t="shared" si="5"/>
        <v>87.5</v>
      </c>
      <c r="F35" s="1" t="s">
        <v>124</v>
      </c>
      <c r="G35" s="1">
        <f>(30.8+36.7)/2</f>
        <v>33.75</v>
      </c>
      <c r="H35" s="3">
        <f t="shared" ref="H35:H37" si="13">IF(100-G35&lt;=0, 0, IF(100-G35+6.25+B35/8&gt;100, 100, 100-G35+6.25+B35/8))</f>
        <v>98.375</v>
      </c>
      <c r="I35" s="1" t="s">
        <v>131</v>
      </c>
      <c r="J35" s="1">
        <v>12.5</v>
      </c>
      <c r="K35" s="4">
        <f t="shared" si="2"/>
        <v>75</v>
      </c>
      <c r="L35" s="1" t="s">
        <v>124</v>
      </c>
      <c r="M35" s="1">
        <v>0</v>
      </c>
      <c r="N35" s="3">
        <f t="shared" si="11"/>
        <v>100</v>
      </c>
      <c r="O35" s="1" t="s">
        <v>53</v>
      </c>
      <c r="P35" s="1">
        <f>(50.2+60.8)/2+12.5</f>
        <v>68</v>
      </c>
      <c r="Q35" s="4">
        <f t="shared" si="3"/>
        <v>7</v>
      </c>
      <c r="R35" s="1" t="s">
        <v>124</v>
      </c>
      <c r="S35" s="1">
        <f>(30.8+36.7)/2</f>
        <v>33.75</v>
      </c>
      <c r="T35" s="3">
        <f t="shared" si="12"/>
        <v>98.375</v>
      </c>
      <c r="U35" s="5">
        <f t="shared" si="4"/>
        <v>935.68</v>
      </c>
      <c r="V35" s="1">
        <f t="shared" si="1"/>
        <v>-935.68</v>
      </c>
    </row>
    <row r="36" spans="1:22">
      <c r="A36" s="4" t="s">
        <v>109</v>
      </c>
      <c r="B36">
        <v>183</v>
      </c>
      <c r="C36" s="1" t="s">
        <v>130</v>
      </c>
      <c r="D36" s="1">
        <v>12.5</v>
      </c>
      <c r="E36" s="4">
        <f t="shared" si="5"/>
        <v>87.5</v>
      </c>
      <c r="F36" s="1" t="s">
        <v>50</v>
      </c>
      <c r="G36" s="1">
        <v>0</v>
      </c>
      <c r="H36" s="3">
        <f t="shared" si="13"/>
        <v>100</v>
      </c>
      <c r="I36" s="1" t="s">
        <v>131</v>
      </c>
      <c r="J36" s="1">
        <v>12.5</v>
      </c>
      <c r="K36" s="4">
        <f t="shared" si="2"/>
        <v>75</v>
      </c>
      <c r="L36" s="1" t="s">
        <v>50</v>
      </c>
      <c r="M36" s="1">
        <v>0</v>
      </c>
      <c r="N36" s="3">
        <f t="shared" si="11"/>
        <v>100</v>
      </c>
      <c r="O36" s="1" t="s">
        <v>53</v>
      </c>
      <c r="P36" s="1">
        <f>(39.3+46.4)/2+12.5</f>
        <v>55.349999999999994</v>
      </c>
      <c r="Q36" s="4">
        <f t="shared" si="3"/>
        <v>19.650000000000006</v>
      </c>
      <c r="R36" s="1" t="s">
        <v>194</v>
      </c>
      <c r="S36" s="1">
        <f>(77.4+91.1)/2</f>
        <v>84.25</v>
      </c>
      <c r="T36" s="3">
        <f>IF(N36-S36&lt;=0, 0, IF(N36-S36+6.25+B36/8&gt;100, 100, N36-S36+6.25+B36/8))-12.5</f>
        <v>32.375</v>
      </c>
      <c r="U36" s="5">
        <f t="shared" si="4"/>
        <v>130.30399999999995</v>
      </c>
      <c r="V36" s="1">
        <f t="shared" si="1"/>
        <v>-130.30399999999995</v>
      </c>
    </row>
    <row r="37" spans="1:22">
      <c r="A37" s="4" t="s">
        <v>110</v>
      </c>
      <c r="B37">
        <v>175</v>
      </c>
      <c r="C37" s="1" t="s">
        <v>130</v>
      </c>
      <c r="D37" s="1">
        <v>12.5</v>
      </c>
      <c r="E37" s="4">
        <f t="shared" si="5"/>
        <v>87.5</v>
      </c>
      <c r="F37" s="1" t="s">
        <v>112</v>
      </c>
      <c r="G37" s="1">
        <f>(35.7+42.6)/2</f>
        <v>39.150000000000006</v>
      </c>
      <c r="H37" s="3">
        <f t="shared" si="13"/>
        <v>88.974999999999994</v>
      </c>
      <c r="I37" s="1" t="s">
        <v>131</v>
      </c>
      <c r="J37" s="1">
        <v>12.5</v>
      </c>
      <c r="K37" s="4">
        <f t="shared" si="2"/>
        <v>75</v>
      </c>
      <c r="L37" s="1" t="s">
        <v>112</v>
      </c>
      <c r="M37" s="1">
        <v>0</v>
      </c>
      <c r="N37" s="3">
        <f t="shared" si="11"/>
        <v>100</v>
      </c>
      <c r="O37" s="1" t="s">
        <v>53</v>
      </c>
      <c r="P37" s="1">
        <f>(58.2+69.1)/2+12.5</f>
        <v>76.150000000000006</v>
      </c>
      <c r="Q37" s="4">
        <f t="shared" si="3"/>
        <v>0</v>
      </c>
      <c r="R37" s="1" t="s">
        <v>112</v>
      </c>
      <c r="S37" s="1">
        <f>(35.7+42.6)/2</f>
        <v>39.150000000000006</v>
      </c>
      <c r="T37" s="3">
        <f t="shared" si="12"/>
        <v>88.974999999999994</v>
      </c>
      <c r="U37" s="5">
        <f t="shared" si="4"/>
        <v>911.10399999999993</v>
      </c>
      <c r="V37" s="1">
        <f t="shared" si="1"/>
        <v>-911.10399999999993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4D23AE764E0A3479520CAEC04A9F999" ma:contentTypeVersion="2" ma:contentTypeDescription="新しいドキュメントを作成します。" ma:contentTypeScope="" ma:versionID="f87b9bedb1ea8265cf3017aaf9e51677">
  <xsd:schema xmlns:xsd="http://www.w3.org/2001/XMLSchema" xmlns:xs="http://www.w3.org/2001/XMLSchema" xmlns:p="http://schemas.microsoft.com/office/2006/metadata/properties" xmlns:ns2="045ff253-19da-4d2b-ab61-d411972e87b9" targetNamespace="http://schemas.microsoft.com/office/2006/metadata/properties" ma:root="true" ma:fieldsID="6fadc0f76b3d7b09a3c10b44850277c5" ns2:_="">
    <xsd:import namespace="045ff253-19da-4d2b-ab61-d411972e87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ff253-19da-4d2b-ab61-d411972e87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0533EF-B264-4000-8D4E-573D869EEDC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FAD7AE-73DC-4830-93DF-0502CAB946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2CD4A6-69E7-4EAE-839D-EA9923E22F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5ff253-19da-4d2b-ab61-d411972e87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Face to Face</vt:lpstr>
      <vt:lpstr>エースバーン</vt:lpstr>
      <vt:lpstr>オボンランドロス</vt:lpstr>
      <vt:lpstr>スカーフランドロス</vt:lpstr>
      <vt:lpstr>カプ・レヒレ</vt:lpstr>
      <vt:lpstr>ミミッキュ</vt:lpstr>
      <vt:lpstr>サンダー</vt:lpstr>
      <vt:lpstr>珠テッカグヤ</vt:lpstr>
      <vt:lpstr>残飯テッカグヤ</vt:lpstr>
      <vt:lpstr>ポリゴン2</vt:lpstr>
      <vt:lpstr>ゴリランダー</vt:lpstr>
      <vt:lpstr>ウツロイド</vt:lpstr>
      <vt:lpstr>カバルドン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Tadashi Kamisaka</dc:creator>
  <cp:lastModifiedBy>Yamane Koki</cp:lastModifiedBy>
  <dcterms:created xsi:type="dcterms:W3CDTF">2015-06-05T18:19:34Z</dcterms:created>
  <dcterms:modified xsi:type="dcterms:W3CDTF">2020-12-03T14:56:18Z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0x01010064D23AE764E0A3479520CAEC04A9F999</vt:lpwstr>
  </property>
</Properties>
</file>