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Y:\Kolawole\Data Analyst Portfolio Projects\"/>
    </mc:Choice>
  </mc:AlternateContent>
  <xr:revisionPtr revIDLastSave="0" documentId="13_ncr:1_{9B9714D2-0300-4F6E-AC97-B2D3A92057A3}" xr6:coauthVersionLast="47" xr6:coauthVersionMax="47" xr10:uidLastSave="{00000000-0000-0000-0000-000000000000}"/>
  <bookViews>
    <workbookView xWindow="28680" yWindow="-120" windowWidth="29040" windowHeight="15720" activeTab="2" xr2:uid="{EA944FB1-DE3F-40F9-BBAA-0980B1568DEE}"/>
  </bookViews>
  <sheets>
    <sheet name="Raw Data" sheetId="16" r:id="rId1"/>
    <sheet name="Data Prep" sheetId="22" state="hidden" r:id="rId2"/>
    <sheet name="Dashboard" sheetId="23" r:id="rId3"/>
    <sheet name="New Data (Aug 2021)" sheetId="21" state="hidden" r:id="rId4"/>
    <sheet name="New Data (Sep 2021)" sheetId="18" state="hidden" r:id="rId5"/>
  </sheets>
  <definedNames>
    <definedName name="_xlnm._FilterDatabase" localSheetId="0" hidden="1">'Raw Data'!$A$1:$J$4795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/>
  <c r="B9" i="22" s="1"/>
  <c r="N7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13" i="22" l="1"/>
  <c r="E6" i="23" s="1"/>
  <c r="K5" i="22"/>
  <c r="K12" i="22"/>
  <c r="K8" i="22"/>
  <c r="K3" i="22"/>
  <c r="K7" i="22"/>
  <c r="K13" i="22"/>
  <c r="K14" i="22"/>
  <c r="K6" i="22"/>
  <c r="K4" i="22"/>
  <c r="AB32" i="22"/>
  <c r="AB24" i="22"/>
  <c r="AB16" i="22"/>
  <c r="AB31" i="22"/>
  <c r="AB23" i="22"/>
  <c r="AB15" i="22"/>
  <c r="AB7" i="22"/>
  <c r="AB30" i="22"/>
  <c r="AB22" i="22"/>
  <c r="AB14" i="22"/>
  <c r="AB6" i="22"/>
  <c r="AB3" i="22"/>
  <c r="AB21" i="22"/>
  <c r="AB5" i="22"/>
  <c r="AB36" i="22"/>
  <c r="AB28" i="22"/>
  <c r="AB20" i="22"/>
  <c r="AB12" i="22"/>
  <c r="AB4" i="22"/>
  <c r="AB8" i="22"/>
  <c r="AB29" i="22"/>
  <c r="AB13" i="22"/>
  <c r="AB35" i="22"/>
  <c r="AB27" i="22"/>
  <c r="AB19" i="22"/>
  <c r="AB11" i="22"/>
  <c r="AB34" i="22"/>
  <c r="AB26" i="22"/>
  <c r="AB18" i="22"/>
  <c r="AB10" i="22"/>
  <c r="AB33" i="22"/>
  <c r="AB25" i="22"/>
  <c r="AB17" i="22"/>
  <c r="AB9" i="22"/>
  <c r="J14" i="22"/>
  <c r="N10" i="22"/>
  <c r="J13" i="22"/>
  <c r="N12" i="22"/>
  <c r="J12" i="22"/>
  <c r="N11" i="22"/>
  <c r="J11" i="22"/>
  <c r="K11" i="22" s="1"/>
  <c r="N6" i="22"/>
  <c r="N4" i="22"/>
  <c r="N9" i="22"/>
  <c r="N8" i="22"/>
  <c r="N3" i="22"/>
  <c r="N5" i="22"/>
  <c r="B11" i="22"/>
  <c r="B12" i="22"/>
  <c r="E2" i="22"/>
  <c r="J2" i="22"/>
  <c r="J8" i="22" s="1"/>
  <c r="B10" i="22"/>
  <c r="I2" i="22" s="1"/>
  <c r="I4" i="22" s="1"/>
  <c r="AY6" i="16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AC20" i="22" l="1"/>
  <c r="AC4" i="22"/>
  <c r="AC11" i="22"/>
  <c r="AD11" i="22" s="1"/>
  <c r="AC29" i="22"/>
  <c r="AC19" i="22"/>
  <c r="AC26" i="22"/>
  <c r="AD26" i="22" s="1"/>
  <c r="AC30" i="22"/>
  <c r="AD30" i="22" s="1"/>
  <c r="AC23" i="22"/>
  <c r="AD23" i="22" s="1"/>
  <c r="AC12" i="22"/>
  <c r="AD12" i="22" s="1"/>
  <c r="AC21" i="22"/>
  <c r="AD21" i="22" s="1"/>
  <c r="AC3" i="22"/>
  <c r="AC10" i="22"/>
  <c r="AC6" i="22"/>
  <c r="AD6" i="22" s="1"/>
  <c r="Q9" i="22"/>
  <c r="AC34" i="22"/>
  <c r="AD34" i="22" s="1"/>
  <c r="AC8" i="22"/>
  <c r="AD8" i="22" s="1"/>
  <c r="AC9" i="22"/>
  <c r="AD9" i="22" s="1"/>
  <c r="AC18" i="22"/>
  <c r="AD18" i="22" s="1"/>
  <c r="AC16" i="22"/>
  <c r="AD16" i="22" s="1"/>
  <c r="AC17" i="22"/>
  <c r="AD17" i="22" s="1"/>
  <c r="AC27" i="22"/>
  <c r="AD27" i="22" s="1"/>
  <c r="AC28" i="22"/>
  <c r="AD28" i="22" s="1"/>
  <c r="AC5" i="22"/>
  <c r="AD5" i="22" s="1"/>
  <c r="AC14" i="22"/>
  <c r="AD14" i="22" s="1"/>
  <c r="AC15" i="22"/>
  <c r="AD15" i="22" s="1"/>
  <c r="AC24" i="22"/>
  <c r="AD24" i="22" s="1"/>
  <c r="AC25" i="22"/>
  <c r="AD25" i="22" s="1"/>
  <c r="AC35" i="22"/>
  <c r="AD35" i="22" s="1"/>
  <c r="AC36" i="22"/>
  <c r="AD36" i="22" s="1"/>
  <c r="AC13" i="22"/>
  <c r="AD13" i="22" s="1"/>
  <c r="AC7" i="22"/>
  <c r="AD7" i="22" s="1"/>
  <c r="AC22" i="22"/>
  <c r="AD22" i="22" s="1"/>
  <c r="AC31" i="22"/>
  <c r="AD31" i="22" s="1"/>
  <c r="AC32" i="22"/>
  <c r="AD32" i="22" s="1"/>
  <c r="AC33" i="22"/>
  <c r="AD33" i="22" s="1"/>
  <c r="AD10" i="22"/>
  <c r="AD4" i="22"/>
  <c r="AD29" i="22"/>
  <c r="AD3" i="22"/>
  <c r="AD20" i="22"/>
  <c r="AD19" i="22"/>
  <c r="E3" i="22"/>
  <c r="E5" i="22" s="1"/>
  <c r="Q11" i="22"/>
  <c r="Q5" i="22"/>
  <c r="Q3" i="22"/>
  <c r="Q12" i="22"/>
  <c r="Q8" i="22"/>
  <c r="Q10" i="22"/>
  <c r="Q4" i="22"/>
  <c r="Q6" i="22"/>
  <c r="Q7" i="22"/>
  <c r="J9" i="22"/>
  <c r="K9" i="22" s="1"/>
  <c r="J4" i="22"/>
  <c r="J6" i="22"/>
  <c r="J7" i="22"/>
  <c r="E4" i="22"/>
  <c r="E6" i="22" s="1"/>
  <c r="O3" i="22"/>
  <c r="P3" i="22" s="1"/>
  <c r="O8" i="22"/>
  <c r="P8" i="22" s="1"/>
  <c r="O9" i="22"/>
  <c r="P9" i="22" s="1"/>
  <c r="O4" i="22"/>
  <c r="P4" i="22" s="1"/>
  <c r="O6" i="22"/>
  <c r="P6" i="22" s="1"/>
  <c r="O11" i="22"/>
  <c r="P11" i="22" s="1"/>
  <c r="O12" i="22"/>
  <c r="P12" i="22" s="1"/>
  <c r="O10" i="22"/>
  <c r="P10" i="22" s="1"/>
  <c r="O7" i="22"/>
  <c r="P7" i="22" s="1"/>
  <c r="O5" i="22"/>
  <c r="P5" i="22" s="1"/>
  <c r="J3" i="22"/>
  <c r="J10" i="22"/>
  <c r="K10" i="22" s="1"/>
  <c r="J5" i="22"/>
  <c r="I9" i="22"/>
  <c r="I14" i="22"/>
  <c r="I3" i="22"/>
  <c r="I10" i="22"/>
  <c r="I12" i="22"/>
  <c r="I11" i="22"/>
  <c r="I8" i="22"/>
  <c r="I5" i="22"/>
  <c r="I13" i="22"/>
  <c r="I6" i="22"/>
  <c r="I7" i="22"/>
  <c r="W3" i="22" l="1"/>
  <c r="W6" i="22"/>
  <c r="W8" i="22"/>
  <c r="W11" i="22"/>
  <c r="AF10" i="22"/>
  <c r="AE5" i="22"/>
  <c r="AF29" i="22"/>
  <c r="AE29" i="22"/>
  <c r="AE21" i="22"/>
  <c r="AF21" i="22"/>
  <c r="AF5" i="22"/>
  <c r="AE35" i="22"/>
  <c r="AF35" i="22"/>
  <c r="AF22" i="22"/>
  <c r="AE22" i="22"/>
  <c r="AE31" i="22"/>
  <c r="AE9" i="22"/>
  <c r="AE18" i="22"/>
  <c r="AE27" i="22"/>
  <c r="AF27" i="22"/>
  <c r="AE20" i="22"/>
  <c r="AF20" i="22"/>
  <c r="AE36" i="22"/>
  <c r="AF25" i="22"/>
  <c r="AE32" i="22"/>
  <c r="AF16" i="22"/>
  <c r="AE16" i="22"/>
  <c r="AF23" i="22"/>
  <c r="AF30" i="22"/>
  <c r="AE30" i="22"/>
  <c r="AF15" i="22"/>
  <c r="AE15" i="22"/>
  <c r="AE34" i="22"/>
  <c r="AE17" i="22"/>
  <c r="AF32" i="22"/>
  <c r="AE28" i="22"/>
  <c r="AF28" i="22"/>
  <c r="AE14" i="22"/>
  <c r="AF14" i="22"/>
  <c r="AF17" i="22"/>
  <c r="AF31" i="22"/>
  <c r="AF8" i="22"/>
  <c r="AE8" i="22"/>
  <c r="AE25" i="22"/>
  <c r="AF3" i="22"/>
  <c r="AE23" i="22"/>
  <c r="AF11" i="22"/>
  <c r="AE26" i="22"/>
  <c r="AF24" i="22"/>
  <c r="AF18" i="22"/>
  <c r="AE24" i="22"/>
  <c r="AE3" i="22"/>
  <c r="AE4" i="22"/>
  <c r="AE11" i="22"/>
  <c r="AF26" i="22"/>
  <c r="AE7" i="22"/>
  <c r="AF7" i="22"/>
  <c r="AF9" i="22"/>
  <c r="AF36" i="22"/>
  <c r="AE10" i="22"/>
  <c r="AF33" i="22"/>
  <c r="AE33" i="22"/>
  <c r="AE13" i="22"/>
  <c r="AF13" i="22"/>
  <c r="AF19" i="22"/>
  <c r="AE19" i="22"/>
  <c r="AF12" i="22"/>
  <c r="AE12" i="22"/>
  <c r="AE6" i="22"/>
  <c r="AF6" i="22"/>
  <c r="AF4" i="22"/>
  <c r="AF34" i="22"/>
  <c r="W12" i="22"/>
  <c r="W7" i="22"/>
  <c r="V3" i="22"/>
  <c r="V11" i="22"/>
  <c r="T10" i="22"/>
  <c r="U10" i="22" s="1"/>
  <c r="V8" i="22"/>
  <c r="V4" i="22"/>
  <c r="V12" i="22"/>
  <c r="T11" i="22"/>
  <c r="U11" i="22" s="1"/>
  <c r="V5" i="22"/>
  <c r="T4" i="22"/>
  <c r="U4" i="22" s="1"/>
  <c r="T12" i="22"/>
  <c r="U12" i="22" s="1"/>
  <c r="T7" i="22"/>
  <c r="U7" i="22" s="1"/>
  <c r="V6" i="22"/>
  <c r="T5" i="22"/>
  <c r="U5" i="22" s="1"/>
  <c r="T3" i="22"/>
  <c r="U3" i="22" s="1"/>
  <c r="V7" i="22"/>
  <c r="T6" i="22"/>
  <c r="U6" i="22" s="1"/>
  <c r="V9" i="22"/>
  <c r="T8" i="22"/>
  <c r="U8" i="22" s="1"/>
  <c r="V10" i="22"/>
  <c r="T9" i="22"/>
  <c r="U9" i="22" s="1"/>
  <c r="W4" i="22"/>
  <c r="W5" i="22"/>
  <c r="W9" i="22"/>
  <c r="W10" i="22"/>
  <c r="X7" i="22" l="1"/>
  <c r="Y7" i="22"/>
  <c r="Y3" i="22"/>
  <c r="X3" i="22"/>
  <c r="X5" i="22"/>
  <c r="Y5" i="22"/>
  <c r="Y6" i="22"/>
  <c r="X6" i="22"/>
  <c r="Y9" i="22"/>
  <c r="X9" i="22"/>
  <c r="Y10" i="22"/>
  <c r="X10" i="22"/>
  <c r="X8" i="22"/>
  <c r="Y8" i="22"/>
  <c r="Y12" i="22"/>
  <c r="X12" i="22"/>
  <c r="Y4" i="22"/>
  <c r="X4" i="22"/>
  <c r="X11" i="22"/>
  <c r="Y11" i="22"/>
  <c r="AI8" i="22"/>
  <c r="S19" i="23" s="1"/>
  <c r="AJ8" i="22"/>
  <c r="T19" i="23" s="1"/>
  <c r="AK8" i="22"/>
  <c r="U19" i="23" s="1"/>
  <c r="AI17" i="22"/>
  <c r="S30" i="23" s="1"/>
  <c r="AJ17" i="22"/>
  <c r="T30" i="23" s="1"/>
  <c r="AK17" i="22"/>
  <c r="U30" i="23" s="1"/>
  <c r="AI12" i="22"/>
  <c r="S25" i="23" s="1"/>
  <c r="AK16" i="22"/>
  <c r="U29" i="23" s="1"/>
  <c r="AJ12" i="22"/>
  <c r="T25" i="23" s="1"/>
  <c r="AI15" i="22"/>
  <c r="S28" i="23" s="1"/>
  <c r="AK12" i="22"/>
  <c r="U25" i="23" s="1"/>
  <c r="AI14" i="22"/>
  <c r="S27" i="23" s="1"/>
  <c r="AJ15" i="22"/>
  <c r="T28" i="23" s="1"/>
  <c r="AJ13" i="22"/>
  <c r="T26" i="23" s="1"/>
  <c r="AJ14" i="22"/>
  <c r="T27" i="23" s="1"/>
  <c r="AI16" i="22"/>
  <c r="S29" i="23" s="1"/>
  <c r="AK14" i="22"/>
  <c r="U27" i="23" s="1"/>
  <c r="AK13" i="22"/>
  <c r="U26" i="23" s="1"/>
  <c r="AK15" i="22"/>
  <c r="U28" i="23" s="1"/>
  <c r="AJ16" i="22"/>
  <c r="T29" i="23" s="1"/>
  <c r="AJ6" i="22"/>
  <c r="T17" i="23" s="1"/>
  <c r="AI6" i="22"/>
  <c r="S17" i="23" s="1"/>
  <c r="AI3" i="22"/>
  <c r="S14" i="23" s="1"/>
  <c r="AJ4" i="22"/>
  <c r="T15" i="23" s="1"/>
  <c r="AK6" i="22"/>
  <c r="U17" i="23" s="1"/>
  <c r="AI4" i="22"/>
  <c r="S15" i="23" s="1"/>
  <c r="AJ3" i="22"/>
  <c r="T14" i="23" s="1"/>
  <c r="AK4" i="22"/>
  <c r="U15" i="23" s="1"/>
  <c r="AK7" i="22"/>
  <c r="U18" i="23" s="1"/>
  <c r="AI7" i="22"/>
  <c r="S18" i="23" s="1"/>
  <c r="AJ7" i="22"/>
  <c r="T18" i="23" s="1"/>
  <c r="AI5" i="22"/>
  <c r="S16" i="23" s="1"/>
  <c r="AK3" i="22"/>
  <c r="U14" i="23" s="1"/>
  <c r="AK5" i="22"/>
  <c r="U16" i="23" s="1"/>
  <c r="AJ5" i="22"/>
  <c r="T16" i="23" s="1"/>
  <c r="AI13" i="22"/>
  <c r="S26" i="23" s="1"/>
  <c r="U20" i="23" l="1"/>
  <c r="U31" i="23"/>
</calcChain>
</file>

<file path=xl/sharedStrings.xml><?xml version="1.0" encoding="utf-8"?>
<sst xmlns="http://schemas.openxmlformats.org/spreadsheetml/2006/main" count="26863" uniqueCount="127">
  <si>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</si>
  <si>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</si>
  <si>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</si>
  <si>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</si>
  <si>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</si>
  <si>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</si>
  <si>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</si>
  <si>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</si>
  <si>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</si>
  <si>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</si>
  <si>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</si>
  <si>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</si>
  <si>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</si>
  <si>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</si>
  <si>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</si>
  <si>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</si>
  <si>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</si>
  <si>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</si>
  <si>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</si>
  <si>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</si>
  <si>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</si>
  <si>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</si>
  <si>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</si>
  <si>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</si>
  <si>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</si>
  <si>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</si>
  <si>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</si>
  <si>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</si>
  <si>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</si>
  <si>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</si>
  <si>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</si>
  <si>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</si>
  <si>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</si>
  <si>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</si>
  <si>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</si>
  <si>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</si>
  <si>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</si>
  <si>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</si>
  <si>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</si>
  <si>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</si>
  <si>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</si>
  <si>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</si>
  <si>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</si>
  <si>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</si>
  <si>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</si>
  <si>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</si>
  <si>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</si>
  <si>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</si>
  <si>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</si>
  <si>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</si>
  <si>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</si>
  <si>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</si>
  <si>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</si>
  <si>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</si>
  <si>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</si>
  <si>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</si>
  <si>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</si>
  <si>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</si>
  <si>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</si>
  <si>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</si>
  <si>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</si>
  <si>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</si>
  <si>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</si>
  <si>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</si>
  <si>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</si>
  <si>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</si>
  <si>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</si>
  <si>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</si>
  <si>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</si>
  <si>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</si>
  <si>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</si>
  <si>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</si>
  <si>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</si>
  <si>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</si>
  <si>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</si>
  <si>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</si>
  <si>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</si>
  <si>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</si>
  <si>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</si>
  <si>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</si>
  <si>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</si>
  <si>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</si>
  <si>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KPIs</t>
  </si>
  <si>
    <t>Total Revenue:</t>
  </si>
  <si>
    <t>PY Revenue:</t>
  </si>
  <si>
    <t>PM Revenue:</t>
  </si>
  <si>
    <t>PM Year:</t>
  </si>
  <si>
    <r>
      <t>YoY %</t>
    </r>
    <r>
      <rPr>
        <b/>
        <sz val="11"/>
        <color theme="1"/>
        <rFont val="Aptos Narrow"/>
        <family val="2"/>
      </rPr>
      <t>∆</t>
    </r>
    <r>
      <rPr>
        <b/>
        <sz val="11"/>
        <color theme="1"/>
        <rFont val="Calibri"/>
        <family val="2"/>
        <scheme val="minor"/>
      </rPr>
      <t>:</t>
    </r>
  </si>
  <si>
    <t>MoM %∆:</t>
  </si>
  <si>
    <t>REVENUE TREND</t>
  </si>
  <si>
    <t>Month #</t>
  </si>
  <si>
    <t>May</t>
  </si>
  <si>
    <t>J</t>
  </si>
  <si>
    <t>F</t>
  </si>
  <si>
    <t>M</t>
  </si>
  <si>
    <t>A</t>
  </si>
  <si>
    <t>S</t>
  </si>
  <si>
    <t>O</t>
  </si>
  <si>
    <t>N</t>
  </si>
  <si>
    <t>D</t>
  </si>
  <si>
    <t>STORE PERFORMANCE</t>
  </si>
  <si>
    <t>PM Revenue</t>
  </si>
  <si>
    <t>MoM %∆</t>
  </si>
  <si>
    <t>Rank</t>
  </si>
  <si>
    <t>STORE PERFORMANCE (SORTED)</t>
  </si>
  <si>
    <t>PRODUCT PERFORMANCE</t>
  </si>
  <si>
    <t>Product</t>
  </si>
  <si>
    <t>MOM ∆</t>
  </si>
  <si>
    <t>Rank (+)</t>
  </si>
  <si>
    <t>Rank (-)</t>
  </si>
  <si>
    <t>TOP PERFORMING PRODUCTS</t>
  </si>
  <si>
    <t>BOTTOM PERFORMING PRODUCTS</t>
  </si>
  <si>
    <r>
      <t xml:space="preserve">MoM Revenue </t>
    </r>
    <r>
      <rPr>
        <b/>
        <sz val="12"/>
        <color theme="1" tint="0.249977111117893"/>
        <rFont val="Aptos Narrow"/>
        <family val="2"/>
      </rPr>
      <t>∆</t>
    </r>
  </si>
  <si>
    <t>How did</t>
  </si>
  <si>
    <t>Current Period: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</si>
  <si>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</si>
  <si>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</si>
  <si>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</si>
  <si>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</si>
  <si>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</si>
  <si>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</si>
  <si>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</si>
  <si>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</si>
  <si>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</si>
  <si>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</si>
  <si>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</si>
  <si>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     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</si>
</sst>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[$$-409]#,##0"/>
    <numFmt numFmtId="166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ptos Narrow"/>
      <family val="2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0.249977111117893"/>
      <name val="Aptos Narrow"/>
      <family val="2"/>
    </font>
    <font>
      <b/>
      <sz val="24"/>
      <color theme="4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5" fillId="5" borderId="0" xfId="0" applyFont="1" applyFill="1" applyAlignment="1">
      <alignment horizontal="centerContinuous"/>
    </xf>
    <xf numFmtId="0" fontId="6" fillId="6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0" fontId="3" fillId="7" borderId="0" xfId="0" applyFont="1" applyFill="1" applyAlignment="1">
      <alignment horizontal="centerContinuous"/>
    </xf>
    <xf numFmtId="0" fontId="5" fillId="7" borderId="0" xfId="0" applyFont="1" applyFill="1" applyAlignment="1">
      <alignment horizontal="centerContinuous"/>
    </xf>
    <xf numFmtId="165" fontId="0" fillId="0" borderId="0" xfId="0" applyNumberFormat="1" applyAlignment="1">
      <alignment horizontal="center" vertical="center"/>
    </xf>
    <xf numFmtId="166" fontId="1" fillId="8" borderId="0" xfId="1" applyNumberFormat="1" applyFont="1" applyFill="1" applyAlignment="1">
      <alignment horizontal="center" vertical="center"/>
    </xf>
    <xf numFmtId="165" fontId="0" fillId="0" borderId="0" xfId="0" applyNumberFormat="1" applyAlignment="1">
      <alignment horizontal="right" vertical="center"/>
    </xf>
    <xf numFmtId="0" fontId="1" fillId="9" borderId="0" xfId="0" applyFont="1" applyFill="1"/>
    <xf numFmtId="9" fontId="0" fillId="0" borderId="0" xfId="1" applyFont="1"/>
    <xf numFmtId="0" fontId="8" fillId="0" borderId="0" xfId="0" applyFont="1"/>
    <xf numFmtId="165" fontId="8" fillId="0" borderId="0" xfId="0" applyNumberFormat="1" applyFont="1"/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165" fontId="8" fillId="0" borderId="1" xfId="0" applyNumberFormat="1" applyFont="1" applyBorder="1"/>
    <xf numFmtId="165" fontId="12" fillId="0" borderId="0" xfId="0" applyNumberFormat="1" applyFont="1"/>
    <xf numFmtId="0" fontId="1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1" fillId="0" borderId="0" xfId="0" applyFont="1"/>
    <xf numFmtId="165" fontId="14" fillId="0" borderId="0" xfId="0" applyNumberFormat="1" applyFont="1"/>
    <xf numFmtId="0" fontId="11" fillId="10" borderId="0" xfId="0" applyFont="1" applyFill="1" applyAlignment="1" applyProtection="1">
      <alignment horizontal="center"/>
      <protection locked="0"/>
    </xf>
    <xf numFmtId="0" fontId="13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5">
    <dxf>
      <font>
        <color theme="9" tint="-0.24994659260841701"/>
      </font>
    </dxf>
    <dxf>
      <font>
        <color rgb="FFFF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7171"/>
      <color rgb="FFFBB3B5"/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[$$-409]#,##0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06E-41C3-9254-078368107304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[$$-409]#,##0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41270.179999999986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6E-41C3-9254-078368107304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[$$-409]#,##0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E-41C3-9254-07836810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234527"/>
        <c:axId val="288235007"/>
      </c:lineChart>
      <c:catAx>
        <c:axId val="28823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1718392388451443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35007"/>
        <c:crosses val="autoZero"/>
        <c:auto val="1"/>
        <c:lblAlgn val="ctr"/>
        <c:lblOffset val="100"/>
        <c:noMultiLvlLbl val="0"/>
      </c:catAx>
      <c:valAx>
        <c:axId val="2882350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Revenue</a:t>
                </a:r>
              </a:p>
            </c:rich>
          </c:tx>
          <c:layout>
            <c:manualLayout>
              <c:xMode val="edge"/>
              <c:yMode val="edge"/>
              <c:x val="1.193935590956015E-2"/>
              <c:y val="2.5964459360612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34527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[$$-409]#,##0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6-4BD9-83D0-0B76C37295DB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[$$-409]#,##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[$$-409]#,##0</c:formatCode>
                <c:ptCount val="10"/>
                <c:pt idx="0">
                  <c:v>0</c:v>
                </c:pt>
                <c:pt idx="1">
                  <c:v>10103.540000000001</c:v>
                </c:pt>
                <c:pt idx="2">
                  <c:v>0</c:v>
                </c:pt>
                <c:pt idx="3">
                  <c:v>15765.830000000002</c:v>
                </c:pt>
                <c:pt idx="4">
                  <c:v>0</c:v>
                </c:pt>
                <c:pt idx="5">
                  <c:v>0</c:v>
                </c:pt>
                <c:pt idx="6">
                  <c:v>18171.759999999995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6-4BD9-83D0-0B76C37295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100"/>
        <c:axId val="262581935"/>
        <c:axId val="262587695"/>
      </c:barChart>
      <c:catAx>
        <c:axId val="262581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87695"/>
        <c:crosses val="autoZero"/>
        <c:auto val="1"/>
        <c:lblAlgn val="ctr"/>
        <c:lblOffset val="100"/>
        <c:noMultiLvlLbl val="0"/>
      </c:catAx>
      <c:valAx>
        <c:axId val="2625876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Revenue</a:t>
                </a:r>
              </a:p>
            </c:rich>
          </c:tx>
          <c:layout>
            <c:manualLayout>
              <c:xMode val="edge"/>
              <c:yMode val="edge"/>
              <c:x val="0.29944985692355008"/>
              <c:y val="0.94417773440783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crossAx val="26258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%∆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'Data Prep'!$R$3:$R$12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3-4318-B27A-2B907737D005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Prep'!$R$3:$R$12</c:f>
              <c:numCache>
                <c:formatCode>General</c:formatCode>
                <c:ptCount val="10"/>
              </c:numCache>
            </c:numRef>
          </c:cat>
          <c:val>
            <c:numRef>
              <c:f>'Data Prep'!$Y$3:$Y$12</c:f>
              <c:numCache>
                <c:formatCode>0%</c:formatCode>
                <c:ptCount val="10"/>
                <c:pt idx="0">
                  <c:v>0</c:v>
                </c:pt>
                <c:pt idx="1">
                  <c:v>0.27268490293194403</c:v>
                </c:pt>
                <c:pt idx="2">
                  <c:v>0</c:v>
                </c:pt>
                <c:pt idx="3">
                  <c:v>0.38157142957292312</c:v>
                </c:pt>
                <c:pt idx="4">
                  <c:v>0</c:v>
                </c:pt>
                <c:pt idx="5">
                  <c:v>0</c:v>
                </c:pt>
                <c:pt idx="6">
                  <c:v>-0.17099256839675403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4E23-4318-B27A-2B907737D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100"/>
        <c:axId val="262581935"/>
        <c:axId val="262587695"/>
      </c:barChart>
      <c:catAx>
        <c:axId val="262581935"/>
        <c:scaling>
          <c:orientation val="minMax"/>
        </c:scaling>
        <c:delete val="0"/>
        <c:axPos val="l"/>
        <c:numFmt formatCode="[$$-409]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87695"/>
        <c:crosses val="autoZero"/>
        <c:auto val="1"/>
        <c:lblAlgn val="ctr"/>
        <c:lblOffset val="100"/>
        <c:noMultiLvlLbl val="0"/>
      </c:catAx>
      <c:valAx>
        <c:axId val="2625876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MoM %∆</a:t>
                </a:r>
              </a:p>
            </c:rich>
          </c:tx>
          <c:layout>
            <c:manualLayout>
              <c:xMode val="edge"/>
              <c:yMode val="edge"/>
              <c:x val="0.34957036730787389"/>
              <c:y val="0.93417563352826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26258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197644</xdr:colOff>
      <xdr:row>18</xdr:row>
      <xdr:rowOff>104774</xdr:rowOff>
    </xdr:from>
    <xdr:to>
      <xdr:col>2</xdr:col>
      <xdr:colOff>454819</xdr:colOff>
      <xdr:row>21</xdr:row>
      <xdr:rowOff>128399</xdr:rowOff>
    </xdr:to>
    <xdr:sp macro="" textlink="'Data Prep'!$E$6">
      <xdr:nvSpPr>
        <xdr:cNvPr id="52" name="TextBox 51">
          <a:extLst>
            <a:ext uri="{FF2B5EF4-FFF2-40B4-BE49-F238E27FC236}">
              <a16:creationId xmlns:a16="http://schemas.microsoft.com/office/drawing/2014/main" id="{5C059887-2746-FF73-E73A-50761FBC877F}"/>
            </a:ext>
          </a:extLst>
        </xdr:cNvPr>
        <xdr:cNvSpPr txBox="1"/>
      </xdr:nvSpPr>
      <xdr:spPr>
        <a:xfrm>
          <a:off x="350044" y="3886199"/>
          <a:ext cx="1362075" cy="73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C8E8084-04A9-4D49-B898-E28EEAC0BB14}" type="TxLink">
            <a:rPr lang="en-US" sz="3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6.7%</a:t>
          </a:fld>
          <a:endParaRPr lang="en-GB" sz="3200"/>
        </a:p>
      </xdr:txBody>
    </xdr:sp>
    <xdr:clientData/>
  </xdr:twoCellAnchor>
  <xdr:twoCellAnchor>
    <xdr:from>
      <xdr:col>2</xdr:col>
      <xdr:colOff>961986</xdr:colOff>
      <xdr:row>18</xdr:row>
      <xdr:rowOff>104774</xdr:rowOff>
    </xdr:from>
    <xdr:to>
      <xdr:col>3</xdr:col>
      <xdr:colOff>685761</xdr:colOff>
      <xdr:row>21</xdr:row>
      <xdr:rowOff>128399</xdr:rowOff>
    </xdr:to>
    <xdr:sp macro="" textlink="'Data Prep'!$E$5">
      <xdr:nvSpPr>
        <xdr:cNvPr id="53" name="TextBox 52">
          <a:extLst>
            <a:ext uri="{FF2B5EF4-FFF2-40B4-BE49-F238E27FC236}">
              <a16:creationId xmlns:a16="http://schemas.microsoft.com/office/drawing/2014/main" id="{927A5AFC-2AB7-E173-25C1-E4E1C4DD6D2E}"/>
            </a:ext>
          </a:extLst>
        </xdr:cNvPr>
        <xdr:cNvSpPr txBox="1"/>
      </xdr:nvSpPr>
      <xdr:spPr>
        <a:xfrm>
          <a:off x="2219286" y="3886199"/>
          <a:ext cx="1362075" cy="73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286CA82-8037-47AE-AD1A-C704994F2184}" type="TxLink">
            <a:rPr lang="en-US" sz="3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26.3%</a:t>
          </a:fld>
          <a:endParaRPr lang="en-GB" sz="7200"/>
        </a:p>
      </xdr:txBody>
    </xdr:sp>
    <xdr:clientData/>
  </xdr:twoCellAnchor>
  <xdr:twoCellAnchor editAs="absolute">
    <xdr:from>
      <xdr:col>1</xdr:col>
      <xdr:colOff>8792</xdr:colOff>
      <xdr:row>0</xdr:row>
      <xdr:rowOff>52021</xdr:rowOff>
    </xdr:from>
    <xdr:to>
      <xdr:col>7</xdr:col>
      <xdr:colOff>558312</xdr:colOff>
      <xdr:row>4</xdr:row>
      <xdr:rowOff>14654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F1C837-402C-E58E-60FD-6EC6A31DF488}"/>
            </a:ext>
          </a:extLst>
        </xdr:cNvPr>
        <xdr:cNvSpPr txBox="1"/>
      </xdr:nvSpPr>
      <xdr:spPr>
        <a:xfrm>
          <a:off x="161192" y="52021"/>
          <a:ext cx="6721720" cy="724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3600" b="1">
              <a:solidFill>
                <a:schemeClr val="tx1">
                  <a:lumMod val="75000"/>
                  <a:lumOff val="25000"/>
                </a:schemeClr>
              </a:solidFill>
            </a:rPr>
            <a:t>REGIONAL REVENUE</a:t>
          </a:r>
          <a:r>
            <a:rPr lang="en-GB" sz="3600" b="1" baseline="0">
              <a:solidFill>
                <a:schemeClr val="tx1">
                  <a:lumMod val="75000"/>
                  <a:lumOff val="25000"/>
                </a:schemeClr>
              </a:solidFill>
            </a:rPr>
            <a:t> DASHBOARD</a:t>
          </a:r>
          <a:endParaRPr lang="en-GB" sz="3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46893</xdr:colOff>
      <xdr:row>6</xdr:row>
      <xdr:rowOff>168519</xdr:rowOff>
    </xdr:from>
    <xdr:to>
      <xdr:col>21</xdr:col>
      <xdr:colOff>9526</xdr:colOff>
      <xdr:row>6</xdr:row>
      <xdr:rowOff>168519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E997E31-9572-0C9E-033A-C767920FE120}"/>
            </a:ext>
          </a:extLst>
        </xdr:cNvPr>
        <xdr:cNvCxnSpPr/>
      </xdr:nvCxnSpPr>
      <xdr:spPr>
        <a:xfrm>
          <a:off x="199293" y="1378194"/>
          <a:ext cx="17317183" cy="0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290512</xdr:colOff>
      <xdr:row>9</xdr:row>
      <xdr:rowOff>46892</xdr:rowOff>
    </xdr:from>
    <xdr:to>
      <xdr:col>3</xdr:col>
      <xdr:colOff>781050</xdr:colOff>
      <xdr:row>11</xdr:row>
      <xdr:rowOff>27261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FA83DFB-9EC5-41BE-7230-E5ACF2FA4D63}"/>
            </a:ext>
          </a:extLst>
        </xdr:cNvPr>
        <xdr:cNvSpPr txBox="1"/>
      </xdr:nvSpPr>
      <xdr:spPr>
        <a:xfrm>
          <a:off x="442912" y="1828067"/>
          <a:ext cx="3214688" cy="3613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0">
              <a:solidFill>
                <a:schemeClr val="tx1">
                  <a:lumMod val="75000"/>
                  <a:lumOff val="25000"/>
                </a:schemeClr>
              </a:solidFill>
            </a:rPr>
            <a:t>This</a:t>
          </a:r>
          <a:r>
            <a:rPr lang="en-GB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was the </a:t>
          </a:r>
          <a:r>
            <a:rPr lang="en-GB" sz="1600" b="1" baseline="0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GB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we drove in...</a:t>
          </a:r>
          <a:endParaRPr lang="en-GB" sz="16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183356</xdr:colOff>
      <xdr:row>21</xdr:row>
      <xdr:rowOff>106973</xdr:rowOff>
    </xdr:from>
    <xdr:to>
      <xdr:col>2</xdr:col>
      <xdr:colOff>469106</xdr:colOff>
      <xdr:row>22</xdr:row>
      <xdr:rowOff>141409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BF08D38-B040-28E1-8C78-C78BB605371E}"/>
            </a:ext>
          </a:extLst>
        </xdr:cNvPr>
        <xdr:cNvSpPr txBox="1"/>
      </xdr:nvSpPr>
      <xdr:spPr>
        <a:xfrm>
          <a:off x="335756" y="4602773"/>
          <a:ext cx="1390650" cy="2725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0">
              <a:solidFill>
                <a:schemeClr val="tx1">
                  <a:lumMod val="75000"/>
                  <a:lumOff val="25000"/>
                </a:schemeClr>
              </a:solidFill>
            </a:rPr>
            <a:t>vs. Last Month</a:t>
          </a:r>
        </a:p>
      </xdr:txBody>
    </xdr:sp>
    <xdr:clientData/>
  </xdr:twoCellAnchor>
  <xdr:twoCellAnchor editAs="absolute">
    <xdr:from>
      <xdr:col>2</xdr:col>
      <xdr:colOff>914361</xdr:colOff>
      <xdr:row>21</xdr:row>
      <xdr:rowOff>106973</xdr:rowOff>
    </xdr:from>
    <xdr:to>
      <xdr:col>3</xdr:col>
      <xdr:colOff>752436</xdr:colOff>
      <xdr:row>22</xdr:row>
      <xdr:rowOff>142875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EEB9BF4-98A5-A6CF-FC93-F1EA345B1550}"/>
            </a:ext>
          </a:extLst>
        </xdr:cNvPr>
        <xdr:cNvSpPr txBox="1"/>
      </xdr:nvSpPr>
      <xdr:spPr>
        <a:xfrm>
          <a:off x="2171661" y="4602773"/>
          <a:ext cx="1457325" cy="2740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0" baseline="0">
              <a:solidFill>
                <a:schemeClr val="tx1">
                  <a:lumMod val="75000"/>
                  <a:lumOff val="25000"/>
                </a:schemeClr>
              </a:solidFill>
            </a:rPr>
            <a:t>vs. Last Year</a:t>
          </a:r>
          <a:endParaRPr lang="en-GB" sz="12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190500</xdr:colOff>
      <xdr:row>23</xdr:row>
      <xdr:rowOff>98914</xdr:rowOff>
    </xdr:from>
    <xdr:to>
      <xdr:col>3</xdr:col>
      <xdr:colOff>1209675</xdr:colOff>
      <xdr:row>24</xdr:row>
      <xdr:rowOff>204422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A69B5F8-F165-CF3B-404D-535D9F9ECA2C}"/>
            </a:ext>
          </a:extLst>
        </xdr:cNvPr>
        <xdr:cNvSpPr txBox="1"/>
      </xdr:nvSpPr>
      <xdr:spPr>
        <a:xfrm>
          <a:off x="342900" y="5070964"/>
          <a:ext cx="3743325" cy="343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...and the revenue trend in </a:t>
          </a:r>
          <a:r>
            <a:rPr lang="en-GB" sz="1600" b="1" baseline="0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GB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vs. </a:t>
          </a:r>
          <a:r>
            <a:rPr lang="en-GB" sz="1600" b="1" baseline="0">
              <a:solidFill>
                <a:schemeClr val="accent3"/>
              </a:solidFill>
            </a:rPr>
            <a:t>2020</a:t>
          </a:r>
          <a:endParaRPr lang="en-GB" sz="16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4</xdr:col>
      <xdr:colOff>1240912</xdr:colOff>
      <xdr:row>9</xdr:row>
      <xdr:rowOff>64628</xdr:rowOff>
    </xdr:from>
    <xdr:to>
      <xdr:col>13</xdr:col>
      <xdr:colOff>488437</xdr:colOff>
      <xdr:row>11</xdr:row>
      <xdr:rowOff>27261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56A138A-1288-0360-BA2D-C1F143ACEA51}"/>
            </a:ext>
          </a:extLst>
        </xdr:cNvPr>
        <xdr:cNvSpPr txBox="1"/>
      </xdr:nvSpPr>
      <xdr:spPr>
        <a:xfrm>
          <a:off x="5650987" y="1845803"/>
          <a:ext cx="4819650" cy="343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This is how </a:t>
          </a:r>
          <a:r>
            <a:rPr lang="en-GB" sz="1600" b="1" baseline="0">
              <a:solidFill>
                <a:schemeClr val="accent1">
                  <a:lumMod val="75000"/>
                </a:schemeClr>
              </a:solidFill>
            </a:rPr>
            <a:t>our stores </a:t>
          </a:r>
          <a:r>
            <a:rPr lang="en-GB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rank compared to </a:t>
          </a:r>
          <a:r>
            <a:rPr lang="en-GB" sz="1600" b="1" baseline="0">
              <a:solidFill>
                <a:schemeClr val="accent3"/>
              </a:solidFill>
            </a:rPr>
            <a:t>other regions</a:t>
          </a:r>
          <a:endParaRPr lang="en-GB" sz="16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18</xdr:col>
      <xdr:colOff>762001</xdr:colOff>
      <xdr:row>8</xdr:row>
      <xdr:rowOff>131303</xdr:rowOff>
    </xdr:from>
    <xdr:to>
      <xdr:col>20</xdr:col>
      <xdr:colOff>1190626</xdr:colOff>
      <xdr:row>11</xdr:row>
      <xdr:rowOff>27261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1E19D3F-8AD0-64F2-E0B1-6E39A07F1FA3}"/>
            </a:ext>
          </a:extLst>
        </xdr:cNvPr>
        <xdr:cNvSpPr txBox="1"/>
      </xdr:nvSpPr>
      <xdr:spPr>
        <a:xfrm>
          <a:off x="13449301" y="1721978"/>
          <a:ext cx="3467100" cy="46745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Where these products </a:t>
          </a:r>
          <a:r>
            <a:rPr lang="en-GB" sz="1600" b="1" baseline="0">
              <a:solidFill>
                <a:schemeClr val="accent6">
                  <a:lumMod val="75000"/>
                </a:schemeClr>
              </a:solidFill>
            </a:rPr>
            <a:t>drove growth</a:t>
          </a:r>
          <a:r>
            <a:rPr lang="en-GB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endParaRPr lang="en-GB" sz="16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18</xdr:col>
      <xdr:colOff>809626</xdr:colOff>
      <xdr:row>20</xdr:row>
      <xdr:rowOff>123092</xdr:rowOff>
    </xdr:from>
    <xdr:to>
      <xdr:col>20</xdr:col>
      <xdr:colOff>1143002</xdr:colOff>
      <xdr:row>22</xdr:row>
      <xdr:rowOff>133350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2976B56-BE73-2A7A-1161-5D81BBFFBAA2}"/>
            </a:ext>
          </a:extLst>
        </xdr:cNvPr>
        <xdr:cNvSpPr txBox="1"/>
      </xdr:nvSpPr>
      <xdr:spPr>
        <a:xfrm>
          <a:off x="13496926" y="4380767"/>
          <a:ext cx="3371851" cy="4865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...and these products </a:t>
          </a:r>
          <a:r>
            <a:rPr lang="en-GB" sz="1600" b="1" baseline="0">
              <a:solidFill>
                <a:srgbClr val="C00000"/>
              </a:solidFill>
            </a:rPr>
            <a:t>caused losses</a:t>
          </a:r>
          <a:endParaRPr lang="en-GB" sz="1600" b="1">
            <a:solidFill>
              <a:srgbClr val="C00000"/>
            </a:solidFill>
          </a:endParaRPr>
        </a:p>
      </xdr:txBody>
    </xdr:sp>
    <xdr:clientData/>
  </xdr:twoCellAnchor>
  <xdr:twoCellAnchor editAs="absolute">
    <xdr:from>
      <xdr:col>1</xdr:col>
      <xdr:colOff>133350</xdr:colOff>
      <xdr:row>11</xdr:row>
      <xdr:rowOff>9525</xdr:rowOff>
    </xdr:from>
    <xdr:to>
      <xdr:col>3</xdr:col>
      <xdr:colOff>790575</xdr:colOff>
      <xdr:row>17</xdr:row>
      <xdr:rowOff>180975</xdr:rowOff>
    </xdr:to>
    <xdr:sp macro="" textlink="'Data Prep'!E2">
      <xdr:nvSpPr>
        <xdr:cNvPr id="24" name="TextBox 23">
          <a:extLst>
            <a:ext uri="{FF2B5EF4-FFF2-40B4-BE49-F238E27FC236}">
              <a16:creationId xmlns:a16="http://schemas.microsoft.com/office/drawing/2014/main" id="{79189C11-3F26-4828-8BEC-B857FC9DEE32}"/>
            </a:ext>
          </a:extLst>
        </xdr:cNvPr>
        <xdr:cNvSpPr txBox="1"/>
      </xdr:nvSpPr>
      <xdr:spPr>
        <a:xfrm>
          <a:off x="285750" y="2171700"/>
          <a:ext cx="3381375" cy="1552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2971699-5F4A-4A01-977D-7A51EFC9DA63}" type="TxLink">
            <a:rPr lang="en-US" sz="60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$44,041</a:t>
          </a:fld>
          <a:endParaRPr lang="en-GB" sz="13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38100</xdr:colOff>
      <xdr:row>17</xdr:row>
      <xdr:rowOff>142875</xdr:rowOff>
    </xdr:from>
    <xdr:to>
      <xdr:col>3</xdr:col>
      <xdr:colOff>885825</xdr:colOff>
      <xdr:row>17</xdr:row>
      <xdr:rowOff>142875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B0AEA880-4815-209B-4A7F-DD3A52BB63B5}"/>
            </a:ext>
          </a:extLst>
        </xdr:cNvPr>
        <xdr:cNvCxnSpPr/>
      </xdr:nvCxnSpPr>
      <xdr:spPr>
        <a:xfrm>
          <a:off x="190500" y="3686175"/>
          <a:ext cx="3571875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719137</xdr:colOff>
      <xdr:row>17</xdr:row>
      <xdr:rowOff>152400</xdr:rowOff>
    </xdr:from>
    <xdr:to>
      <xdr:col>2</xdr:col>
      <xdr:colOff>719137</xdr:colOff>
      <xdr:row>22</xdr:row>
      <xdr:rowOff>221775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C2A43192-64E4-3BCC-6959-2C053F91F851}"/>
            </a:ext>
          </a:extLst>
        </xdr:cNvPr>
        <xdr:cNvCxnSpPr/>
      </xdr:nvCxnSpPr>
      <xdr:spPr>
        <a:xfrm>
          <a:off x="1976437" y="3695700"/>
          <a:ext cx="0" cy="126000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190500</xdr:colOff>
      <xdr:row>24</xdr:row>
      <xdr:rowOff>190500</xdr:rowOff>
    </xdr:from>
    <xdr:to>
      <xdr:col>3</xdr:col>
      <xdr:colOff>1171575</xdr:colOff>
      <xdr:row>34</xdr:row>
      <xdr:rowOff>133350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37F8A6E-4660-448C-A50E-A15015C8E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257175</xdr:colOff>
      <xdr:row>10</xdr:row>
      <xdr:rowOff>171451</xdr:rowOff>
    </xdr:from>
    <xdr:to>
      <xdr:col>13</xdr:col>
      <xdr:colOff>119624</xdr:colOff>
      <xdr:row>34</xdr:row>
      <xdr:rowOff>142875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6E54AB2-68E4-4110-8318-6CE6637EC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238124</xdr:colOff>
      <xdr:row>10</xdr:row>
      <xdr:rowOff>171450</xdr:rowOff>
    </xdr:from>
    <xdr:to>
      <xdr:col>15</xdr:col>
      <xdr:colOff>514349</xdr:colOff>
      <xdr:row>34</xdr:row>
      <xdr:rowOff>142778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8C07A03-83AE-4F00-91C3-2F78EE3D2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542926</xdr:colOff>
      <xdr:row>0</xdr:row>
      <xdr:rowOff>118696</xdr:rowOff>
    </xdr:from>
    <xdr:to>
      <xdr:col>21</xdr:col>
      <xdr:colOff>9526</xdr:colOff>
      <xdr:row>5</xdr:row>
      <xdr:rowOff>294884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A8B4E07-8A33-4E5D-A392-D4169383F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20926" y="118696"/>
          <a:ext cx="2495550" cy="9858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CFEAE0-1A0A-4851-9847-3E5C59B4C37B}" name="Data" displayName="Data" ref="A1:J4795" totalsRowShown="0" headerRowDxfId="4">
  <autoFilter ref="A1:J4795" xr:uid="{10CFEAE0-1A0A-4851-9847-3E5C59B4C37B}"/>
  <tableColumns count="10">
    <tableColumn id="1" xr3:uid="{102289CC-1640-4AE3-BC1F-E6E6B68EA2BF}" name="Year"/>
    <tableColumn id="2" xr3:uid="{4C9A18E1-DF86-4C2A-89E3-220C0C826DC4}" name="Month"/>
    <tableColumn id="3" xr3:uid="{3E3E0718-86B6-48D6-A7AE-CFAF8FC403B3}" name="Store Name"/>
    <tableColumn id="4" xr3:uid="{1C534304-BC51-4F04-938A-BFEC7FB3F222}" name="Region"/>
    <tableColumn id="5" xr3:uid="{43D0813E-E1E2-4091-B4E2-ACF86291ED70}" name="Store Type"/>
    <tableColumn id="6" xr3:uid="{30082A85-4BDB-481C-BAD0-C54C7AC78E84}" name="Product Name"/>
    <tableColumn id="7" xr3:uid="{0F0AB5B5-7CB0-4505-9F45-B2DF9C3A5819}" name="Product Category"/>
    <tableColumn id="8" xr3:uid="{1825CBC7-6731-4C01-AB98-BCC7601E7034}" name="Units Sold"/>
    <tableColumn id="9" xr3:uid="{6C2889FF-6182-47A6-B554-EB22F6A7C4C6}" name="Revenue" dataDxfId="3"/>
    <tableColumn id="10" xr3:uid="{9C506EF7-ED8A-4E59-8C97-8E36800F9393}" name="Profit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zoomScaleNormal="100" workbookViewId="0"/>
  </sheetViews>
  <sheetFormatPr defaultRowHeight="15" x14ac:dyDescent="0.25"/>
  <cols>
    <col min="1" max="1" width="7.140625" customWidth="1"/>
    <col min="2" max="2" width="9.140625" customWidth="1"/>
    <col min="3" max="3" width="14.28515625" customWidth="1"/>
    <col min="4" max="4" width="15" customWidth="1"/>
    <col min="5" max="5" width="16.28515625" customWidth="1"/>
    <col min="6" max="6" width="20.42578125" bestFit="1" customWidth="1"/>
    <col min="7" max="7" width="18.85546875" customWidth="1"/>
    <col min="8" max="8" width="12.140625" customWidth="1"/>
    <col min="9" max="9" width="11" customWidth="1"/>
    <col min="12" max="13" width="11.42578125" bestFit="1" customWidth="1"/>
    <col min="16" max="16" width="15.42578125" bestFit="1" customWidth="1"/>
    <col min="18" max="18" width="18.28515625" bestFit="1" customWidth="1"/>
    <col min="27" max="27" width="14.28515625" customWidth="1"/>
    <col min="28" max="28" width="11.42578125" customWidth="1"/>
    <col min="32" max="33" width="14.28515625" customWidth="1"/>
    <col min="34" max="34" width="11.42578125" customWidth="1"/>
    <col min="37" max="37" width="12.28515625" bestFit="1" customWidth="1"/>
    <col min="38" max="38" width="17.7109375" bestFit="1" customWidth="1"/>
    <col min="48" max="49" width="14.28515625" customWidth="1"/>
    <col min="50" max="50" width="17.42578125" bestFit="1" customWidth="1"/>
    <col min="51" max="51" width="11.42578125" customWidth="1"/>
  </cols>
  <sheetData>
    <row r="1" spans="1:51" x14ac:dyDescent="0.2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5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5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4004.3199999999997</v>
      </c>
    </row>
    <row r="4" spans="1:51" x14ac:dyDescent="0.25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1343.6100000000001</v>
      </c>
    </row>
    <row r="5" spans="1:51" x14ac:dyDescent="0.25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2989.38</v>
      </c>
    </row>
    <row r="6" spans="1:51" x14ac:dyDescent="0.25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2509.21</v>
      </c>
    </row>
    <row r="7" spans="1:51" x14ac:dyDescent="0.25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4919.3100000000004</v>
      </c>
    </row>
    <row r="8" spans="1:51" x14ac:dyDescent="0.25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25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25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25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25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25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3117.4900000000002</v>
      </c>
    </row>
    <row r="14" spans="1:51" x14ac:dyDescent="0.25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1624.23</v>
      </c>
    </row>
    <row r="15" spans="1:51" x14ac:dyDescent="0.25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650.57000000000005</v>
      </c>
    </row>
    <row r="16" spans="1:51" x14ac:dyDescent="0.25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1062.1399999999999</v>
      </c>
    </row>
    <row r="17" spans="1:51" x14ac:dyDescent="0.25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3649.11</v>
      </c>
    </row>
    <row r="18" spans="1:51" x14ac:dyDescent="0.25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25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25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25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25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25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6425.0400000000009</v>
      </c>
    </row>
    <row r="24" spans="1:51" x14ac:dyDescent="0.25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2839.35</v>
      </c>
    </row>
    <row r="25" spans="1:51" x14ac:dyDescent="0.25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2885.23</v>
      </c>
    </row>
    <row r="26" spans="1:51" x14ac:dyDescent="0.25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1833.58</v>
      </c>
    </row>
    <row r="27" spans="1:51" x14ac:dyDescent="0.25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4188.5600000000004</v>
      </c>
    </row>
    <row r="28" spans="1:51" x14ac:dyDescent="0.25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25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25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25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25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25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25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25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25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25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25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25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25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25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25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25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25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25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25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25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25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25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25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25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25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25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5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5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5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5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5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5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5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5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5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5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5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5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5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5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5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5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5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5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5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5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5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5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5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5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5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5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5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5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5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5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5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5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5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5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5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5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5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5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5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5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5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5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5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5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5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5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5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5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5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5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5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5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5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5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5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5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5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5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5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5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5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5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5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5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5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5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5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5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5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5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5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5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5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5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5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5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5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5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5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5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5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5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5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5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5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5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5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5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5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5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5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5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5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5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5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5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5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5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5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5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5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5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5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5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5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5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5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5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5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5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5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5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5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5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5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5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5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5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5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5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5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5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5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5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5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5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5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5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5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5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5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5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5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5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5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5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5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5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5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5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5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5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5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5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5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5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5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5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5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5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5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5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5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5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5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5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5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5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5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5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5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5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5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5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5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5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5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5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5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5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5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5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5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5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5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5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5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5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5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5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5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5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5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5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5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5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5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5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5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5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5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5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5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5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5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5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5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5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5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5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5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5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5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5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5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5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5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5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5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5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5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5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5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5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5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5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5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5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5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5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5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5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5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5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5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5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5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5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5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5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5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5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5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5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5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5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5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5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5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5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5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5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5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5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5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5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5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5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5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5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5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5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5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5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5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5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5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5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5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5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5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5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5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5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5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5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5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5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5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5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5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5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5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5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5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5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5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5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5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5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5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5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5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5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5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5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5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5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5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5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5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5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5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5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5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5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5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5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5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5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5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5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5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5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5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5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5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5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5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5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5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5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5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5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5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5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5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5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5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5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5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5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5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5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5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5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5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5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5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5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5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5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5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5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5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5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5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5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5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5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5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5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5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5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5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5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5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5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5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5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5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5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5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5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5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5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5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5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5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5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5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5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5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5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5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5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5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5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5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5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5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5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5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5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5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5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5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5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5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5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5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5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5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5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5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5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5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5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5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5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5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5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5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5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5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5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5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5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5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5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5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5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5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5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5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5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5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5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5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5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5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5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5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5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5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5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5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5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5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5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5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5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5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5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5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5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5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5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5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5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5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5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5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5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5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5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5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5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5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5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5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5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5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5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5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5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5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5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5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5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5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5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5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5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5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5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5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5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5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5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5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5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5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5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5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5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5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5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5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5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5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5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5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5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5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5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5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5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5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5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5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5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5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5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5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5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5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5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5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5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5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5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5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5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5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5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5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5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5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5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5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5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5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5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5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5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5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5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5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5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5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5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5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5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5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5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5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5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5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5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5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5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5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5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5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5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5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5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5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5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5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5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5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5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5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5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5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5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5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5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5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5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5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5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5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5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5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5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5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5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5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5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5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5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5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5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5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5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5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5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5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5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5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5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5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5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5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5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5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5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5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5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5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5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5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5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5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5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5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5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5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5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5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5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5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5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5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5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5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5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5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5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5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5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5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5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5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5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5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5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5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5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5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5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5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5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5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5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5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5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5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5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5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5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5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5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5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5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5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5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5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5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5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5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5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5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5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5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5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5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5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5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5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5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5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5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5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5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5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5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5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5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5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5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5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5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5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5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5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5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5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5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5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5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5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5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5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5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5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5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5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5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5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5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5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5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5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5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5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5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5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5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5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5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5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5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5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5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5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5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5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5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5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5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5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5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5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5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5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5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5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5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5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5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5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5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5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5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5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5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5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5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5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5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5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5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5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5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5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5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5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5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5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5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5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5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5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5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5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5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5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5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5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5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5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5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5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5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5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5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5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5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5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5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5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5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5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5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5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5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5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5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5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5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5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5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5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5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5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5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5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5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5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5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5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5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5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5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5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5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5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5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5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5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5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5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5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5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5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5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5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5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5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5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5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5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5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5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5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5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5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5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5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5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5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5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5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5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5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5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5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5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5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5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5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5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5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5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5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5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5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5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5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5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5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5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5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5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5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5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5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5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5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5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5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5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5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5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5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5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5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5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5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5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5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5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5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5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5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5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5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5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5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5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5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5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5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5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5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5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5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5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5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5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5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5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5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5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5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5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5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5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5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5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5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5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5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5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5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5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5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5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5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5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5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5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5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5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5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5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5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5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5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5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5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5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5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5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5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5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5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5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5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5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5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5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5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5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5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5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5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5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5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5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5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5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5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5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5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5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5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5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5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5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5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5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5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5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5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5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5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5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5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5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5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5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5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5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5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5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5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5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5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5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5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5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5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5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5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5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5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5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5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5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5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5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5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5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5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5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5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5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5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5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5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5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5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5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5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5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5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5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5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5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5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5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5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5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5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5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5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5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5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5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5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5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5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5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5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5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5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5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5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5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5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5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5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5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5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5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5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5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5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5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5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5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5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5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5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5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5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5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5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5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5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5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5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5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5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5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5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5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5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5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5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5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5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5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5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5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5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5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5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5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5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5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5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5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5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5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5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5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5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5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5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5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5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5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5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5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5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5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5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5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5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5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5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5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5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5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5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5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5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5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5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5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5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5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5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5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5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5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5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5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5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5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5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5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5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5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5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5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5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5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5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5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5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5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5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5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5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5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5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5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5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5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5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5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5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5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5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5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5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5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5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5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5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5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5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5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5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5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5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5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5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5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5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5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5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5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5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5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5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5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5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5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5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5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5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5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5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5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5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5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5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5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5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5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5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5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5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5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5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5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5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5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5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5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5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5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5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5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5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5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5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5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5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5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5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5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5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5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5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5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5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5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5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5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5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5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5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5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5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5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5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5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5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5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5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5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5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5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5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5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5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5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5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5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5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5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5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5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5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5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5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5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5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5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5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5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5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5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5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5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5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5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5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5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5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5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5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5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5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5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5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5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5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5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5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5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5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5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5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5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5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5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5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5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5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5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5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5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5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5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5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5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5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5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5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5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5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5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5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5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5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5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5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5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5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5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5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5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5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5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5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5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5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5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5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5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5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5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5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5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5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5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5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5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5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5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5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5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5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5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5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5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5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5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5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5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5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5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5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5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5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5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5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5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5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5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5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5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5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5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5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5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5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5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5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5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5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5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5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5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5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5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5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5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5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5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5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5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5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5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5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5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5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5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5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5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5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5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5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5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5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5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5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5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5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5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5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5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5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5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5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5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5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5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5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5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5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5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5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5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5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5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5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5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5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5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5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5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5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5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5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5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5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5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5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5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5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5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5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5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5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5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5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5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5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5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5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5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5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5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5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5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5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5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5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5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5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5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5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5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5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5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5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5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5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5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5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5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5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5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5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5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5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5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5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5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5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5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5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5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5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5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5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5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5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5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5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5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5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5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5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5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5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5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5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5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5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5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5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5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5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5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5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5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5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5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5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5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5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5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5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5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5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5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5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5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5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5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5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5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5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5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5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5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5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5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5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5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5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5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5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5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5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5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5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5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5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5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5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5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5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5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5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5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5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5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5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5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5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5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5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5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5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5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5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5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5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5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5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5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5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5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5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5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5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5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5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5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5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5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5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5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5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5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5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5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5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5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5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5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5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5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5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5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5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5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5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5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5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5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5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5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5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5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5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5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5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5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5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5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5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5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5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5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5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5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5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5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5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5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5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5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5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5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5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5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5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5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5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5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5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5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5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5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5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5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5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5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5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5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5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5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5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5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5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5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5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5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5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5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5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5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5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5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5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5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5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5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5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5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5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5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5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5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5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5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5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5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5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5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5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5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5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5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5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5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5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5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5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5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5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5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5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5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5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5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5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5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5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5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5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5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5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5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5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5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5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5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5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5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5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5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5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5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5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5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5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5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5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5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5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5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5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5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5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5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5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5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5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5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5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5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5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5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5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5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5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5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5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5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5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5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5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5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5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5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5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5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5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5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5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5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5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5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5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5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5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5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5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5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5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5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5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5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5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5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5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5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5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5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5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5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5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5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5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5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5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5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5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5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5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5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5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5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5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5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5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5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5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5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5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5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5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5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5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5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5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5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5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5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5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5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5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5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5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5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5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5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5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5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5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5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5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5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5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5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5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5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5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5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5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5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5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5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5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5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5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5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5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5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5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5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5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5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5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5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5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5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5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5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5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5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5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5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5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5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5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5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5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5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5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5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5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5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5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5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5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5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5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5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5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5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5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5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5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5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5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5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5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5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5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5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5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5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5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5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5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5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5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5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5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5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5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5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5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5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5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5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5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5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5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5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5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5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5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5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5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5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5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5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5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5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5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5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5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5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5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5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5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5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5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5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5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5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5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5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5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5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5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5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5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5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5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5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5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5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5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5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5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5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5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5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5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5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5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5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5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5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5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5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5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5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5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5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5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5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5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5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5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5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5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5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5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5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5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5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5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5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5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5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5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5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5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5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5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5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5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5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5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5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5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5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5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5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5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5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5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5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5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5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5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5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5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5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5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5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5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5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5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5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5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5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5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5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5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5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5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5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5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5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5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5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5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5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5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5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5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5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5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5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5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5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5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5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5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5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5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5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5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5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5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5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5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5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5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5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5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5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5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5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5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5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5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5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5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5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5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5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5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5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5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5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5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5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5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5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5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5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5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5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5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5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5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5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5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5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5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5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5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5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5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5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5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5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5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5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5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5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5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5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5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5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5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5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5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5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5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5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5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5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5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5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5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5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5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5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5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5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5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5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5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5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5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5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5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5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5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5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5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5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5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5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5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5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5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5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5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5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5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5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5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5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5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5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5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5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5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5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5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5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5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5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5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5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5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5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5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5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5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5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5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5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5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5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5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5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5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5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5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5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5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5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5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5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5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5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5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5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5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5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5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5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5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5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5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5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5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5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5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5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5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5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5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5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5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5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5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5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5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5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5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5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5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5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5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5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5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5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5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5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5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5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5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5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5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5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5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5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5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5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5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5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5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5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5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5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5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5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5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5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5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5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5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5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5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5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5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5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5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5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5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5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5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5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5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5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5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5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5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5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5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5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5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5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5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5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5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5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5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5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5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5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5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5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5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5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5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5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5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5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5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5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5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5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5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5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5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5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5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5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5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5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5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5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5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5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5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5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5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5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5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5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5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5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5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5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5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5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5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5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5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5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5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5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5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5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5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5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5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5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5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5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5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5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5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5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5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5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5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5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5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5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5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5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5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5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5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5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5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5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5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5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5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5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5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5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5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5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5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5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5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5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5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5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5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5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5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5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5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5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5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5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5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5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5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5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5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5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5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5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5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5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5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5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5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5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5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5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5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5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5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5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5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5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5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5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5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5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5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5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5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5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5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5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5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5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5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5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5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5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5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5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5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5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5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5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5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5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5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5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5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5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5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5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5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5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5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5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5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5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5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5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5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5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5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5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5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5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5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5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5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5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5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5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5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5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5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5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5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5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5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5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5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5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5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5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5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5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5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5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5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5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5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5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5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5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5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5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5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5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5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5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5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5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5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5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5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5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5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5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5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5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5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5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5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5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5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5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5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5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5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5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5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5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5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5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5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5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5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5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5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5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5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5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5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5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5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5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5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5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5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5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5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5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5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5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5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5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5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5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5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5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5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5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5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5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5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5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5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5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5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5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5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5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5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5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5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5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5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5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5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5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5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5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5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5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5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5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5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5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5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5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5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5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5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5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5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5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5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5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5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5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5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5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5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5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5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5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5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5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5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5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5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5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5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5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5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5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5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5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5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5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5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5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5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5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5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5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5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5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5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5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5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5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5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5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5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5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5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5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5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5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5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5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5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5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5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5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5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5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5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5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5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5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5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5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5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5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5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5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5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5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5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5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5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5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5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5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5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5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5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5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5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5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5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5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5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5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5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5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5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5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5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5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5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5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5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5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5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5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5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5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5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5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5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5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5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5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5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5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5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5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5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5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5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5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5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5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5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5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5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5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5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5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5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5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5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5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5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5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5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5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5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5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5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5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5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5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5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5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5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5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5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5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5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5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5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5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5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5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5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5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5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5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5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5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5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5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5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5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5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5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5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5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5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5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5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5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5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5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5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5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5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5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5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5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5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5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5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5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5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5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5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5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5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5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5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5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5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5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5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5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5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5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5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5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5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5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5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5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5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5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5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5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5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5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5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5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5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5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5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5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5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5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5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5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5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5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5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5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5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5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5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5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5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5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5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5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5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5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5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5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5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5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5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5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5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5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5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5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5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5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5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5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5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5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5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5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5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5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5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5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5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5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5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5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5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5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5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5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5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5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5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5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5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5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5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5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5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5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5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5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5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5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5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5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5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5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5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5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5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5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5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5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5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5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5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5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5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5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5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5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5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5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5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5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5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5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5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5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5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5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5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5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5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5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5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5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5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5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5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5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5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5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5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5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5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5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5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5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5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5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5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5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5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5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5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5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5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5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5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5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5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5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5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5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5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5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5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5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5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5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5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5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5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5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5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5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5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5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5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5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5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5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5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5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5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5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5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5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5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5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5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5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5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5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5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5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5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5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5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5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5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5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5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5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5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5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5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5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5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5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5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5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5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5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5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5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5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5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5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5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5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5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5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5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5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5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5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5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5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5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5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5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5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5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5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5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5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5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5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5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5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5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5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5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5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5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5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5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5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5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5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5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5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5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5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5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5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5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5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5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5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5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5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5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5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5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5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5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5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5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5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5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5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5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5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5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5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5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5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5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5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5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5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5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5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5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5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5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5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5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5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5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5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5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5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5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5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5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5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5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5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5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5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5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5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5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5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5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5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5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5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5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5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5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5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5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5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5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5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5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5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5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5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5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5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5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5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5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5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5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5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5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5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5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5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5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5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5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5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5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5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5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5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5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5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5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5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5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5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5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5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5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5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5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5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5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5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5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5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5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5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5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5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5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5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5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5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5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5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5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5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5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5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5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5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5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5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5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5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5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5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5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5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5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5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5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5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5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5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5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5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5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5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5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5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5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5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5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5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5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5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5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5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5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5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5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5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5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5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5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5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5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5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5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5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5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5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5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5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5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5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5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5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5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5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5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5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5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5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5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5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5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5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5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5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5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5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5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5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5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5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5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5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5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5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5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5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5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5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5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5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5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5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5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5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5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5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5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5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5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5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5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5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5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5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5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5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5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5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5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5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5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5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5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5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5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5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5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5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5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5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5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5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5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5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5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5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5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5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5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5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5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5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5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5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5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5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5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5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5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5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5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5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5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5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5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5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5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5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5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5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5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5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5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5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5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5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5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5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5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5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5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5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5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5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5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5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5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5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5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5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5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5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5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5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5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5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5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5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5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5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5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5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5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5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5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5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5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5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5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5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5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5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5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5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5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5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5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5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5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5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5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5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5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5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5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5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5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5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5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5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5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5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5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5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5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5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5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5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5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5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5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5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5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5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5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5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5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5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5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5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5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5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5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5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5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5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5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5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5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5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5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5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5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5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5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5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5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5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5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5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5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5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5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5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5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5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5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5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5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5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5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5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5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5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5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5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5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5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5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5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5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5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5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5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5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5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5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5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5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5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5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5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5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5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5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5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5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5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5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5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5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5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5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5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5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5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5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5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5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5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5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5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5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5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5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5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5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5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5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5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5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5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5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5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5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5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5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5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5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5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5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5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5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5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5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5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5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5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5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5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5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5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5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5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5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5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5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5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5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5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5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5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5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5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5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5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5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5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5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5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5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5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5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5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5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5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5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5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5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5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5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5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5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5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5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5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5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5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5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5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5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5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5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5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5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5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5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5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5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5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5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5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5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5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5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5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5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5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5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5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5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5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5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5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5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5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5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5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5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5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5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5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5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5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5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5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5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5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5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5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5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5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5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5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5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5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5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5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5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5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5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5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5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5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5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5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5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5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5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5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5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5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5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5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5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5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5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5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5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5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5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5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5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5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5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5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5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5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5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5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5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5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5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5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5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5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5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5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5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5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5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5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5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5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5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5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5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5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5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5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5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5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5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5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5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5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5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5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5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5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5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5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5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5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5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5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5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5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5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5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5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5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5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5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5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5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5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5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5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5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5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5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5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5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5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5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5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5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5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5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5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5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5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5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5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5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5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5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5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5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5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5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5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5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5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5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5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5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5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5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5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5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5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5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5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5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5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5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5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5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5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5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5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5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5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5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5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5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5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5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5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5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5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5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5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5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5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5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5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5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5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5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5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5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5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5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5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5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5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5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5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5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5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5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5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5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5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5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5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5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5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5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5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5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5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5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5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5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5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5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5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5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5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5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5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5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5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5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5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5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5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5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5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5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5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5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5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5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5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5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5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5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5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5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5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5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5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5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5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5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5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5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5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5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5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5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5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5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5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5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5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5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5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5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5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5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5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5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5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5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5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5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5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5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5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5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5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5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5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5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5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5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5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5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5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5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5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5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5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5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5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5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5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5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5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5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5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5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5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5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5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5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5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5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5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5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5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5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5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5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5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5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5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5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5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5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5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5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5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5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5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5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5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5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5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5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5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5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5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5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5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5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5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5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5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5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5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5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5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5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5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5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5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5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5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5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5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5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5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5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5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5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5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5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5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5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5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5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5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5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5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5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5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5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5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5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5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5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5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5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5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5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5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5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5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5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5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5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5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5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5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5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5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5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5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5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5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5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5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5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5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5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5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5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5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5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5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5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5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5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5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5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5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5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5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5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5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5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5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5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5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5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5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5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5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5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5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5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5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5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5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5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5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5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5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5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5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5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5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5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5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5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5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5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5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5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5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5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5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5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5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5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5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5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5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5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5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5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5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5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5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5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5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5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5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5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5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5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5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5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5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5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5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5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5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5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5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5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5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5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5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5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5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5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5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5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5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5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5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5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5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5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5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5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5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5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5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5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5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5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5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5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5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5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5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5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5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5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5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5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5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5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5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5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5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5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5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5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5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5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5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5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5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5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5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5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5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5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5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5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5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5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5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5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5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5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5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5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5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5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5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5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5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5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5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5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5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5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5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5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5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5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5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5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5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5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5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5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5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5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5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5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5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5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5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5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5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5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5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5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5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5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5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5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5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5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5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5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5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5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5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5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5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5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5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5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5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5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5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5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5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5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5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5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5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5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5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5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5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5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5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5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5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5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5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5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5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5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5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5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5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5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5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5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5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5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5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5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5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5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5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5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5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5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5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5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5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5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5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5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5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5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5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5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5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5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5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5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5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5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5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5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5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5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5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5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5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5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5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5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5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5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5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5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5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5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5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5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5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5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5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5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5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5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5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5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5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5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5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5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5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5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5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5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5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5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5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5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5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5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5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5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5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5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5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5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5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5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5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5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5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5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5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5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5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5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5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5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5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5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5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5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5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5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5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5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5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5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5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5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5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5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5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5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5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5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5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5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5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5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5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5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5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5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5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5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5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5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5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5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5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5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5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5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5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5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5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5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5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5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5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5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5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5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5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5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5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5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5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5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5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5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5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5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5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5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5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5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5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5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5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5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5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5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5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5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5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5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5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5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5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5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5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5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5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5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5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5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5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5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5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5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5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5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5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5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5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5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5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5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5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5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5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5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5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5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5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5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5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5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5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5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5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5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5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5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5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5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5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5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5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5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5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5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5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5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5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5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5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5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5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5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5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5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5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5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5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5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5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5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5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5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5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5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5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5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5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5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5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5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5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5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5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5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5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5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5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5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5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5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5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5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5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5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5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5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5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5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5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5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5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5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5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5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5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5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5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5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5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5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5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5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5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5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5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5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5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5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5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5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5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5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5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5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5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5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5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5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5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5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5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5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5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5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5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5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5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5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5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5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5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5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5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5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5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5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5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5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5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5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5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5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5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5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5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5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5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5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5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5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5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5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5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5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5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5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5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5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5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5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5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5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5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5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5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5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25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25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25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25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25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25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25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25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25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25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25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25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25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25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25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25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25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25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25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25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25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25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25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25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25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25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25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25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25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25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25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25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25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25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25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25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25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25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25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25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25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25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25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25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25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25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25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25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25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25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25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25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25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25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25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25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25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25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25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25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25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25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25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25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25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25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25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25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25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25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25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25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25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25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25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25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25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25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25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25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25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25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25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25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25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25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25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25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25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25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25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25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25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25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25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25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25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25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25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25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25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25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25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25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25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25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25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25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25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25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25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25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25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25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25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25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25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25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25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25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25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25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25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25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25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25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25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25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25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25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25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25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25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25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25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25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25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25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25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25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25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25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25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25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25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25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25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25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25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25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25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25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25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25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25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25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25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25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25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25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25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25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25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25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25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25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25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25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25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25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25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25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25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25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25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25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25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25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25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25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25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25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25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25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25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25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25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25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25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25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25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25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25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25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25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25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25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25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25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25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25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25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25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25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25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25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25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25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25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25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25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25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25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25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25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25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25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25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25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25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25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25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25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25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25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25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25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25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25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25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25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25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25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25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25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25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25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25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25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25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25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25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25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25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25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25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25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25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25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25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25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25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25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25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25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25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25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25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25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25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25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25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25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25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25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25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25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25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25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25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25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25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25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25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25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25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25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25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25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25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25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25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25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25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25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25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25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25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25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25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25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25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25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25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25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25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25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25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25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25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25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25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25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25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25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25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25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25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25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25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25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25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25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25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25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25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25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25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25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25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25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25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25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25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25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25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25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25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25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25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25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25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25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25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25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25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25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25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25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25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25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25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25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25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25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25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25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25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25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25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25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25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25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25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25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25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25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25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25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25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25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25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25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25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25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25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25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25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25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25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25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25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25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25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25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25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25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25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25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25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25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25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25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25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25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25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25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25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25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25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25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25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25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25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25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25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25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25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25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25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25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25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25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25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25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25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25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25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25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25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25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25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25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25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25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25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25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25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25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25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25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25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25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25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25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25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25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25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25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25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25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25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25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25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25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25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25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25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25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25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25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25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25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25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25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25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25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25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25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25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25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25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25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25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25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25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25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25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25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25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25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25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25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25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25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25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25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25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25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25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25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25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25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25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25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25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25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25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25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25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25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25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25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25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25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25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25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25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25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25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25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25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25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25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25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25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25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25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25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25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25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25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25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25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25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25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25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25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25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25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25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25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25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25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25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25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25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25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25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25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25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25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25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25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25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25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25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25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25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sheetProtection sheet="1" objects="1" scenarios="1" selectLockedCells="1"/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A9EC-300D-437F-84FD-D93CD62FC4EC}">
  <dimension ref="A1:AK36"/>
  <sheetViews>
    <sheetView zoomScaleNormal="100" workbookViewId="0">
      <selection activeCell="D37" sqref="D37"/>
    </sheetView>
  </sheetViews>
  <sheetFormatPr defaultRowHeight="15" x14ac:dyDescent="0.25"/>
  <cols>
    <col min="1" max="1" width="15.7109375" bestFit="1" customWidth="1"/>
    <col min="2" max="2" width="11.42578125" bestFit="1" customWidth="1"/>
    <col min="4" max="4" width="14.42578125" bestFit="1" customWidth="1"/>
    <col min="9" max="9" width="8.42578125" bestFit="1" customWidth="1"/>
    <col min="13" max="13" width="20.7109375" bestFit="1" customWidth="1"/>
    <col min="15" max="15" width="12.140625" bestFit="1" customWidth="1"/>
    <col min="20" max="20" width="12.85546875" bestFit="1" customWidth="1"/>
    <col min="21" max="21" width="12.85546875" customWidth="1"/>
    <col min="27" max="27" width="16.42578125" bestFit="1" customWidth="1"/>
    <col min="29" max="29" width="12.28515625" bestFit="1" customWidth="1"/>
    <col min="35" max="35" width="15.85546875" bestFit="1" customWidth="1"/>
  </cols>
  <sheetData>
    <row r="1" spans="1:37" x14ac:dyDescent="0.25">
      <c r="A1" s="6" t="s">
        <v>75</v>
      </c>
      <c r="B1" s="7"/>
      <c r="D1" s="12" t="s">
        <v>82</v>
      </c>
      <c r="E1" s="13"/>
      <c r="G1" s="12" t="s">
        <v>89</v>
      </c>
      <c r="H1" s="12"/>
      <c r="I1" s="13"/>
      <c r="J1" s="12"/>
      <c r="K1" s="12"/>
      <c r="M1" s="12" t="s">
        <v>100</v>
      </c>
      <c r="N1" s="12"/>
      <c r="O1" s="12"/>
      <c r="P1" s="12"/>
      <c r="Q1" s="12"/>
      <c r="S1" s="12" t="s">
        <v>104</v>
      </c>
      <c r="T1" s="12"/>
      <c r="U1" s="12"/>
      <c r="V1" s="12"/>
      <c r="W1" s="12"/>
      <c r="X1" s="12"/>
      <c r="Y1" s="12"/>
      <c r="AA1" s="12" t="s">
        <v>105</v>
      </c>
      <c r="AB1" s="12"/>
      <c r="AC1" s="12"/>
      <c r="AD1" s="12"/>
      <c r="AE1" s="12"/>
      <c r="AF1" s="12"/>
      <c r="AH1" s="12" t="s">
        <v>110</v>
      </c>
      <c r="AI1" s="12"/>
      <c r="AJ1" s="12"/>
      <c r="AK1" s="12"/>
    </row>
    <row r="2" spans="1:37" x14ac:dyDescent="0.25">
      <c r="A2" s="8" t="s">
        <v>52</v>
      </c>
      <c r="B2" s="8" t="s">
        <v>76</v>
      </c>
      <c r="D2" s="9" t="s">
        <v>83</v>
      </c>
      <c r="E2" s="14">
        <f>SUMIFS(Data[Revenue],Data[Region],Region,Data[Month],CurMonth,Data[Year],CurYear)</f>
        <v>44041.12999999999</v>
      </c>
      <c r="G2" s="17" t="s">
        <v>90</v>
      </c>
      <c r="H2" s="17" t="s">
        <v>49</v>
      </c>
      <c r="I2" s="17">
        <f>PrevYear</f>
        <v>2020</v>
      </c>
      <c r="J2" s="17">
        <f>CurYear</f>
        <v>2021</v>
      </c>
      <c r="K2" s="17" t="s">
        <v>76</v>
      </c>
      <c r="M2" s="17" t="s">
        <v>63</v>
      </c>
      <c r="N2" s="17" t="s">
        <v>46</v>
      </c>
      <c r="O2" s="17" t="s">
        <v>101</v>
      </c>
      <c r="P2" s="17" t="s">
        <v>102</v>
      </c>
      <c r="Q2" s="17" t="s">
        <v>103</v>
      </c>
      <c r="S2" s="17" t="s">
        <v>103</v>
      </c>
      <c r="T2" s="17" t="s">
        <v>63</v>
      </c>
      <c r="U2" s="17" t="s">
        <v>52</v>
      </c>
      <c r="V2" s="17" t="s">
        <v>46</v>
      </c>
      <c r="W2" s="17" t="s">
        <v>102</v>
      </c>
      <c r="X2" s="17" t="s">
        <v>76</v>
      </c>
      <c r="Y2" s="17" t="s">
        <v>76</v>
      </c>
      <c r="AA2" s="17" t="s">
        <v>106</v>
      </c>
      <c r="AB2" s="17" t="s">
        <v>46</v>
      </c>
      <c r="AC2" s="17" t="s">
        <v>101</v>
      </c>
      <c r="AD2" s="17" t="s">
        <v>107</v>
      </c>
      <c r="AE2" s="17" t="s">
        <v>108</v>
      </c>
      <c r="AF2" s="17" t="s">
        <v>109</v>
      </c>
      <c r="AH2" s="17" t="s">
        <v>103</v>
      </c>
      <c r="AI2" s="17" t="s">
        <v>106</v>
      </c>
      <c r="AJ2" s="17" t="s">
        <v>46</v>
      </c>
      <c r="AK2" s="17" t="s">
        <v>107</v>
      </c>
    </row>
    <row r="3" spans="1:37" x14ac:dyDescent="0.25">
      <c r="A3" t="s">
        <v>4</v>
      </c>
      <c r="B3" t="str">
        <f>Dashboard!C6</f>
        <v>Los Angeles</v>
      </c>
      <c r="D3" s="9" t="s">
        <v>84</v>
      </c>
      <c r="E3" s="14">
        <f>SUMIFS(Data[Revenue],Data[Region],Region,Data[Month],CurMonth,Data[Year],PrevYear)</f>
        <v>34881.53</v>
      </c>
      <c r="G3">
        <v>1</v>
      </c>
      <c r="H3" t="s">
        <v>92</v>
      </c>
      <c r="I3" s="16">
        <f>SUMIFS(Data[[Revenue]:[Revenue]],Data[[Region]:[Region]],Region,Data[[Month]:[Month]],'Data Prep'!$G3,Data[[Year]:[Year]],'Data Prep'!I$2)</f>
        <v>37135.47</v>
      </c>
      <c r="J3" s="16">
        <f>IF(G3&gt;CurMonth,NA(),SUMIFS(Data[[Revenue]:[Revenue]],Data[[Region]:[Region]],Region,Data[[Month]:[Month]],'Data Prep'!$G3,Data[[Year]:[Year]],'Data Prep'!J$2))</f>
        <v>51959.660000000011</v>
      </c>
      <c r="K3" s="16" t="e">
        <f t="shared" ref="K3:K14" si="0">IF(G3=CurMonth,J3,NA())</f>
        <v>#N/A</v>
      </c>
      <c r="M3" t="s">
        <v>59</v>
      </c>
      <c r="N3" s="16">
        <f>SUMIFS(Data[Revenue],Data[Store Name],$M3,Data[Month],CurMonth,Data[Year],CurYear)</f>
        <v>10103.540000000001</v>
      </c>
      <c r="O3" s="16">
        <f>SUMIFS(Data[Revenue],Data[Store Name],$M3,Data[Month],PrevMonth,Data[Year],PMYear)</f>
        <v>7938.76</v>
      </c>
      <c r="P3" s="18">
        <f t="shared" ref="P3:P12" si="1">($N3/$O3)-1</f>
        <v>0.27268490293194403</v>
      </c>
      <c r="Q3">
        <f>_xlfn.RANK.AVG(N3,$N$3:$N$12,1)</f>
        <v>2</v>
      </c>
      <c r="S3">
        <v>1</v>
      </c>
      <c r="T3" t="str">
        <f t="shared" ref="T3:T12" si="2">INDEX($M$3:$P$12,MATCH($S3,$Q$3:$Q$12,0),MATCH(T$2,$M$2:$P$2,0))</f>
        <v>Michigan Ave</v>
      </c>
      <c r="U3" t="str">
        <f>VLOOKUP(T3,Data[[Store Name]:[Region]],2,0)</f>
        <v>Chicago</v>
      </c>
      <c r="V3" s="16">
        <f t="shared" ref="V3:W12" si="3">INDEX($M$3:$P$12,MATCH($S3,$Q$3:$Q$12,0),MATCH(V$2,$M$2:$P$2,0))</f>
        <v>7721.8800000000019</v>
      </c>
      <c r="W3" s="18">
        <f t="shared" si="3"/>
        <v>-0.23788412342481746</v>
      </c>
      <c r="X3" s="16">
        <f t="shared" ref="X3:X12" si="4">IF($U3=Region,V3,0)</f>
        <v>0</v>
      </c>
      <c r="Y3" s="18">
        <f t="shared" ref="Y3:Y12" si="5">IF($U3=Region,W3,0)</f>
        <v>0</v>
      </c>
      <c r="AA3" t="s">
        <v>13</v>
      </c>
      <c r="AB3" s="16">
        <f>SUMIFS(Data[Revenue],Data[Region],Region,Data[Month],CurMonth,Data[Year],CurYear,Data[Product Name],'Data Prep'!$AA3)</f>
        <v>1662.96</v>
      </c>
      <c r="AC3" s="16">
        <f>SUMIFS(Data[Revenue],Data[Region],Region,Data[Month],PrevMonth,Data[Year],PMYear,Data[Product Name],'Data Prep'!$AA3)</f>
        <v>1087.3200000000002</v>
      </c>
      <c r="AD3" s="11">
        <f>AB3-AC3</f>
        <v>575.63999999999987</v>
      </c>
      <c r="AE3">
        <f>_xlfn.RANK.AVG(AD3,$AD$3:$AD$36,0)</f>
        <v>4</v>
      </c>
      <c r="AF3">
        <f>_xlfn.RANK.AVG(AD3,$AD$3:$AD$36,1)</f>
        <v>31</v>
      </c>
      <c r="AH3">
        <v>1</v>
      </c>
      <c r="AI3" t="str">
        <f>INDEX($AA$3:$AD$36,MATCH($AH3,$AE$3:$AE$36,0),MATCH(AI$2,$AA$2:$AD$2,0))</f>
        <v>Magic Sand</v>
      </c>
      <c r="AJ3" s="16">
        <f t="shared" ref="AJ3:AK3" si="6">INDEX($AA$3:$AD$36,MATCH($AH3,$AE$3:$AE$36,0),MATCH(AJ$2,$AA$2:$AD$2,0))</f>
        <v>6523.92</v>
      </c>
      <c r="AK3" s="11">
        <f t="shared" si="6"/>
        <v>3293.9400000000005</v>
      </c>
    </row>
    <row r="4" spans="1:37" x14ac:dyDescent="0.25">
      <c r="A4" t="s">
        <v>5</v>
      </c>
      <c r="D4" s="9" t="s">
        <v>85</v>
      </c>
      <c r="E4" s="14">
        <f>SUMIFS(Data[Revenue],Data[Region],Region,Data[Month],PrevMonth,Data[Year],PMYear)</f>
        <v>41270.179999999986</v>
      </c>
      <c r="G4">
        <v>2</v>
      </c>
      <c r="H4" t="s">
        <v>93</v>
      </c>
      <c r="I4" s="16">
        <f>SUMIFS(Data[[Revenue]:[Revenue]],Data[[Region]:[Region]],Region,Data[[Month]:[Month]],'Data Prep'!$G4,Data[[Year]:[Year]],'Data Prep'!I$2)</f>
        <v>31324.390000000007</v>
      </c>
      <c r="J4" s="16">
        <f>IF(G4&gt;CurMonth,NA(),SUMIFS(Data[[Revenue]:[Revenue]],Data[[Region]:[Region]],Region,Data[[Month]:[Month]],'Data Prep'!$G4,Data[[Year]:[Year]],'Data Prep'!J$2))</f>
        <v>53726.850000000006</v>
      </c>
      <c r="K4" s="16" t="e">
        <f t="shared" si="0"/>
        <v>#N/A</v>
      </c>
      <c r="M4" t="s">
        <v>56</v>
      </c>
      <c r="N4" s="16">
        <f>SUMIFS(Data[Revenue],Data[Store Name],$M4,Data[Month],CurMonth,Data[Year],CurYear)</f>
        <v>15765.830000000002</v>
      </c>
      <c r="O4" s="16">
        <f>SUMIFS(Data[Revenue],Data[Store Name],$M4,Data[Month],PrevMonth,Data[Year],PMYear)</f>
        <v>11411.519999999999</v>
      </c>
      <c r="P4" s="18">
        <f t="shared" si="1"/>
        <v>0.38157142957292312</v>
      </c>
      <c r="Q4">
        <f t="shared" ref="Q4:Q12" si="7">_xlfn.RANK.AVG(N4,$N$3:$N$12,1)</f>
        <v>4</v>
      </c>
      <c r="S4">
        <v>2</v>
      </c>
      <c r="T4" t="str">
        <f t="shared" si="2"/>
        <v>Hollywood</v>
      </c>
      <c r="U4" t="str">
        <f>VLOOKUP(T4,Data[[Store Name]:[Region]],2,0)</f>
        <v>Los Angeles</v>
      </c>
      <c r="V4" s="16">
        <f t="shared" si="3"/>
        <v>10103.540000000001</v>
      </c>
      <c r="W4" s="18">
        <f t="shared" si="3"/>
        <v>0.27268490293194403</v>
      </c>
      <c r="X4" s="16">
        <f t="shared" si="4"/>
        <v>10103.540000000001</v>
      </c>
      <c r="Y4" s="18">
        <f t="shared" si="5"/>
        <v>0.27268490293194403</v>
      </c>
      <c r="AA4" t="s">
        <v>24</v>
      </c>
      <c r="AB4" s="16">
        <f>SUMIFS(Data[Revenue],Data[Region],Region,Data[Month],CurMonth,Data[Year],CurYear,Data[Product Name],'Data Prep'!$AA4)</f>
        <v>1675.71</v>
      </c>
      <c r="AC4" s="16">
        <f>SUMIFS(Data[Revenue],Data[Region],Region,Data[Month],PrevMonth,Data[Year],PMYear,Data[Product Name],'Data Prep'!$AA4)</f>
        <v>2805.84</v>
      </c>
      <c r="AD4" s="11">
        <f t="shared" ref="AD4:AD36" si="8">AB4-AC4</f>
        <v>-1130.1300000000001</v>
      </c>
      <c r="AE4">
        <f t="shared" ref="AE4:AE36" si="9">_xlfn.RANK.AVG(AD4,$AD$3:$AD$36,0)</f>
        <v>32</v>
      </c>
      <c r="AF4">
        <f t="shared" ref="AF4:AF36" si="10">_xlfn.RANK.AVG(AD4,$AD$3:$AD$36,1)</f>
        <v>3</v>
      </c>
      <c r="AH4">
        <v>2</v>
      </c>
      <c r="AI4" t="str">
        <f t="shared" ref="AI4:AK8" si="11">INDEX($AA$3:$AD$36,MATCH($AH4,$AE$3:$AE$36,0),MATCH(AI$2,$AA$2:$AD$2,0))</f>
        <v>Toy Robot</v>
      </c>
      <c r="AJ4" s="16">
        <f t="shared" si="11"/>
        <v>1533.4099999999999</v>
      </c>
      <c r="AK4" s="11">
        <f t="shared" si="11"/>
        <v>1533.4099999999999</v>
      </c>
    </row>
    <row r="5" spans="1:37" x14ac:dyDescent="0.25">
      <c r="A5" t="s">
        <v>48</v>
      </c>
      <c r="D5" s="9" t="s">
        <v>87</v>
      </c>
      <c r="E5" s="15">
        <f>(E2/E3)-1</f>
        <v>0.26259169250890069</v>
      </c>
      <c r="G5">
        <v>3</v>
      </c>
      <c r="H5" t="s">
        <v>94</v>
      </c>
      <c r="I5" s="16">
        <f>SUMIFS(Data[[Revenue]:[Revenue]],Data[[Region]:[Region]],Region,Data[[Month]:[Month]],'Data Prep'!$G5,Data[[Year]:[Year]],'Data Prep'!I$2)</f>
        <v>38310.149999999987</v>
      </c>
      <c r="J5" s="16">
        <f>IF(G5&gt;CurMonth,NA(),SUMIFS(Data[[Revenue]:[Revenue]],Data[[Region]:[Region]],Region,Data[[Month]:[Month]],'Data Prep'!$G5,Data[[Year]:[Year]],'Data Prep'!J$2))</f>
        <v>53604.229999999989</v>
      </c>
      <c r="K5" s="16" t="e">
        <f t="shared" si="0"/>
        <v>#N/A</v>
      </c>
      <c r="M5" t="s">
        <v>54</v>
      </c>
      <c r="N5" s="16">
        <f>SUMIFS(Data[Revenue],Data[Store Name],$M5,Data[Month],CurMonth,Data[Year],CurYear)</f>
        <v>7721.8800000000019</v>
      </c>
      <c r="O5" s="16">
        <f>SUMIFS(Data[Revenue],Data[Store Name],$M5,Data[Month],PrevMonth,Data[Year],PMYear)</f>
        <v>10132.16</v>
      </c>
      <c r="P5" s="18">
        <f t="shared" si="1"/>
        <v>-0.23788412342481746</v>
      </c>
      <c r="Q5">
        <f t="shared" si="7"/>
        <v>1</v>
      </c>
      <c r="S5">
        <v>3</v>
      </c>
      <c r="T5" t="str">
        <f t="shared" si="2"/>
        <v>JFK</v>
      </c>
      <c r="U5" t="str">
        <f>VLOOKUP(T5,Data[[Store Name]:[Region]],2,0)</f>
        <v>New York</v>
      </c>
      <c r="V5" s="16">
        <f t="shared" si="3"/>
        <v>13879.13</v>
      </c>
      <c r="W5" s="18">
        <f t="shared" si="3"/>
        <v>5.7257752439920262E-2</v>
      </c>
      <c r="X5" s="16">
        <f t="shared" si="4"/>
        <v>0</v>
      </c>
      <c r="Y5" s="18">
        <f t="shared" si="5"/>
        <v>0</v>
      </c>
      <c r="AA5" t="s">
        <v>18</v>
      </c>
      <c r="AB5" s="16">
        <f>SUMIFS(Data[Revenue],Data[Region],Region,Data[Month],CurMonth,Data[Year],CurYear,Data[Product Name],'Data Prep'!$AA5)</f>
        <v>233.82</v>
      </c>
      <c r="AC5" s="16">
        <f>SUMIFS(Data[Revenue],Data[Region],Region,Data[Month],PrevMonth,Data[Year],PMYear,Data[Product Name],'Data Prep'!$AA5)</f>
        <v>0</v>
      </c>
      <c r="AD5" s="11">
        <f t="shared" si="8"/>
        <v>233.82</v>
      </c>
      <c r="AE5">
        <f t="shared" si="9"/>
        <v>10</v>
      </c>
      <c r="AF5">
        <f t="shared" si="10"/>
        <v>25</v>
      </c>
      <c r="AH5">
        <v>3</v>
      </c>
      <c r="AI5" t="str">
        <f t="shared" si="11"/>
        <v>Glass Marbles</v>
      </c>
      <c r="AJ5" s="16">
        <f t="shared" si="11"/>
        <v>1329.79</v>
      </c>
      <c r="AK5" s="11">
        <f t="shared" si="11"/>
        <v>615.44000000000005</v>
      </c>
    </row>
    <row r="6" spans="1:37" x14ac:dyDescent="0.25">
      <c r="D6" s="9" t="s">
        <v>88</v>
      </c>
      <c r="E6" s="15">
        <f>(E2/E4)-1</f>
        <v>6.7141698921594273E-2</v>
      </c>
      <c r="G6">
        <v>4</v>
      </c>
      <c r="H6" t="s">
        <v>95</v>
      </c>
      <c r="I6" s="16">
        <f>SUMIFS(Data[[Revenue]:[Revenue]],Data[[Region]:[Region]],Region,Data[[Month]:[Month]],'Data Prep'!$G6,Data[[Year]:[Year]],'Data Prep'!I$2)</f>
        <v>43124.819999999992</v>
      </c>
      <c r="J6" s="16">
        <f>IF(G6&gt;CurMonth,NA(),SUMIFS(Data[[Revenue]:[Revenue]],Data[[Region]:[Region]],Region,Data[[Month]:[Month]],'Data Prep'!$G6,Data[[Year]:[Year]],'Data Prep'!J$2))</f>
        <v>50597.080000000009</v>
      </c>
      <c r="K6" s="16" t="e">
        <f t="shared" si="0"/>
        <v>#N/A</v>
      </c>
      <c r="M6" t="s">
        <v>55</v>
      </c>
      <c r="N6" s="16">
        <f>SUMIFS(Data[Revenue],Data[Store Name],$M6,Data[Month],CurMonth,Data[Year],CurYear)</f>
        <v>18238.46</v>
      </c>
      <c r="O6" s="16">
        <f>SUMIFS(Data[Revenue],Data[Store Name],$M6,Data[Month],PrevMonth,Data[Year],PMYear)</f>
        <v>15332.379999999996</v>
      </c>
      <c r="P6" s="18">
        <f t="shared" si="1"/>
        <v>0.18953874088693379</v>
      </c>
      <c r="Q6">
        <f t="shared" si="7"/>
        <v>9</v>
      </c>
      <c r="S6">
        <v>4</v>
      </c>
      <c r="T6" t="str">
        <f t="shared" si="2"/>
        <v>Beverly Hills</v>
      </c>
      <c r="U6" t="str">
        <f>VLOOKUP(T6,Data[[Store Name]:[Region]],2,0)</f>
        <v>Los Angeles</v>
      </c>
      <c r="V6" s="16">
        <f t="shared" si="3"/>
        <v>15765.830000000002</v>
      </c>
      <c r="W6" s="18">
        <f t="shared" si="3"/>
        <v>0.38157142957292312</v>
      </c>
      <c r="X6" s="16">
        <f t="shared" si="4"/>
        <v>15765.830000000002</v>
      </c>
      <c r="Y6" s="18">
        <f t="shared" si="5"/>
        <v>0.38157142957292312</v>
      </c>
      <c r="AA6" t="s">
        <v>30</v>
      </c>
      <c r="AB6" s="16">
        <f>SUMIFS(Data[Revenue],Data[Region],Region,Data[Month],CurMonth,Data[Year],CurYear,Data[Product Name],'Data Prep'!$AA6)</f>
        <v>249.75</v>
      </c>
      <c r="AC6" s="16">
        <f>SUMIFS(Data[Revenue],Data[Region],Region,Data[Month],PrevMonth,Data[Year],PMYear,Data[Product Name],'Data Prep'!$AA6)</f>
        <v>0</v>
      </c>
      <c r="AD6" s="11">
        <f t="shared" si="8"/>
        <v>249.75</v>
      </c>
      <c r="AE6">
        <f t="shared" si="9"/>
        <v>9</v>
      </c>
      <c r="AF6">
        <f t="shared" si="10"/>
        <v>26</v>
      </c>
      <c r="AH6">
        <v>4</v>
      </c>
      <c r="AI6" t="str">
        <f t="shared" si="11"/>
        <v>Action Figure</v>
      </c>
      <c r="AJ6" s="16">
        <f t="shared" si="11"/>
        <v>1662.96</v>
      </c>
      <c r="AK6" s="11">
        <f t="shared" si="11"/>
        <v>575.63999999999987</v>
      </c>
    </row>
    <row r="7" spans="1:37" x14ac:dyDescent="0.25">
      <c r="A7" s="6" t="s">
        <v>77</v>
      </c>
      <c r="B7" s="7"/>
      <c r="G7">
        <v>5</v>
      </c>
      <c r="H7" t="s">
        <v>94</v>
      </c>
      <c r="I7" s="16">
        <f>SUMIFS(Data[[Revenue]:[Revenue]],Data[[Region]:[Region]],Region,Data[[Month]:[Month]],'Data Prep'!$G7,Data[[Year]:[Year]],'Data Prep'!I$2)</f>
        <v>48602.219999999994</v>
      </c>
      <c r="J7" s="16">
        <f>IF(G7&gt;CurMonth,NA(),SUMIFS(Data[[Revenue]:[Revenue]],Data[[Region]:[Region]],Region,Data[[Month]:[Month]],'Data Prep'!$G7,Data[[Year]:[Year]],'Data Prep'!J$2))</f>
        <v>66944.169999999984</v>
      </c>
      <c r="K7" s="16" t="e">
        <f t="shared" si="0"/>
        <v>#N/A</v>
      </c>
      <c r="M7" t="s">
        <v>53</v>
      </c>
      <c r="N7" s="16">
        <f>SUMIFS(Data[Revenue],Data[Store Name],$M7,Data[Month],CurMonth,Data[Year],CurYear)</f>
        <v>17505.330000000002</v>
      </c>
      <c r="O7" s="16">
        <f>SUMIFS(Data[Revenue],Data[Store Name],$M7,Data[Month],PrevMonth,Data[Year],PMYear)</f>
        <v>17049.52</v>
      </c>
      <c r="P7" s="18">
        <f t="shared" si="1"/>
        <v>2.6734476982343214E-2</v>
      </c>
      <c r="Q7">
        <f t="shared" si="7"/>
        <v>6</v>
      </c>
      <c r="S7">
        <v>5</v>
      </c>
      <c r="T7" t="str">
        <f t="shared" si="2"/>
        <v>Fifth Avenue</v>
      </c>
      <c r="U7" t="str">
        <f>VLOOKUP(T7,Data[[Store Name]:[Region]],2,0)</f>
        <v>New York</v>
      </c>
      <c r="V7" s="16">
        <f t="shared" si="3"/>
        <v>16255.230000000001</v>
      </c>
      <c r="W7" s="18">
        <f t="shared" si="3"/>
        <v>-0.13607835613264074</v>
      </c>
      <c r="X7" s="16">
        <f t="shared" si="4"/>
        <v>0</v>
      </c>
      <c r="Y7" s="18">
        <f t="shared" si="5"/>
        <v>0</v>
      </c>
      <c r="AA7" t="s">
        <v>20</v>
      </c>
      <c r="AB7" s="16">
        <f>SUMIFS(Data[Revenue],Data[Region],Region,Data[Month],CurMonth,Data[Year],CurYear,Data[Product Name],'Data Prep'!$AA7)</f>
        <v>4467.0200000000004</v>
      </c>
      <c r="AC7" s="16">
        <f>SUMIFS(Data[Revenue],Data[Region],Region,Data[Month],PrevMonth,Data[Year],PMYear,Data[Product Name],'Data Prep'!$AA7)</f>
        <v>4377.08</v>
      </c>
      <c r="AD7" s="11">
        <f t="shared" si="8"/>
        <v>89.940000000000509</v>
      </c>
      <c r="AE7">
        <f t="shared" si="9"/>
        <v>13</v>
      </c>
      <c r="AF7">
        <f t="shared" si="10"/>
        <v>22</v>
      </c>
      <c r="AH7">
        <v>5</v>
      </c>
      <c r="AI7" t="str">
        <f t="shared" si="11"/>
        <v>Splash Balls</v>
      </c>
      <c r="AJ7" s="16">
        <f t="shared" si="11"/>
        <v>836.07</v>
      </c>
      <c r="AK7" s="11">
        <f t="shared" si="11"/>
        <v>440.51000000000005</v>
      </c>
    </row>
    <row r="8" spans="1:37" x14ac:dyDescent="0.25">
      <c r="A8" s="9" t="s">
        <v>78</v>
      </c>
      <c r="B8" s="10">
        <f>MAX(Data[Year])</f>
        <v>2021</v>
      </c>
      <c r="G8">
        <v>6</v>
      </c>
      <c r="H8" t="s">
        <v>92</v>
      </c>
      <c r="I8" s="16">
        <f>SUMIFS(Data[[Revenue]:[Revenue]],Data[[Region]:[Region]],Region,Data[[Month]:[Month]],'Data Prep'!$G8,Data[[Year]:[Year]],'Data Prep'!I$2)</f>
        <v>42487.139999999992</v>
      </c>
      <c r="J8" s="16">
        <f>IF(G8&gt;CurMonth,NA(),SUMIFS(Data[[Revenue]:[Revenue]],Data[[Region]:[Region]],Region,Data[[Month]:[Month]],'Data Prep'!$G8,Data[[Year]:[Year]],'Data Prep'!J$2))</f>
        <v>46196.220000000008</v>
      </c>
      <c r="K8" s="16" t="e">
        <f t="shared" si="0"/>
        <v>#N/A</v>
      </c>
      <c r="M8" t="s">
        <v>58</v>
      </c>
      <c r="N8" s="16">
        <f>SUMIFS(Data[Revenue],Data[Store Name],$M8,Data[Month],CurMonth,Data[Year],CurYear)</f>
        <v>16255.230000000001</v>
      </c>
      <c r="O8" s="16">
        <f>SUMIFS(Data[Revenue],Data[Store Name],$M8,Data[Month],PrevMonth,Data[Year],PMYear)</f>
        <v>18815.63</v>
      </c>
      <c r="P8" s="18">
        <f t="shared" si="1"/>
        <v>-0.13607835613264074</v>
      </c>
      <c r="Q8">
        <f t="shared" si="7"/>
        <v>5</v>
      </c>
      <c r="S8">
        <v>6</v>
      </c>
      <c r="T8" t="str">
        <f t="shared" si="2"/>
        <v>Lincoln Park</v>
      </c>
      <c r="U8" t="str">
        <f>VLOOKUP(T8,Data[[Store Name]:[Region]],2,0)</f>
        <v>Chicago</v>
      </c>
      <c r="V8" s="16">
        <f t="shared" si="3"/>
        <v>17505.330000000002</v>
      </c>
      <c r="W8" s="18">
        <f t="shared" si="3"/>
        <v>2.6734476982343214E-2</v>
      </c>
      <c r="X8" s="16">
        <f t="shared" si="4"/>
        <v>0</v>
      </c>
      <c r="Y8" s="18">
        <f t="shared" si="5"/>
        <v>0</v>
      </c>
      <c r="AA8" t="s">
        <v>25</v>
      </c>
      <c r="AB8" s="16">
        <f>SUMIFS(Data[Revenue],Data[Region],Region,Data[Month],CurMonth,Data[Year],CurYear,Data[Product Name],'Data Prep'!$AA8)</f>
        <v>575.64</v>
      </c>
      <c r="AC8" s="16">
        <f>SUMIFS(Data[Revenue],Data[Region],Region,Data[Month],PrevMonth,Data[Year],PMYear,Data[Product Name],'Data Prep'!$AA8)</f>
        <v>1263.21</v>
      </c>
      <c r="AD8" s="11">
        <f t="shared" si="8"/>
        <v>-687.57</v>
      </c>
      <c r="AE8">
        <f t="shared" si="9"/>
        <v>31</v>
      </c>
      <c r="AF8">
        <f t="shared" si="10"/>
        <v>4</v>
      </c>
      <c r="AH8">
        <v>6</v>
      </c>
      <c r="AI8" t="str">
        <f t="shared" si="11"/>
        <v>PlayDoh Toolkit</v>
      </c>
      <c r="AJ8" s="16">
        <f t="shared" si="11"/>
        <v>469.06</v>
      </c>
      <c r="AK8" s="11">
        <f t="shared" si="11"/>
        <v>439.12</v>
      </c>
    </row>
    <row r="9" spans="1:37" x14ac:dyDescent="0.25">
      <c r="A9" s="9" t="s">
        <v>79</v>
      </c>
      <c r="B9" s="10">
        <f>_xlfn.MAXIFS(Data[Month],Data[Year],CurYear)</f>
        <v>9</v>
      </c>
      <c r="G9">
        <v>7</v>
      </c>
      <c r="H9" t="s">
        <v>92</v>
      </c>
      <c r="I9" s="16">
        <f>SUMIFS(Data[[Revenue]:[Revenue]],Data[[Region]:[Region]],Region,Data[[Month]:[Month]],'Data Prep'!$G9,Data[[Year]:[Year]],'Data Prep'!I$2)</f>
        <v>44643.76</v>
      </c>
      <c r="J9" s="16">
        <f>IF(G9&gt;CurMonth,NA(),SUMIFS(Data[[Revenue]:[Revenue]],Data[[Region]:[Region]],Region,Data[[Month]:[Month]],'Data Prep'!$G9,Data[[Year]:[Year]],'Data Prep'!J$2))</f>
        <v>59782.98000000001</v>
      </c>
      <c r="K9" s="16" t="e">
        <f t="shared" si="0"/>
        <v>#N/A</v>
      </c>
      <c r="M9" t="s">
        <v>62</v>
      </c>
      <c r="N9" s="16">
        <f>SUMIFS(Data[Revenue],Data[Store Name],$M9,Data[Month],CurMonth,Data[Year],CurYear)</f>
        <v>20484.010000000002</v>
      </c>
      <c r="O9" s="16">
        <f>SUMIFS(Data[Revenue],Data[Store Name],$M9,Data[Month],PrevMonth,Data[Year],PMYear)</f>
        <v>17895.43</v>
      </c>
      <c r="P9" s="18">
        <f t="shared" si="1"/>
        <v>0.14465033810308014</v>
      </c>
      <c r="Q9">
        <f t="shared" si="7"/>
        <v>10</v>
      </c>
      <c r="S9">
        <v>7</v>
      </c>
      <c r="T9" t="str">
        <f t="shared" si="2"/>
        <v>LAX</v>
      </c>
      <c r="U9" t="str">
        <f>VLOOKUP(T9,Data[[Store Name]:[Region]],2,0)</f>
        <v>Los Angeles</v>
      </c>
      <c r="V9" s="16">
        <f t="shared" si="3"/>
        <v>18171.759999999995</v>
      </c>
      <c r="W9" s="18">
        <f t="shared" si="3"/>
        <v>-0.17099256839675403</v>
      </c>
      <c r="X9" s="16">
        <f t="shared" si="4"/>
        <v>18171.759999999995</v>
      </c>
      <c r="Y9" s="18">
        <f t="shared" si="5"/>
        <v>-0.17099256839675403</v>
      </c>
      <c r="AA9" t="s">
        <v>8</v>
      </c>
      <c r="AB9" s="16">
        <f>SUMIFS(Data[Revenue],Data[Region],Region,Data[Month],CurMonth,Data[Year],CurYear,Data[Product Name],'Data Prep'!$AA9)</f>
        <v>2334.66</v>
      </c>
      <c r="AC9" s="16">
        <f>SUMIFS(Data[Revenue],Data[Region],Region,Data[Month],PrevMonth,Data[Year],PMYear,Data[Product Name],'Data Prep'!$AA9)</f>
        <v>2006.13</v>
      </c>
      <c r="AD9" s="11">
        <f t="shared" si="8"/>
        <v>328.52999999999975</v>
      </c>
      <c r="AE9">
        <f t="shared" si="9"/>
        <v>8</v>
      </c>
      <c r="AF9">
        <f t="shared" si="10"/>
        <v>27</v>
      </c>
    </row>
    <row r="10" spans="1:37" x14ac:dyDescent="0.25">
      <c r="A10" s="9" t="s">
        <v>80</v>
      </c>
      <c r="B10" s="10">
        <f>SUM(CurYear-1)</f>
        <v>2020</v>
      </c>
      <c r="G10">
        <v>8</v>
      </c>
      <c r="H10" t="s">
        <v>95</v>
      </c>
      <c r="I10" s="16">
        <f>SUMIFS(Data[[Revenue]:[Revenue]],Data[[Region]:[Region]],Region,Data[[Month]:[Month]],'Data Prep'!$G10,Data[[Year]:[Year]],'Data Prep'!I$2)</f>
        <v>36202.770000000004</v>
      </c>
      <c r="J10" s="16">
        <f>IF(G10&gt;CurMonth,NA(),SUMIFS(Data[[Revenue]:[Revenue]],Data[[Region]:[Region]],Region,Data[[Month]:[Month]],'Data Prep'!$G10,Data[[Year]:[Year]],'Data Prep'!J$2))</f>
        <v>41270.179999999986</v>
      </c>
      <c r="K10" s="16" t="e">
        <f t="shared" si="0"/>
        <v>#N/A</v>
      </c>
      <c r="M10" t="s">
        <v>60</v>
      </c>
      <c r="N10" s="16">
        <f>SUMIFS(Data[Revenue],Data[Store Name],$M10,Data[Month],CurMonth,Data[Year],CurYear)</f>
        <v>13879.13</v>
      </c>
      <c r="O10" s="16">
        <f>SUMIFS(Data[Revenue],Data[Store Name],$M10,Data[Month],PrevMonth,Data[Year],PMYear)</f>
        <v>13127.479999999996</v>
      </c>
      <c r="P10" s="18">
        <f t="shared" si="1"/>
        <v>5.7257752439920262E-2</v>
      </c>
      <c r="Q10">
        <f t="shared" si="7"/>
        <v>3</v>
      </c>
      <c r="S10">
        <v>8</v>
      </c>
      <c r="T10" t="str">
        <f t="shared" si="2"/>
        <v>O'Hare</v>
      </c>
      <c r="U10" t="str">
        <f>VLOOKUP(T10,Data[[Store Name]:[Region]],2,0)</f>
        <v>Chicago</v>
      </c>
      <c r="V10" s="16">
        <f t="shared" si="3"/>
        <v>18237.980000000003</v>
      </c>
      <c r="W10" s="18">
        <f t="shared" si="3"/>
        <v>-0.3315731431233282</v>
      </c>
      <c r="X10" s="16">
        <f t="shared" si="4"/>
        <v>0</v>
      </c>
      <c r="Y10" s="18">
        <f t="shared" si="5"/>
        <v>0</v>
      </c>
      <c r="AA10" t="s">
        <v>17</v>
      </c>
      <c r="AB10" s="16">
        <f>SUMIFS(Data[Revenue],Data[Region],Region,Data[Month],CurMonth,Data[Year],CurYear,Data[Product Name],'Data Prep'!$AA10)</f>
        <v>2659.58</v>
      </c>
      <c r="AC10" s="16">
        <f>SUMIFS(Data[Revenue],Data[Region],Region,Data[Month],PrevMonth,Data[Year],PMYear,Data[Product Name],'Data Prep'!$AA10)</f>
        <v>3901.45</v>
      </c>
      <c r="AD10" s="11">
        <f t="shared" si="8"/>
        <v>-1241.8699999999999</v>
      </c>
      <c r="AE10">
        <f t="shared" si="9"/>
        <v>33</v>
      </c>
      <c r="AF10">
        <f t="shared" si="10"/>
        <v>2</v>
      </c>
      <c r="AH10" s="12" t="s">
        <v>111</v>
      </c>
      <c r="AI10" s="12"/>
      <c r="AJ10" s="12"/>
      <c r="AK10" s="12"/>
    </row>
    <row r="11" spans="1:37" x14ac:dyDescent="0.25">
      <c r="A11" s="9" t="s">
        <v>81</v>
      </c>
      <c r="B11" s="10">
        <f>IF(CurMonth=1,12,CurMonth-1)</f>
        <v>8</v>
      </c>
      <c r="G11">
        <v>9</v>
      </c>
      <c r="H11" t="s">
        <v>96</v>
      </c>
      <c r="I11" s="16">
        <f>SUMIFS(Data[[Revenue]:[Revenue]],Data[[Region]:[Region]],Region,Data[[Month]:[Month]],'Data Prep'!$G11,Data[[Year]:[Year]],'Data Prep'!I$2)</f>
        <v>34881.53</v>
      </c>
      <c r="J11" s="16">
        <f>IF(G11&gt;CurMonth,NA(),SUMIFS(Data[[Revenue]:[Revenue]],Data[[Region]:[Region]],Region,Data[[Month]:[Month]],'Data Prep'!$G11,Data[[Year]:[Year]],'Data Prep'!J$2))</f>
        <v>44041.12999999999</v>
      </c>
      <c r="K11" s="16">
        <f t="shared" si="0"/>
        <v>44041.12999999999</v>
      </c>
      <c r="M11" t="s">
        <v>61</v>
      </c>
      <c r="N11" s="16">
        <f>SUMIFS(Data[Revenue],Data[Store Name],$M11,Data[Month],CurMonth,Data[Year],CurYear)</f>
        <v>18171.759999999995</v>
      </c>
      <c r="O11" s="16">
        <f>SUMIFS(Data[Revenue],Data[Store Name],$M11,Data[Month],PrevMonth,Data[Year],PMYear)</f>
        <v>21919.900000000005</v>
      </c>
      <c r="P11" s="18">
        <f t="shared" si="1"/>
        <v>-0.17099256839675403</v>
      </c>
      <c r="Q11">
        <f t="shared" si="7"/>
        <v>7</v>
      </c>
      <c r="S11">
        <v>9</v>
      </c>
      <c r="T11" t="str">
        <f t="shared" si="2"/>
        <v>Millenium</v>
      </c>
      <c r="U11" t="str">
        <f>VLOOKUP(T11,Data[[Store Name]:[Region]],2,0)</f>
        <v>Chicago</v>
      </c>
      <c r="V11" s="16">
        <f t="shared" si="3"/>
        <v>18238.46</v>
      </c>
      <c r="W11" s="18">
        <f t="shared" si="3"/>
        <v>0.18953874088693379</v>
      </c>
      <c r="X11" s="16">
        <f t="shared" si="4"/>
        <v>0</v>
      </c>
      <c r="Y11" s="18">
        <f t="shared" si="5"/>
        <v>0</v>
      </c>
      <c r="AA11" t="s">
        <v>28</v>
      </c>
      <c r="AB11" s="16">
        <f>SUMIFS(Data[Revenue],Data[Region],Region,Data[Month],CurMonth,Data[Year],CurYear,Data[Product Name],'Data Prep'!$AA11)</f>
        <v>1424.05</v>
      </c>
      <c r="AC11" s="16">
        <f>SUMIFS(Data[Revenue],Data[Region],Region,Data[Month],PrevMonth,Data[Year],PMYear,Data[Product Name],'Data Prep'!$AA11)</f>
        <v>1469.02</v>
      </c>
      <c r="AD11" s="11">
        <f t="shared" si="8"/>
        <v>-44.970000000000027</v>
      </c>
      <c r="AE11">
        <f t="shared" si="9"/>
        <v>22</v>
      </c>
      <c r="AF11">
        <f t="shared" si="10"/>
        <v>13</v>
      </c>
      <c r="AH11" s="17" t="s">
        <v>103</v>
      </c>
      <c r="AI11" s="17" t="s">
        <v>106</v>
      </c>
      <c r="AJ11" s="17" t="s">
        <v>46</v>
      </c>
      <c r="AK11" s="17" t="s">
        <v>107</v>
      </c>
    </row>
    <row r="12" spans="1:37" x14ac:dyDescent="0.25">
      <c r="A12" s="9" t="s">
        <v>86</v>
      </c>
      <c r="B12" s="10">
        <f>IF(CurMonth=1,PrevYear,CurYear)</f>
        <v>2021</v>
      </c>
      <c r="G12">
        <v>10</v>
      </c>
      <c r="H12" t="s">
        <v>97</v>
      </c>
      <c r="I12" s="16">
        <f>SUMIFS(Data[[Revenue]:[Revenue]],Data[[Region]:[Region]],Region,Data[[Month]:[Month]],'Data Prep'!$G12,Data[[Year]:[Year]],'Data Prep'!I$2)</f>
        <v>43505.939999999995</v>
      </c>
      <c r="J12" s="16" t="e">
        <f>IF(G12&gt;CurMonth,NA(),SUMIFS(Data[[Revenue]:[Revenue]],Data[[Region]:[Region]],Region,Data[[Month]:[Month]],'Data Prep'!$G12,Data[[Year]:[Year]],'Data Prep'!J$2))</f>
        <v>#N/A</v>
      </c>
      <c r="K12" s="16" t="e">
        <f t="shared" si="0"/>
        <v>#N/A</v>
      </c>
      <c r="M12" t="s">
        <v>57</v>
      </c>
      <c r="N12" s="16">
        <f>SUMIFS(Data[Revenue],Data[Store Name],$M12,Data[Month],CurMonth,Data[Year],CurYear)</f>
        <v>18237.980000000003</v>
      </c>
      <c r="O12" s="16">
        <f>SUMIFS(Data[Revenue],Data[Store Name],$M12,Data[Month],PrevMonth,Data[Year],PMYear)</f>
        <v>27284.929999999993</v>
      </c>
      <c r="P12" s="18">
        <f t="shared" si="1"/>
        <v>-0.3315731431233282</v>
      </c>
      <c r="Q12">
        <f t="shared" si="7"/>
        <v>8</v>
      </c>
      <c r="S12">
        <v>10</v>
      </c>
      <c r="T12" t="str">
        <f t="shared" si="2"/>
        <v>Times Square</v>
      </c>
      <c r="U12" t="str">
        <f>VLOOKUP(T12,Data[[Store Name]:[Region]],2,0)</f>
        <v>New York</v>
      </c>
      <c r="V12" s="16">
        <f t="shared" si="3"/>
        <v>20484.010000000002</v>
      </c>
      <c r="W12" s="18">
        <f t="shared" si="3"/>
        <v>0.14465033810308014</v>
      </c>
      <c r="X12" s="16">
        <f t="shared" si="4"/>
        <v>0</v>
      </c>
      <c r="Y12" s="18">
        <f t="shared" si="5"/>
        <v>0</v>
      </c>
      <c r="AA12" t="s">
        <v>32</v>
      </c>
      <c r="AB12" s="16">
        <f>SUMIFS(Data[Revenue],Data[Region],Region,Data[Month],CurMonth,Data[Year],CurYear,Data[Product Name],'Data Prep'!$AA12)</f>
        <v>1329.79</v>
      </c>
      <c r="AC12" s="16">
        <f>SUMIFS(Data[Revenue],Data[Region],Region,Data[Month],PrevMonth,Data[Year],PMYear,Data[Product Name],'Data Prep'!$AA12)</f>
        <v>714.34999999999991</v>
      </c>
      <c r="AD12" s="11">
        <f t="shared" si="8"/>
        <v>615.44000000000005</v>
      </c>
      <c r="AE12">
        <f t="shared" si="9"/>
        <v>3</v>
      </c>
      <c r="AF12">
        <f t="shared" si="10"/>
        <v>32</v>
      </c>
      <c r="AH12">
        <v>1</v>
      </c>
      <c r="AI12" t="str">
        <f>INDEX($AA$3:$AD$36,MATCH($AH12,$AF$3:$AF$36,0),MATCH(AI$2,$AA$2:$AD$2,0))</f>
        <v>Rubik's Cube</v>
      </c>
      <c r="AJ12" s="16">
        <f t="shared" ref="AJ12:AK17" si="12">INDEX($AA$3:$AD$36,MATCH($AH12,$AF$3:$AF$36,0),MATCH(AJ$2,$AA$2:$AD$2,0))</f>
        <v>1479.2599999999998</v>
      </c>
      <c r="AK12" s="11">
        <f t="shared" si="12"/>
        <v>-2598.6999999999998</v>
      </c>
    </row>
    <row r="13" spans="1:37" x14ac:dyDescent="0.25">
      <c r="A13" s="9" t="s">
        <v>114</v>
      </c>
      <c r="B13" t="str">
        <f>VLOOKUP(CurMonth,A16:B27,2,0)&amp;" "&amp;CurYear</f>
        <v>September 2021</v>
      </c>
      <c r="G13">
        <v>11</v>
      </c>
      <c r="H13" t="s">
        <v>98</v>
      </c>
      <c r="I13" s="16">
        <f>SUMIFS(Data[[Revenue]:[Revenue]],Data[[Region]:[Region]],Region,Data[[Month]:[Month]],'Data Prep'!$G13,Data[[Year]:[Year]],'Data Prep'!I$2)</f>
        <v>43677.41</v>
      </c>
      <c r="J13" s="16" t="e">
        <f>IF(G13&gt;CurMonth,NA(),SUMIFS(Data[[Revenue]:[Revenue]],Data[[Region]:[Region]],Region,Data[[Month]:[Month]],'Data Prep'!$G13,Data[[Year]:[Year]],'Data Prep'!J$2))</f>
        <v>#N/A</v>
      </c>
      <c r="K13" s="16" t="e">
        <f t="shared" si="0"/>
        <v>#N/A</v>
      </c>
      <c r="AA13" t="s">
        <v>31</v>
      </c>
      <c r="AB13" s="16">
        <f>SUMIFS(Data[Revenue],Data[Region],Region,Data[Month],CurMonth,Data[Year],CurYear,Data[Product Name],'Data Prep'!$AA13)</f>
        <v>1019.4899999999999</v>
      </c>
      <c r="AC13" s="16">
        <f>SUMIFS(Data[Revenue],Data[Region],Region,Data[Month],PrevMonth,Data[Year],PMYear,Data[Product Name],'Data Prep'!$AA13)</f>
        <v>919.54</v>
      </c>
      <c r="AD13" s="11">
        <f t="shared" si="8"/>
        <v>99.949999999999932</v>
      </c>
      <c r="AE13">
        <f t="shared" si="9"/>
        <v>11</v>
      </c>
      <c r="AF13">
        <f t="shared" si="10"/>
        <v>24</v>
      </c>
      <c r="AH13">
        <v>2</v>
      </c>
      <c r="AI13" t="str">
        <f t="shared" ref="AI13:AI17" si="13">INDEX($AA$3:$AD$36,MATCH($AH13,$AF$3:$AF$36,0),MATCH(AI$2,$AA$2:$AD$2,0))</f>
        <v>Dino Egg</v>
      </c>
      <c r="AJ13" s="16">
        <f t="shared" si="12"/>
        <v>2659.58</v>
      </c>
      <c r="AK13" s="11">
        <f t="shared" si="12"/>
        <v>-1241.8699999999999</v>
      </c>
    </row>
    <row r="14" spans="1:37" x14ac:dyDescent="0.25">
      <c r="G14">
        <v>12</v>
      </c>
      <c r="H14" t="s">
        <v>99</v>
      </c>
      <c r="I14" s="16">
        <f>SUMIFS(Data[[Revenue]:[Revenue]],Data[[Region]:[Region]],Region,Data[[Month]:[Month]],'Data Prep'!$G14,Data[[Year]:[Year]],'Data Prep'!I$2)</f>
        <v>61614.720000000001</v>
      </c>
      <c r="J14" s="16" t="e">
        <f>IF(G14&gt;CurMonth,NA(),SUMIFS(Data[[Revenue]:[Revenue]],Data[[Region]:[Region]],Region,Data[[Month]:[Month]],'Data Prep'!$G14,Data[[Year]:[Year]],'Data Prep'!J$2))</f>
        <v>#N/A</v>
      </c>
      <c r="K14" s="16" t="e">
        <f t="shared" si="0"/>
        <v>#N/A</v>
      </c>
      <c r="AA14" t="s">
        <v>15</v>
      </c>
      <c r="AB14" s="16">
        <f>SUMIFS(Data[Revenue],Data[Region],Region,Data[Month],CurMonth,Data[Year],CurYear,Data[Product Name],'Data Prep'!$AA14)</f>
        <v>4918.7700000000004</v>
      </c>
      <c r="AC14" s="16">
        <f>SUMIFS(Data[Revenue],Data[Region],Region,Data[Month],PrevMonth,Data[Year],PMYear,Data[Product Name],'Data Prep'!$AA14)</f>
        <v>4518.87</v>
      </c>
      <c r="AD14" s="11">
        <f t="shared" si="8"/>
        <v>399.90000000000055</v>
      </c>
      <c r="AE14">
        <f t="shared" si="9"/>
        <v>7</v>
      </c>
      <c r="AF14">
        <f t="shared" si="10"/>
        <v>28</v>
      </c>
      <c r="AH14">
        <v>3</v>
      </c>
      <c r="AI14" t="str">
        <f t="shared" si="13"/>
        <v>Animal Figures</v>
      </c>
      <c r="AJ14" s="16">
        <f t="shared" si="12"/>
        <v>1675.71</v>
      </c>
      <c r="AK14" s="11">
        <f t="shared" si="12"/>
        <v>-1130.1300000000001</v>
      </c>
    </row>
    <row r="15" spans="1:37" x14ac:dyDescent="0.25">
      <c r="A15" s="26" t="s">
        <v>90</v>
      </c>
      <c r="B15" s="27" t="s">
        <v>49</v>
      </c>
      <c r="AA15" t="s">
        <v>71</v>
      </c>
      <c r="AB15" s="16">
        <f>SUMIFS(Data[Revenue],Data[Region],Region,Data[Month],CurMonth,Data[Year],CurYear,Data[Product Name],'Data Prep'!$AA15)</f>
        <v>0</v>
      </c>
      <c r="AC15" s="16">
        <f>SUMIFS(Data[Revenue],Data[Region],Region,Data[Month],PrevMonth,Data[Year],PMYear,Data[Product Name],'Data Prep'!$AA15)</f>
        <v>0</v>
      </c>
      <c r="AD15" s="11">
        <f t="shared" si="8"/>
        <v>0</v>
      </c>
      <c r="AE15">
        <f t="shared" si="9"/>
        <v>18</v>
      </c>
      <c r="AF15">
        <f t="shared" si="10"/>
        <v>17</v>
      </c>
      <c r="AH15">
        <v>4</v>
      </c>
      <c r="AI15" t="str">
        <f t="shared" si="13"/>
        <v>Dart Gun</v>
      </c>
      <c r="AJ15" s="16">
        <f t="shared" si="12"/>
        <v>575.64</v>
      </c>
      <c r="AK15" s="11">
        <f t="shared" si="12"/>
        <v>-687.57</v>
      </c>
    </row>
    <row r="16" spans="1:37" x14ac:dyDescent="0.25">
      <c r="A16">
        <v>1</v>
      </c>
      <c r="B16" t="s">
        <v>115</v>
      </c>
      <c r="AA16" t="s">
        <v>19</v>
      </c>
      <c r="AB16" s="16">
        <f>SUMIFS(Data[Revenue],Data[Region],Region,Data[Month],CurMonth,Data[Year],CurYear,Data[Product Name],'Data Prep'!$AA16)</f>
        <v>179.91</v>
      </c>
      <c r="AC16" s="16">
        <f>SUMIFS(Data[Revenue],Data[Region],Region,Data[Month],PrevMonth,Data[Year],PMYear,Data[Product Name],'Data Prep'!$AA16)</f>
        <v>359.82</v>
      </c>
      <c r="AD16" s="11">
        <f t="shared" si="8"/>
        <v>-179.91</v>
      </c>
      <c r="AE16">
        <f t="shared" si="9"/>
        <v>25</v>
      </c>
      <c r="AF16">
        <f t="shared" si="10"/>
        <v>10</v>
      </c>
      <c r="AH16">
        <v>5</v>
      </c>
      <c r="AI16" t="str">
        <f t="shared" si="13"/>
        <v>Nerf Gun</v>
      </c>
      <c r="AJ16" s="16">
        <f t="shared" si="12"/>
        <v>2018.9899999999998</v>
      </c>
      <c r="AK16" s="11">
        <f t="shared" si="12"/>
        <v>-479.75999999999976</v>
      </c>
    </row>
    <row r="17" spans="1:37" x14ac:dyDescent="0.25">
      <c r="A17">
        <v>2</v>
      </c>
      <c r="B17" t="s">
        <v>116</v>
      </c>
      <c r="AA17" t="s">
        <v>27</v>
      </c>
      <c r="AB17" s="16">
        <f>SUMIFS(Data[Revenue],Data[Region],Region,Data[Month],CurMonth,Data[Year],CurYear,Data[Product Name],'Data Prep'!$AA17)</f>
        <v>741.5200000000001</v>
      </c>
      <c r="AC17" s="16">
        <f>SUMIFS(Data[Revenue],Data[Region],Region,Data[Month],PrevMonth,Data[Year],PMYear,Data[Product Name],'Data Prep'!$AA17)</f>
        <v>986.7</v>
      </c>
      <c r="AD17" s="11">
        <f t="shared" si="8"/>
        <v>-245.17999999999995</v>
      </c>
      <c r="AE17">
        <f t="shared" si="9"/>
        <v>26</v>
      </c>
      <c r="AF17">
        <f t="shared" si="10"/>
        <v>9</v>
      </c>
      <c r="AH17">
        <v>6</v>
      </c>
      <c r="AI17" t="str">
        <f t="shared" si="13"/>
        <v>Plush Pony</v>
      </c>
      <c r="AJ17" s="16">
        <f t="shared" si="12"/>
        <v>379.80999999999995</v>
      </c>
      <c r="AK17" s="11">
        <f t="shared" si="12"/>
        <v>-419.78999999999996</v>
      </c>
    </row>
    <row r="18" spans="1:37" x14ac:dyDescent="0.25">
      <c r="A18">
        <v>3</v>
      </c>
      <c r="B18" t="s">
        <v>117</v>
      </c>
      <c r="AA18" t="s">
        <v>11</v>
      </c>
      <c r="AB18" s="16">
        <f>SUMIFS(Data[Revenue],Data[Region],Region,Data[Month],CurMonth,Data[Year],CurYear,Data[Product Name],'Data Prep'!$AA18)</f>
        <v>469.06</v>
      </c>
      <c r="AC18" s="16">
        <f>SUMIFS(Data[Revenue],Data[Region],Region,Data[Month],PrevMonth,Data[Year],PMYear,Data[Product Name],'Data Prep'!$AA18)</f>
        <v>29.940000000000005</v>
      </c>
      <c r="AD18" s="11">
        <f t="shared" si="8"/>
        <v>439.12</v>
      </c>
      <c r="AE18">
        <f t="shared" si="9"/>
        <v>6</v>
      </c>
      <c r="AF18">
        <f t="shared" si="10"/>
        <v>29</v>
      </c>
    </row>
    <row r="19" spans="1:37" x14ac:dyDescent="0.25">
      <c r="A19">
        <v>4</v>
      </c>
      <c r="B19" t="s">
        <v>118</v>
      </c>
      <c r="AA19" t="s">
        <v>26</v>
      </c>
      <c r="AB19" s="16">
        <f>SUMIFS(Data[Revenue],Data[Region],Region,Data[Month],CurMonth,Data[Year],CurYear,Data[Product Name],'Data Prep'!$AA19)</f>
        <v>1479.2599999999998</v>
      </c>
      <c r="AC19" s="16">
        <f>SUMIFS(Data[Revenue],Data[Region],Region,Data[Month],PrevMonth,Data[Year],PMYear,Data[Product Name],'Data Prep'!$AA19)</f>
        <v>4077.9599999999996</v>
      </c>
      <c r="AD19" s="11">
        <f t="shared" si="8"/>
        <v>-2598.6999999999998</v>
      </c>
      <c r="AE19">
        <f t="shared" si="9"/>
        <v>34</v>
      </c>
      <c r="AF19">
        <f t="shared" si="10"/>
        <v>1</v>
      </c>
    </row>
    <row r="20" spans="1:37" x14ac:dyDescent="0.25">
      <c r="A20">
        <v>5</v>
      </c>
      <c r="B20" t="s">
        <v>91</v>
      </c>
      <c r="AA20" t="s">
        <v>6</v>
      </c>
      <c r="AB20" s="16">
        <f>SUMIFS(Data[Revenue],Data[Region],Region,Data[Month],CurMonth,Data[Year],CurYear,Data[Product Name],'Data Prep'!$AA20)</f>
        <v>836.07</v>
      </c>
      <c r="AC20" s="16">
        <f>SUMIFS(Data[Revenue],Data[Region],Region,Data[Month],PrevMonth,Data[Year],PMYear,Data[Product Name],'Data Prep'!$AA20)</f>
        <v>395.56</v>
      </c>
      <c r="AD20" s="11">
        <f t="shared" si="8"/>
        <v>440.51000000000005</v>
      </c>
      <c r="AE20">
        <f t="shared" si="9"/>
        <v>5</v>
      </c>
      <c r="AF20">
        <f t="shared" si="10"/>
        <v>30</v>
      </c>
    </row>
    <row r="21" spans="1:37" x14ac:dyDescent="0.25">
      <c r="A21">
        <v>6</v>
      </c>
      <c r="B21" t="s">
        <v>119</v>
      </c>
      <c r="AA21" t="s">
        <v>16</v>
      </c>
      <c r="AB21" s="16">
        <f>SUMIFS(Data[Revenue],Data[Region],Region,Data[Month],CurMonth,Data[Year],CurYear,Data[Product Name],'Data Prep'!$AA21)</f>
        <v>194.85</v>
      </c>
      <c r="AC21" s="16">
        <f>SUMIFS(Data[Revenue],Data[Region],Region,Data[Month],PrevMonth,Data[Year],PMYear,Data[Product Name],'Data Prep'!$AA21)</f>
        <v>142.88999999999999</v>
      </c>
      <c r="AD21" s="11">
        <f t="shared" si="8"/>
        <v>51.960000000000008</v>
      </c>
      <c r="AE21">
        <f t="shared" si="9"/>
        <v>14</v>
      </c>
      <c r="AF21">
        <f t="shared" si="10"/>
        <v>21</v>
      </c>
    </row>
    <row r="22" spans="1:37" x14ac:dyDescent="0.25">
      <c r="A22">
        <v>7</v>
      </c>
      <c r="B22" t="s">
        <v>120</v>
      </c>
      <c r="AA22" t="s">
        <v>23</v>
      </c>
      <c r="AB22" s="16">
        <f>SUMIFS(Data[Revenue],Data[Region],Region,Data[Month],CurMonth,Data[Year],CurYear,Data[Product Name],'Data Prep'!$AA22)</f>
        <v>1533.4099999999999</v>
      </c>
      <c r="AC22" s="16">
        <f>SUMIFS(Data[Revenue],Data[Region],Region,Data[Month],PrevMonth,Data[Year],PMYear,Data[Product Name],'Data Prep'!$AA22)</f>
        <v>0</v>
      </c>
      <c r="AD22" s="11">
        <f t="shared" si="8"/>
        <v>1533.4099999999999</v>
      </c>
      <c r="AE22">
        <f t="shared" si="9"/>
        <v>2</v>
      </c>
      <c r="AF22">
        <f t="shared" si="10"/>
        <v>33</v>
      </c>
    </row>
    <row r="23" spans="1:37" x14ac:dyDescent="0.25">
      <c r="A23">
        <v>8</v>
      </c>
      <c r="B23" t="s">
        <v>121</v>
      </c>
      <c r="AA23" t="s">
        <v>10</v>
      </c>
      <c r="AB23" s="16">
        <f>SUMIFS(Data[Revenue],Data[Region],Region,Data[Month],CurMonth,Data[Year],CurYear,Data[Product Name],'Data Prep'!$AA23)</f>
        <v>2018.9899999999998</v>
      </c>
      <c r="AC23" s="16">
        <f>SUMIFS(Data[Revenue],Data[Region],Region,Data[Month],PrevMonth,Data[Year],PMYear,Data[Product Name],'Data Prep'!$AA23)</f>
        <v>2498.7499999999995</v>
      </c>
      <c r="AD23" s="11">
        <f t="shared" si="8"/>
        <v>-479.75999999999976</v>
      </c>
      <c r="AE23">
        <f t="shared" si="9"/>
        <v>30</v>
      </c>
      <c r="AF23">
        <f t="shared" si="10"/>
        <v>5</v>
      </c>
    </row>
    <row r="24" spans="1:37" x14ac:dyDescent="0.25">
      <c r="A24">
        <v>9</v>
      </c>
      <c r="B24" t="s">
        <v>122</v>
      </c>
      <c r="AA24" t="s">
        <v>66</v>
      </c>
      <c r="AB24" s="16">
        <f>SUMIFS(Data[Revenue],Data[Region],Region,Data[Month],CurMonth,Data[Year],CurYear,Data[Product Name],'Data Prep'!$AA24)</f>
        <v>0</v>
      </c>
      <c r="AC24" s="16">
        <f>SUMIFS(Data[Revenue],Data[Region],Region,Data[Month],PrevMonth,Data[Year],PMYear,Data[Product Name],'Data Prep'!$AA24)</f>
        <v>0</v>
      </c>
      <c r="AD24" s="11">
        <f t="shared" si="8"/>
        <v>0</v>
      </c>
      <c r="AE24">
        <f t="shared" si="9"/>
        <v>18</v>
      </c>
      <c r="AF24">
        <f t="shared" si="10"/>
        <v>17</v>
      </c>
    </row>
    <row r="25" spans="1:37" x14ac:dyDescent="0.25">
      <c r="A25">
        <v>10</v>
      </c>
      <c r="B25" t="s">
        <v>123</v>
      </c>
      <c r="AA25" t="s">
        <v>29</v>
      </c>
      <c r="AB25" s="16">
        <f>SUMIFS(Data[Revenue],Data[Region],Region,Data[Month],CurMonth,Data[Year],CurYear,Data[Product Name],'Data Prep'!$AA25)</f>
        <v>0</v>
      </c>
      <c r="AC25" s="16">
        <f>SUMIFS(Data[Revenue],Data[Region],Region,Data[Month],PrevMonth,Data[Year],PMYear,Data[Product Name],'Data Prep'!$AA25)</f>
        <v>0</v>
      </c>
      <c r="AD25" s="11">
        <f t="shared" si="8"/>
        <v>0</v>
      </c>
      <c r="AE25">
        <f t="shared" si="9"/>
        <v>18</v>
      </c>
      <c r="AF25">
        <f t="shared" si="10"/>
        <v>17</v>
      </c>
    </row>
    <row r="26" spans="1:37" x14ac:dyDescent="0.25">
      <c r="A26">
        <v>11</v>
      </c>
      <c r="B26" t="s">
        <v>124</v>
      </c>
      <c r="AA26" t="s">
        <v>34</v>
      </c>
      <c r="AB26" s="16">
        <f>SUMIFS(Data[Revenue],Data[Region],Region,Data[Month],CurMonth,Data[Year],CurYear,Data[Product Name],'Data Prep'!$AA26)</f>
        <v>1049.3700000000001</v>
      </c>
      <c r="AC26" s="16">
        <f>SUMIFS(Data[Revenue],Data[Region],Region,Data[Month],PrevMonth,Data[Year],PMYear,Data[Product Name],'Data Prep'!$AA26)</f>
        <v>957.6</v>
      </c>
      <c r="AD26" s="11">
        <f t="shared" si="8"/>
        <v>91.770000000000095</v>
      </c>
      <c r="AE26">
        <f t="shared" si="9"/>
        <v>12</v>
      </c>
      <c r="AF26">
        <f t="shared" si="10"/>
        <v>23</v>
      </c>
    </row>
    <row r="27" spans="1:37" x14ac:dyDescent="0.25">
      <c r="A27">
        <v>12</v>
      </c>
      <c r="B27" t="s">
        <v>125</v>
      </c>
      <c r="AA27" t="s">
        <v>70</v>
      </c>
      <c r="AB27" s="16">
        <f>SUMIFS(Data[Revenue],Data[Region],Region,Data[Month],CurMonth,Data[Year],CurYear,Data[Product Name],'Data Prep'!$AA27)</f>
        <v>0</v>
      </c>
      <c r="AC27" s="16">
        <f>SUMIFS(Data[Revenue],Data[Region],Region,Data[Month],PrevMonth,Data[Year],PMYear,Data[Product Name],'Data Prep'!$AA27)</f>
        <v>0</v>
      </c>
      <c r="AD27" s="11">
        <f t="shared" si="8"/>
        <v>0</v>
      </c>
      <c r="AE27">
        <f t="shared" si="9"/>
        <v>18</v>
      </c>
      <c r="AF27">
        <f t="shared" si="10"/>
        <v>17</v>
      </c>
    </row>
    <row r="28" spans="1:37" x14ac:dyDescent="0.25">
      <c r="AA28" t="s">
        <v>67</v>
      </c>
      <c r="AB28" s="16">
        <f>SUMIFS(Data[Revenue],Data[Region],Region,Data[Month],CurMonth,Data[Year],CurYear,Data[Product Name],'Data Prep'!$AA28)</f>
        <v>0</v>
      </c>
      <c r="AC28" s="16">
        <f>SUMIFS(Data[Revenue],Data[Region],Region,Data[Month],PrevMonth,Data[Year],PMYear,Data[Product Name],'Data Prep'!$AA28)</f>
        <v>0</v>
      </c>
      <c r="AD28" s="11">
        <f t="shared" si="8"/>
        <v>0</v>
      </c>
      <c r="AE28">
        <f t="shared" si="9"/>
        <v>18</v>
      </c>
      <c r="AF28">
        <f t="shared" si="10"/>
        <v>17</v>
      </c>
    </row>
    <row r="29" spans="1:37" x14ac:dyDescent="0.25">
      <c r="AA29" t="s">
        <v>37</v>
      </c>
      <c r="AB29" s="16">
        <f>SUMIFS(Data[Revenue],Data[Region],Region,Data[Month],CurMonth,Data[Year],CurYear,Data[Product Name],'Data Prep'!$AA29)</f>
        <v>174.92999999999998</v>
      </c>
      <c r="AC29" s="16">
        <f>SUMIFS(Data[Revenue],Data[Region],Region,Data[Month],PrevMonth,Data[Year],PMYear,Data[Product Name],'Data Prep'!$AA29)</f>
        <v>574.77</v>
      </c>
      <c r="AD29" s="11">
        <f t="shared" si="8"/>
        <v>-399.84000000000003</v>
      </c>
      <c r="AE29">
        <f t="shared" si="9"/>
        <v>28</v>
      </c>
      <c r="AF29">
        <f t="shared" si="10"/>
        <v>7</v>
      </c>
    </row>
    <row r="30" spans="1:37" x14ac:dyDescent="0.25">
      <c r="AA30" t="s">
        <v>38</v>
      </c>
      <c r="AB30" s="16">
        <f>SUMIFS(Data[Revenue],Data[Region],Region,Data[Month],CurMonth,Data[Year],CurYear,Data[Product Name],'Data Prep'!$AA30)</f>
        <v>0</v>
      </c>
      <c r="AC30" s="16">
        <f>SUMIFS(Data[Revenue],Data[Region],Region,Data[Month],PrevMonth,Data[Year],PMYear,Data[Product Name],'Data Prep'!$AA30)</f>
        <v>179.82</v>
      </c>
      <c r="AD30" s="11">
        <f t="shared" si="8"/>
        <v>-179.82</v>
      </c>
      <c r="AE30">
        <f t="shared" si="9"/>
        <v>23.5</v>
      </c>
      <c r="AF30">
        <f t="shared" si="10"/>
        <v>11.5</v>
      </c>
    </row>
    <row r="31" spans="1:37" x14ac:dyDescent="0.25">
      <c r="AA31" t="s">
        <v>39</v>
      </c>
      <c r="AB31" s="16">
        <f>SUMIFS(Data[Revenue],Data[Region],Region,Data[Month],CurMonth,Data[Year],CurYear,Data[Product Name],'Data Prep'!$AA31)</f>
        <v>379.80999999999995</v>
      </c>
      <c r="AC31" s="16">
        <f>SUMIFS(Data[Revenue],Data[Region],Region,Data[Month],PrevMonth,Data[Year],PMYear,Data[Product Name],'Data Prep'!$AA31)</f>
        <v>799.59999999999991</v>
      </c>
      <c r="AD31" s="11">
        <f t="shared" si="8"/>
        <v>-419.78999999999996</v>
      </c>
      <c r="AE31">
        <f t="shared" si="9"/>
        <v>29</v>
      </c>
      <c r="AF31">
        <f t="shared" si="10"/>
        <v>6</v>
      </c>
    </row>
    <row r="32" spans="1:37" x14ac:dyDescent="0.25">
      <c r="AA32" t="s">
        <v>68</v>
      </c>
      <c r="AB32" s="16">
        <f>SUMIFS(Data[Revenue],Data[Region],Region,Data[Month],CurMonth,Data[Year],CurYear,Data[Product Name],'Data Prep'!$AA32)</f>
        <v>0</v>
      </c>
      <c r="AC32" s="16">
        <f>SUMIFS(Data[Revenue],Data[Region],Region,Data[Month],PrevMonth,Data[Year],PMYear,Data[Product Name],'Data Prep'!$AA32)</f>
        <v>0</v>
      </c>
      <c r="AD32" s="11">
        <f t="shared" si="8"/>
        <v>0</v>
      </c>
      <c r="AE32">
        <f t="shared" si="9"/>
        <v>18</v>
      </c>
      <c r="AF32">
        <f t="shared" si="10"/>
        <v>17</v>
      </c>
    </row>
    <row r="33" spans="27:32" x14ac:dyDescent="0.25">
      <c r="AA33" t="s">
        <v>42</v>
      </c>
      <c r="AB33" s="16">
        <f>SUMIFS(Data[Revenue],Data[Region],Region,Data[Month],CurMonth,Data[Year],CurYear,Data[Product Name],'Data Prep'!$AA33)</f>
        <v>6523.92</v>
      </c>
      <c r="AC33" s="16">
        <f>SUMIFS(Data[Revenue],Data[Region],Region,Data[Month],PrevMonth,Data[Year],PMYear,Data[Product Name],'Data Prep'!$AA33)</f>
        <v>3229.9799999999996</v>
      </c>
      <c r="AD33" s="11">
        <f t="shared" si="8"/>
        <v>3293.9400000000005</v>
      </c>
      <c r="AE33">
        <f t="shared" si="9"/>
        <v>1</v>
      </c>
      <c r="AF33">
        <f t="shared" si="10"/>
        <v>34</v>
      </c>
    </row>
    <row r="34" spans="27:32" x14ac:dyDescent="0.25">
      <c r="AA34" t="s">
        <v>41</v>
      </c>
      <c r="AB34" s="16">
        <f>SUMIFS(Data[Revenue],Data[Region],Region,Data[Month],CurMonth,Data[Year],CurYear,Data[Product Name],'Data Prep'!$AA34)</f>
        <v>259.74</v>
      </c>
      <c r="AC34" s="16">
        <f>SUMIFS(Data[Revenue],Data[Region],Region,Data[Month],PrevMonth,Data[Year],PMYear,Data[Product Name],'Data Prep'!$AA34)</f>
        <v>439.56</v>
      </c>
      <c r="AD34" s="11">
        <f t="shared" si="8"/>
        <v>-179.82</v>
      </c>
      <c r="AE34">
        <f t="shared" si="9"/>
        <v>23.5</v>
      </c>
      <c r="AF34">
        <f t="shared" si="10"/>
        <v>11.5</v>
      </c>
    </row>
    <row r="35" spans="27:32" x14ac:dyDescent="0.25">
      <c r="AA35" t="s">
        <v>43</v>
      </c>
      <c r="AB35" s="16">
        <f>SUMIFS(Data[Revenue],Data[Region],Region,Data[Month],CurMonth,Data[Year],CurYear,Data[Product Name],'Data Prep'!$AA35)</f>
        <v>503.76</v>
      </c>
      <c r="AC35" s="16">
        <f>SUMIFS(Data[Revenue],Data[Region],Region,Data[Month],PrevMonth,Data[Year],PMYear,Data[Product Name],'Data Prep'!$AA35)</f>
        <v>902.56999999999994</v>
      </c>
      <c r="AD35" s="11">
        <f t="shared" si="8"/>
        <v>-398.80999999999995</v>
      </c>
      <c r="AE35">
        <f t="shared" si="9"/>
        <v>27</v>
      </c>
      <c r="AF35">
        <f t="shared" si="10"/>
        <v>8</v>
      </c>
    </row>
    <row r="36" spans="27:32" x14ac:dyDescent="0.25">
      <c r="AA36" t="s">
        <v>69</v>
      </c>
      <c r="AB36" s="16">
        <f>SUMIFS(Data[Revenue],Data[Region],Region,Data[Month],CurMonth,Data[Year],CurYear,Data[Product Name],'Data Prep'!$AA36)</f>
        <v>0</v>
      </c>
      <c r="AC36" s="16">
        <f>SUMIFS(Data[Revenue],Data[Region],Region,Data[Month],PrevMonth,Data[Year],PMYear,Data[Product Name],'Data Prep'!$AA36)</f>
        <v>0</v>
      </c>
      <c r="AD36" s="11">
        <f t="shared" si="8"/>
        <v>0</v>
      </c>
      <c r="AE36">
        <f t="shared" si="9"/>
        <v>18</v>
      </c>
      <c r="AF36">
        <f t="shared" si="10"/>
        <v>17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1200" verticalDpi="1200" r:id="rId1"/>
  <ignoredErrors>
    <ignoredError sqref="U3:U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3846A-B8B5-4B68-AB46-0EAF7153819F}">
  <dimension ref="B5:U44"/>
  <sheetViews>
    <sheetView showGridLines="0" tabSelected="1" zoomScaleNormal="100" workbookViewId="0">
      <selection activeCell="C6" sqref="C6"/>
    </sheetView>
  </sheetViews>
  <sheetFormatPr defaultRowHeight="15" x14ac:dyDescent="0.25"/>
  <cols>
    <col min="1" max="1" width="2.28515625" customWidth="1"/>
    <col min="2" max="2" width="16.5703125" bestFit="1" customWidth="1"/>
    <col min="3" max="3" width="24.28515625" customWidth="1"/>
    <col min="4" max="4" width="23" customWidth="1"/>
    <col min="5" max="5" width="20.28515625" customWidth="1"/>
    <col min="6" max="6" width="4.28515625" customWidth="1"/>
    <col min="7" max="7" width="4.140625" customWidth="1"/>
    <col min="16" max="16" width="8.5703125" customWidth="1"/>
    <col min="17" max="17" width="7" customWidth="1"/>
    <col min="18" max="18" width="6.7109375" customWidth="1"/>
    <col min="19" max="19" width="26.85546875" customWidth="1"/>
    <col min="20" max="20" width="18.7109375" customWidth="1"/>
    <col min="21" max="21" width="26.7109375" customWidth="1"/>
    <col min="22" max="22" width="8.42578125" customWidth="1"/>
  </cols>
  <sheetData>
    <row r="5" spans="2:21" ht="3.75" customHeight="1" x14ac:dyDescent="0.25"/>
    <row r="6" spans="2:21" ht="31.5" x14ac:dyDescent="0.5">
      <c r="B6" s="25" t="s">
        <v>113</v>
      </c>
      <c r="C6" s="30" t="s">
        <v>4</v>
      </c>
      <c r="D6" s="31" t="s">
        <v>126</v>
      </c>
      <c r="E6" s="28" t="str">
        <f>'Data Prep'!B13&amp;"?"</f>
        <v>September 2021?</v>
      </c>
    </row>
    <row r="13" spans="2:21" ht="18.75" customHeight="1" x14ac:dyDescent="0.25">
      <c r="S13" s="21" t="s">
        <v>106</v>
      </c>
      <c r="T13" s="22" t="s">
        <v>46</v>
      </c>
      <c r="U13" s="22" t="s">
        <v>112</v>
      </c>
    </row>
    <row r="14" spans="2:21" ht="18.75" customHeight="1" x14ac:dyDescent="0.25">
      <c r="S14" s="19" t="str">
        <f>'Data Prep'!AI3</f>
        <v>Magic Sand</v>
      </c>
      <c r="T14" s="20">
        <f>'Data Prep'!AJ3</f>
        <v>6523.92</v>
      </c>
      <c r="U14" s="20">
        <f>'Data Prep'!AK3</f>
        <v>3293.9400000000005</v>
      </c>
    </row>
    <row r="15" spans="2:21" ht="18.75" customHeight="1" x14ac:dyDescent="0.25">
      <c r="S15" s="19" t="str">
        <f>'Data Prep'!AI4</f>
        <v>Toy Robot</v>
      </c>
      <c r="T15" s="20">
        <f>'Data Prep'!AJ4</f>
        <v>1533.4099999999999</v>
      </c>
      <c r="U15" s="20">
        <f>'Data Prep'!AK4</f>
        <v>1533.4099999999999</v>
      </c>
    </row>
    <row r="16" spans="2:21" ht="18.75" customHeight="1" x14ac:dyDescent="0.25">
      <c r="S16" s="19" t="str">
        <f>'Data Prep'!AI5</f>
        <v>Glass Marbles</v>
      </c>
      <c r="T16" s="20">
        <f>'Data Prep'!AJ5</f>
        <v>1329.79</v>
      </c>
      <c r="U16" s="20">
        <f>'Data Prep'!AK5</f>
        <v>615.44000000000005</v>
      </c>
    </row>
    <row r="17" spans="19:21" ht="18.75" customHeight="1" x14ac:dyDescent="0.25">
      <c r="S17" s="19" t="str">
        <f>'Data Prep'!AI6</f>
        <v>Action Figure</v>
      </c>
      <c r="T17" s="20">
        <f>'Data Prep'!AJ6</f>
        <v>1662.96</v>
      </c>
      <c r="U17" s="20">
        <f>'Data Prep'!AK6</f>
        <v>575.63999999999987</v>
      </c>
    </row>
    <row r="18" spans="19:21" ht="18.75" customHeight="1" x14ac:dyDescent="0.25">
      <c r="S18" s="19" t="str">
        <f>'Data Prep'!AI7</f>
        <v>Splash Balls</v>
      </c>
      <c r="T18" s="20">
        <f>'Data Prep'!AJ7</f>
        <v>836.07</v>
      </c>
      <c r="U18" s="20">
        <f>'Data Prep'!AK7</f>
        <v>440.51000000000005</v>
      </c>
    </row>
    <row r="19" spans="19:21" ht="18.75" customHeight="1" x14ac:dyDescent="0.25">
      <c r="S19" s="19" t="str">
        <f>'Data Prep'!AI8</f>
        <v>PlayDoh Toolkit</v>
      </c>
      <c r="T19" s="20">
        <f>'Data Prep'!AJ8</f>
        <v>469.06</v>
      </c>
      <c r="U19" s="23">
        <f>'Data Prep'!AK8</f>
        <v>439.12</v>
      </c>
    </row>
    <row r="20" spans="19:21" ht="18.75" customHeight="1" x14ac:dyDescent="0.25">
      <c r="S20" s="19"/>
      <c r="T20" s="19"/>
      <c r="U20" s="24">
        <f>SUM(U14:U19)</f>
        <v>6898.06</v>
      </c>
    </row>
    <row r="21" spans="19:21" ht="18.75" customHeight="1" x14ac:dyDescent="0.25">
      <c r="S21" s="19"/>
      <c r="T21" s="19"/>
      <c r="U21" s="19"/>
    </row>
    <row r="22" spans="19:21" ht="18.75" customHeight="1" x14ac:dyDescent="0.25">
      <c r="S22" s="19"/>
      <c r="T22" s="19"/>
      <c r="U22" s="19"/>
    </row>
    <row r="23" spans="19:21" ht="18.75" customHeight="1" x14ac:dyDescent="0.25">
      <c r="S23" s="19"/>
      <c r="T23" s="19"/>
      <c r="U23" s="19"/>
    </row>
    <row r="24" spans="19:21" ht="18.75" customHeight="1" x14ac:dyDescent="0.25">
      <c r="S24" s="21" t="s">
        <v>106</v>
      </c>
      <c r="T24" s="22" t="s">
        <v>46</v>
      </c>
      <c r="U24" s="22" t="s">
        <v>112</v>
      </c>
    </row>
    <row r="25" spans="19:21" ht="18.75" customHeight="1" x14ac:dyDescent="0.25">
      <c r="S25" s="19" t="str">
        <f>'Data Prep'!AI12</f>
        <v>Rubik's Cube</v>
      </c>
      <c r="T25" s="20">
        <f>'Data Prep'!AJ12</f>
        <v>1479.2599999999998</v>
      </c>
      <c r="U25" s="20">
        <f>'Data Prep'!AK12</f>
        <v>-2598.6999999999998</v>
      </c>
    </row>
    <row r="26" spans="19:21" ht="18.75" customHeight="1" x14ac:dyDescent="0.25">
      <c r="S26" s="19" t="str">
        <f>'Data Prep'!AI13</f>
        <v>Dino Egg</v>
      </c>
      <c r="T26" s="20">
        <f>'Data Prep'!AJ13</f>
        <v>2659.58</v>
      </c>
      <c r="U26" s="20">
        <f>'Data Prep'!AK13</f>
        <v>-1241.8699999999999</v>
      </c>
    </row>
    <row r="27" spans="19:21" ht="18.75" customHeight="1" x14ac:dyDescent="0.25">
      <c r="S27" s="19" t="str">
        <f>'Data Prep'!AI14</f>
        <v>Animal Figures</v>
      </c>
      <c r="T27" s="20">
        <f>'Data Prep'!AJ14</f>
        <v>1675.71</v>
      </c>
      <c r="U27" s="20">
        <f>'Data Prep'!AK14</f>
        <v>-1130.1300000000001</v>
      </c>
    </row>
    <row r="28" spans="19:21" ht="18.75" customHeight="1" x14ac:dyDescent="0.25">
      <c r="S28" s="19" t="str">
        <f>'Data Prep'!AI15</f>
        <v>Dart Gun</v>
      </c>
      <c r="T28" s="20">
        <f>'Data Prep'!AJ15</f>
        <v>575.64</v>
      </c>
      <c r="U28" s="20">
        <f>'Data Prep'!AK15</f>
        <v>-687.57</v>
      </c>
    </row>
    <row r="29" spans="19:21" ht="18.75" customHeight="1" x14ac:dyDescent="0.25">
      <c r="S29" s="19" t="str">
        <f>'Data Prep'!AI16</f>
        <v>Nerf Gun</v>
      </c>
      <c r="T29" s="20">
        <f>'Data Prep'!AJ16</f>
        <v>2018.9899999999998</v>
      </c>
      <c r="U29" s="20">
        <f>'Data Prep'!AK16</f>
        <v>-479.75999999999976</v>
      </c>
    </row>
    <row r="30" spans="19:21" ht="18.75" customHeight="1" x14ac:dyDescent="0.25">
      <c r="S30" s="19" t="str">
        <f>'Data Prep'!AI17</f>
        <v>Plush Pony</v>
      </c>
      <c r="T30" s="20">
        <f>'Data Prep'!AJ17</f>
        <v>379.80999999999995</v>
      </c>
      <c r="U30" s="23">
        <f>'Data Prep'!AK17</f>
        <v>-419.78999999999996</v>
      </c>
    </row>
    <row r="31" spans="19:21" ht="18.75" customHeight="1" x14ac:dyDescent="0.25">
      <c r="S31" s="19"/>
      <c r="T31" s="19"/>
      <c r="U31" s="29">
        <f>SUM(U25:U30)</f>
        <v>-6557.8199999999988</v>
      </c>
    </row>
    <row r="32" spans="19:21" ht="18.75" customHeight="1" x14ac:dyDescent="0.25">
      <c r="S32" s="19"/>
      <c r="T32" s="19"/>
      <c r="U32" s="19"/>
    </row>
    <row r="33" spans="19:21" ht="18.75" customHeight="1" x14ac:dyDescent="0.25">
      <c r="S33" s="19"/>
      <c r="T33" s="19"/>
      <c r="U33" s="19"/>
    </row>
    <row r="34" spans="19:21" ht="18.75" customHeight="1" x14ac:dyDescent="0.25">
      <c r="S34" s="19"/>
      <c r="T34" s="19"/>
      <c r="U34" s="19"/>
    </row>
    <row r="35" spans="19:21" ht="18.75" customHeight="1" x14ac:dyDescent="0.25">
      <c r="S35" s="19"/>
      <c r="T35" s="19"/>
      <c r="U35" s="19"/>
    </row>
    <row r="36" spans="19:21" ht="18.75" customHeight="1" x14ac:dyDescent="0.25">
      <c r="S36" s="19"/>
      <c r="T36" s="19"/>
      <c r="U36" s="19"/>
    </row>
    <row r="37" spans="19:21" ht="18.75" customHeight="1" x14ac:dyDescent="0.25">
      <c r="S37" s="19"/>
      <c r="T37" s="19"/>
      <c r="U37" s="19"/>
    </row>
    <row r="38" spans="19:21" ht="18.75" customHeight="1" x14ac:dyDescent="0.25">
      <c r="S38" s="19"/>
      <c r="T38" s="19"/>
      <c r="U38" s="19"/>
    </row>
    <row r="39" spans="19:21" ht="18.75" customHeight="1" x14ac:dyDescent="0.25">
      <c r="S39" s="19"/>
      <c r="T39" s="19"/>
      <c r="U39" s="19"/>
    </row>
    <row r="40" spans="19:21" ht="18.75" customHeight="1" x14ac:dyDescent="0.25">
      <c r="S40" s="19"/>
      <c r="T40" s="19"/>
      <c r="U40" s="19"/>
    </row>
    <row r="41" spans="19:21" ht="15.75" x14ac:dyDescent="0.25">
      <c r="S41" s="19"/>
      <c r="T41" s="19"/>
      <c r="U41" s="19"/>
    </row>
    <row r="42" spans="19:21" ht="15.75" x14ac:dyDescent="0.25">
      <c r="S42" s="19"/>
      <c r="T42" s="19"/>
      <c r="U42" s="19"/>
    </row>
    <row r="43" spans="19:21" ht="15.75" x14ac:dyDescent="0.25">
      <c r="S43" s="19"/>
      <c r="T43" s="19"/>
      <c r="U43" s="19"/>
    </row>
    <row r="44" spans="19:21" ht="15.75" x14ac:dyDescent="0.25">
      <c r="S44" s="19"/>
      <c r="T44" s="19"/>
      <c r="U44" s="19"/>
    </row>
  </sheetData>
  <sheetProtection sheet="1" objects="1" scenarios="1" selectLockedCells="1"/>
  <conditionalFormatting sqref="U14:U19">
    <cfRule type="colorScale" priority="3">
      <colorScale>
        <cfvo type="min"/>
        <cfvo type="max"/>
        <color theme="0"/>
        <color theme="9" tint="0.39997558519241921"/>
      </colorScale>
    </cfRule>
  </conditionalFormatting>
  <conditionalFormatting sqref="U25:U30">
    <cfRule type="colorScale" priority="1">
      <colorScale>
        <cfvo type="min"/>
        <cfvo type="max"/>
        <color rgb="FFFF7171"/>
        <color theme="0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66CA1-86E4-4BD4-9BA9-B588AA68A58D}">
          <x14:formula1>
            <xm:f>'Data Prep'!$A$3:$A$5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>
      <selection sqref="A1:J269"/>
    </sheetView>
  </sheetViews>
  <sheetFormatPr defaultRowHeight="15" x14ac:dyDescent="0.25"/>
  <sheetData>
    <row r="1" spans="1:10" x14ac:dyDescent="0.2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topLeftCell="A217" workbookViewId="0">
      <selection sqref="A1:J260"/>
    </sheetView>
  </sheetViews>
  <sheetFormatPr defaultRowHeight="15" x14ac:dyDescent="0.25"/>
  <sheetData>
    <row r="1" spans="1:10" x14ac:dyDescent="0.2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Raw 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Administrator</cp:lastModifiedBy>
  <dcterms:created xsi:type="dcterms:W3CDTF">2021-07-16T18:17:37Z</dcterms:created>
  <dcterms:modified xsi:type="dcterms:W3CDTF">2024-11-19T11:26:54Z</dcterms:modified>
</cp:coreProperties>
</file>