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9A024B38-E338-449C-8327-24051C00F276}" xr6:coauthVersionLast="47" xr6:coauthVersionMax="47" xr10:uidLastSave="{00000000-0000-0000-0000-000000000000}"/>
  <bookViews>
    <workbookView xWindow="240" yWindow="105" windowWidth="14805" windowHeight="8010" firstSheet="6" activeTab="4" xr2:uid="{00000000-000D-0000-FFFF-FFFF00000000}"/>
  </bookViews>
  <sheets>
    <sheet name="Задание" sheetId="1" r:id="rId1"/>
    <sheet name="Шадрин" sheetId="8" r:id="rId2"/>
    <sheet name="Волынов" sheetId="2" r:id="rId3"/>
    <sheet name="EgorB" sheetId="4" r:id="rId4"/>
    <sheet name="Башиянц" sheetId="3" r:id="rId5"/>
    <sheet name="Кучмар" sheetId="5" r:id="rId6"/>
    <sheet name="Пестрецов" sheetId="6" r:id="rId7"/>
    <sheet name="Колонин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7" i="7" l="1"/>
  <c r="K85" i="3"/>
  <c r="N213" i="7"/>
  <c r="O213" i="7"/>
  <c r="P212" i="7"/>
  <c r="N209" i="7"/>
  <c r="P210" i="7"/>
  <c r="Q209" i="7"/>
  <c r="M77" i="3"/>
  <c r="O210" i="7"/>
  <c r="Q208" i="7"/>
  <c r="O209" i="7"/>
  <c r="P208" i="7"/>
  <c r="A81" i="3"/>
  <c r="R162" i="7"/>
  <c r="R163" i="7"/>
  <c r="R164" i="7"/>
  <c r="R165" i="7"/>
  <c r="R166" i="7"/>
  <c r="R167" i="7"/>
  <c r="R168" i="7"/>
  <c r="R169" i="7"/>
  <c r="R170" i="7"/>
  <c r="R171" i="7"/>
  <c r="R172" i="7"/>
  <c r="R161" i="7"/>
  <c r="Q162" i="7"/>
  <c r="Q163" i="7"/>
  <c r="Q164" i="7"/>
  <c r="Q165" i="7"/>
  <c r="Q166" i="7"/>
  <c r="Q167" i="7"/>
  <c r="Q168" i="7"/>
  <c r="Q169" i="7"/>
  <c r="Q170" i="7"/>
  <c r="Q171" i="7"/>
  <c r="Q172" i="7"/>
  <c r="Q161" i="7"/>
  <c r="P162" i="7"/>
  <c r="P163" i="7"/>
  <c r="P164" i="7"/>
  <c r="P165" i="7"/>
  <c r="P166" i="7"/>
  <c r="P167" i="7"/>
  <c r="P168" i="7"/>
  <c r="P169" i="7"/>
  <c r="P170" i="7"/>
  <c r="P171" i="7"/>
  <c r="P172" i="7"/>
  <c r="P161" i="7"/>
  <c r="H46" i="6"/>
  <c r="F46" i="6"/>
  <c r="D46" i="6"/>
  <c r="O24" i="2"/>
  <c r="M24" i="2"/>
  <c r="F43" i="6" a="1"/>
  <c r="F43" i="6"/>
  <c r="Q19" i="5" a="1"/>
  <c r="Q19" i="5"/>
  <c r="N71" i="6" a="1"/>
  <c r="N71" i="6"/>
  <c r="K24" i="2" a="1"/>
  <c r="K24" i="2"/>
  <c r="K24" i="7" a="1"/>
  <c r="K24" i="7"/>
  <c r="F42" i="6"/>
  <c r="F16" i="2"/>
  <c r="L3" i="6"/>
  <c r="G39" i="6" s="1" a="1"/>
  <c r="G39" i="6" s="1"/>
  <c r="G9" i="2"/>
  <c r="H3" i="2" s="1"/>
  <c r="J3" i="2"/>
  <c r="I3" i="2"/>
  <c r="I8" i="6"/>
  <c r="F9" i="2"/>
  <c r="G6" i="2"/>
  <c r="F6" i="2"/>
  <c r="G3" i="2"/>
  <c r="F3" i="2"/>
  <c r="I2" i="6"/>
  <c r="L193" i="7"/>
  <c r="L190" i="7"/>
  <c r="L187" i="7"/>
  <c r="J81" i="3"/>
  <c r="K81" i="3"/>
  <c r="L80" i="3"/>
  <c r="J77" i="3"/>
  <c r="L78" i="3"/>
  <c r="K78" i="3"/>
  <c r="K77" i="3"/>
  <c r="M76" i="3"/>
  <c r="L76" i="3"/>
  <c r="F162" i="7"/>
  <c r="F163" i="7"/>
  <c r="F164" i="7"/>
  <c r="F165" i="7"/>
  <c r="F166" i="7"/>
  <c r="F167" i="7"/>
  <c r="F168" i="7"/>
  <c r="F169" i="7"/>
  <c r="F170" i="7"/>
  <c r="F171" i="7"/>
  <c r="F172" i="7"/>
  <c r="F161" i="7"/>
  <c r="F173" i="7" s="1"/>
  <c r="F174" i="7" s="1"/>
  <c r="E162" i="7"/>
  <c r="E163" i="7"/>
  <c r="E164" i="7"/>
  <c r="E165" i="7"/>
  <c r="E166" i="7"/>
  <c r="E167" i="7"/>
  <c r="E168" i="7"/>
  <c r="E169" i="7"/>
  <c r="E170" i="7"/>
  <c r="E171" i="7"/>
  <c r="E172" i="7"/>
  <c r="E161" i="7"/>
  <c r="E173" i="7" s="1"/>
  <c r="E174" i="7" s="1"/>
  <c r="D161" i="7"/>
  <c r="C81" i="3"/>
  <c r="B81" i="3"/>
  <c r="F76" i="3"/>
  <c r="F77" i="3" s="1"/>
  <c r="D77" i="3"/>
  <c r="D76" i="3"/>
  <c r="D162" i="7"/>
  <c r="D163" i="7"/>
  <c r="D164" i="7"/>
  <c r="D165" i="7"/>
  <c r="D166" i="7"/>
  <c r="D167" i="7"/>
  <c r="D168" i="7"/>
  <c r="D169" i="7"/>
  <c r="D170" i="7"/>
  <c r="D171" i="7"/>
  <c r="D172" i="7"/>
  <c r="B77" i="3"/>
  <c r="B76" i="3"/>
  <c r="N173" i="7"/>
  <c r="N174" i="7" s="1"/>
  <c r="L173" i="7"/>
  <c r="L174" i="7" s="1"/>
  <c r="M173" i="7"/>
  <c r="M174" i="7" s="1"/>
  <c r="C71" i="3"/>
  <c r="C72" i="3" s="1"/>
  <c r="D71" i="3"/>
  <c r="D72" i="3" s="1"/>
  <c r="B71" i="3"/>
  <c r="B72" i="3" s="1"/>
  <c r="J59" i="3"/>
  <c r="J60" i="3"/>
  <c r="J61" i="3"/>
  <c r="J62" i="3"/>
  <c r="J63" i="3"/>
  <c r="J64" i="3"/>
  <c r="J65" i="3"/>
  <c r="J66" i="3"/>
  <c r="J67" i="3"/>
  <c r="J68" i="3"/>
  <c r="J69" i="3"/>
  <c r="I59" i="3"/>
  <c r="I60" i="3"/>
  <c r="I61" i="3"/>
  <c r="I62" i="3"/>
  <c r="I63" i="3"/>
  <c r="I64" i="3"/>
  <c r="I65" i="3"/>
  <c r="I66" i="3"/>
  <c r="I67" i="3"/>
  <c r="I68" i="3"/>
  <c r="I69" i="3"/>
  <c r="H59" i="3"/>
  <c r="H60" i="3"/>
  <c r="H61" i="3"/>
  <c r="H62" i="3"/>
  <c r="H63" i="3"/>
  <c r="H64" i="3"/>
  <c r="H65" i="3"/>
  <c r="H66" i="3"/>
  <c r="H67" i="3"/>
  <c r="H68" i="3"/>
  <c r="H69" i="3"/>
  <c r="G59" i="3"/>
  <c r="G60" i="3"/>
  <c r="G61" i="3"/>
  <c r="G62" i="3"/>
  <c r="G63" i="3"/>
  <c r="G64" i="3"/>
  <c r="G65" i="3"/>
  <c r="G66" i="3"/>
  <c r="G67" i="3"/>
  <c r="G68" i="3"/>
  <c r="G69" i="3"/>
  <c r="F59" i="3"/>
  <c r="F60" i="3"/>
  <c r="F61" i="3"/>
  <c r="F62" i="3"/>
  <c r="F63" i="3"/>
  <c r="F64" i="3"/>
  <c r="F65" i="3"/>
  <c r="F66" i="3"/>
  <c r="F67" i="3"/>
  <c r="F68" i="3"/>
  <c r="F69" i="3"/>
  <c r="E59" i="3"/>
  <c r="E60" i="3"/>
  <c r="E61" i="3"/>
  <c r="E62" i="3"/>
  <c r="E63" i="3"/>
  <c r="E64" i="3"/>
  <c r="E65" i="3"/>
  <c r="E66" i="3"/>
  <c r="E67" i="3"/>
  <c r="E68" i="3"/>
  <c r="E69" i="3"/>
  <c r="T31" i="7"/>
  <c r="P31" i="7"/>
  <c r="F42" i="3"/>
  <c r="J44" i="4"/>
  <c r="Q21" i="5"/>
  <c r="J42" i="4" a="1"/>
  <c r="J42" i="4"/>
  <c r="J42" i="5" a="1"/>
  <c r="J42" i="5"/>
  <c r="I42" i="4"/>
  <c r="J39" i="4" a="1"/>
  <c r="J39" i="4"/>
  <c r="I3" i="4"/>
  <c r="J38" i="4"/>
  <c r="F34" i="3"/>
  <c r="N111" i="7" a="1"/>
  <c r="N111" i="7"/>
  <c r="N120" i="7" s="1"/>
  <c r="M111" i="7" a="1"/>
  <c r="M111" i="7"/>
  <c r="L120" i="7" s="1"/>
  <c r="I36" i="3" a="1"/>
  <c r="I36" i="3"/>
  <c r="I43" i="3" s="1"/>
  <c r="D36" i="5" a="1"/>
  <c r="D36" i="5"/>
  <c r="N108" i="7"/>
  <c r="N119" i="7" s="1"/>
  <c r="C36" i="5" a="1"/>
  <c r="C36" i="5"/>
  <c r="M108" i="7"/>
  <c r="B36" i="5"/>
  <c r="A36" i="5"/>
  <c r="I34" i="3" a="1"/>
  <c r="I34" i="3"/>
  <c r="G43" i="3" s="1"/>
  <c r="F36" i="3"/>
  <c r="I42" i="3" s="1"/>
  <c r="R19" i="5"/>
  <c r="G3" i="3"/>
  <c r="O22" i="5" a="1"/>
  <c r="O22" i="5"/>
  <c r="O19" i="5"/>
  <c r="M28" i="5"/>
  <c r="F44" i="4"/>
  <c r="F43" i="4"/>
  <c r="M26" i="5"/>
  <c r="D2" i="5"/>
  <c r="C2" i="5"/>
  <c r="D3" i="5"/>
  <c r="E3" i="5"/>
  <c r="A23" i="5"/>
  <c r="B23" i="5"/>
  <c r="B17" i="5"/>
  <c r="K3" i="3"/>
  <c r="J2" i="6"/>
  <c r="S31" i="7"/>
  <c r="Q31" i="7"/>
  <c r="J5" i="3"/>
  <c r="P3" i="6"/>
  <c r="N3" i="6"/>
  <c r="I5" i="3"/>
  <c r="L5" i="3"/>
  <c r="B20" i="5"/>
  <c r="A20" i="5"/>
  <c r="A17" i="5"/>
  <c r="H17" i="8"/>
  <c r="M4" i="8"/>
  <c r="L12" i="8"/>
  <c r="J12" i="8"/>
  <c r="J8" i="8"/>
  <c r="E9" i="4"/>
  <c r="I12" i="8"/>
  <c r="H12" i="8"/>
  <c r="G9" i="4"/>
  <c r="I4" i="8"/>
  <c r="H4" i="8"/>
  <c r="E3" i="4"/>
  <c r="Q15" i="7"/>
  <c r="T18" i="7"/>
  <c r="Q18" i="7"/>
  <c r="K26" i="7"/>
  <c r="K119" i="7" s="1"/>
  <c r="R12" i="7"/>
  <c r="Q12" i="7"/>
  <c r="J5" i="6"/>
  <c r="I5" i="6"/>
  <c r="H3" i="3"/>
  <c r="G24" i="5"/>
  <c r="G5" i="3"/>
  <c r="G12" i="4"/>
  <c r="G15" i="4" s="1"/>
  <c r="F16" i="5"/>
  <c r="E16" i="5"/>
  <c r="D16" i="5"/>
  <c r="F3" i="4"/>
  <c r="A83" i="3" l="1"/>
  <c r="K59" i="3"/>
  <c r="K60" i="3"/>
  <c r="K61" i="3"/>
  <c r="K62" i="3"/>
  <c r="K63" i="3"/>
  <c r="K64" i="3"/>
  <c r="K65" i="3"/>
  <c r="K66" i="3"/>
  <c r="K67" i="3"/>
  <c r="K68" i="3"/>
  <c r="K69" i="3"/>
  <c r="J24" i="2"/>
  <c r="F12" i="2"/>
  <c r="D173" i="7"/>
  <c r="D174" i="7" s="1"/>
  <c r="L175" i="7" s="1"/>
  <c r="M175" i="7"/>
  <c r="N175" i="7"/>
  <c r="L188" i="7"/>
  <c r="L191" i="7"/>
  <c r="L194" i="7"/>
  <c r="E71" i="3"/>
  <c r="E72" i="3" s="1"/>
  <c r="F71" i="3"/>
  <c r="F72" i="3" s="1"/>
  <c r="G71" i="3"/>
  <c r="G72" i="3" s="1"/>
  <c r="H71" i="3"/>
  <c r="H72" i="3" s="1"/>
  <c r="B73" i="3" s="1"/>
  <c r="I71" i="3"/>
  <c r="I72" i="3" s="1"/>
  <c r="C73" i="3" s="1"/>
  <c r="J71" i="3"/>
  <c r="J72" i="3" s="1"/>
  <c r="D73" i="3" s="1"/>
  <c r="N5" i="3"/>
  <c r="B34" i="3"/>
  <c r="C40" i="3"/>
  <c r="F43" i="3"/>
  <c r="G42" i="3"/>
  <c r="M115" i="7"/>
  <c r="K120" i="7"/>
  <c r="L119" i="7"/>
  <c r="T12" i="7"/>
  <c r="M114" i="7"/>
  <c r="F49" i="3" a="1"/>
  <c r="F49" i="3" s="1"/>
  <c r="I49" i="3" s="1" a="1"/>
  <c r="I49" i="3" s="1"/>
  <c r="F46" i="3"/>
  <c r="F39" i="3"/>
  <c r="F38" i="3"/>
  <c r="E15" i="4"/>
  <c r="K16" i="3"/>
  <c r="J16" i="3" s="1"/>
  <c r="C3" i="3"/>
  <c r="I11" i="6"/>
  <c r="J11" i="3"/>
  <c r="Q21" i="7"/>
  <c r="D19" i="5"/>
  <c r="L71" i="7" l="1"/>
  <c r="O190" i="7"/>
  <c r="O187" i="7"/>
  <c r="O193" i="7" s="1"/>
  <c r="G37" i="6"/>
  <c r="L5" i="6"/>
  <c r="L11" i="6" s="1"/>
  <c r="O6" i="6"/>
  <c r="N6" i="6" s="1"/>
  <c r="H6" i="2"/>
  <c r="H12" i="2" s="1"/>
  <c r="J6" i="2"/>
  <c r="I6" i="2" s="1"/>
  <c r="V18" i="7"/>
  <c r="R35" i="7"/>
  <c r="L61" i="7"/>
  <c r="K127" i="7" a="1"/>
  <c r="K127" i="7" s="1"/>
  <c r="N127" i="7" s="1" a="1"/>
  <c r="N127" i="7" s="1"/>
  <c r="K124" i="7"/>
  <c r="J6" i="4"/>
  <c r="I6" i="4" s="1"/>
  <c r="M2" i="4"/>
  <c r="K3" i="4" s="1"/>
  <c r="E19" i="4" s="1"/>
  <c r="L27" i="3"/>
  <c r="T21" i="7"/>
  <c r="P35" i="7"/>
  <c r="C9" i="3"/>
  <c r="C5" i="3"/>
  <c r="L31" i="3"/>
  <c r="L30" i="3"/>
  <c r="C4" i="3"/>
  <c r="C6" i="3"/>
  <c r="E6" i="3" s="1"/>
  <c r="C7" i="3"/>
  <c r="E7" i="3" s="1"/>
  <c r="C8" i="3"/>
  <c r="E8" i="3" s="1"/>
  <c r="C10" i="3"/>
  <c r="E10" i="3" s="1"/>
  <c r="C11" i="3"/>
  <c r="E11" i="3" s="1"/>
  <c r="C12" i="3"/>
  <c r="E12" i="3" s="1"/>
  <c r="C13" i="3"/>
  <c r="E13" i="3" s="1"/>
  <c r="G21" i="5"/>
  <c r="F26" i="5" s="1"/>
  <c r="G28" i="6" l="1"/>
  <c r="G32" i="6"/>
  <c r="D2" i="6"/>
  <c r="F23" i="2"/>
  <c r="F1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B37" i="3" a="1"/>
  <c r="B37" i="3" s="1"/>
  <c r="B40" i="3" s="1" a="1"/>
  <c r="B40" i="3" s="1"/>
  <c r="D4" i="3"/>
  <c r="B42" i="3"/>
  <c r="E31" i="4"/>
  <c r="E30" i="4"/>
  <c r="E29" i="4"/>
  <c r="E28" i="4"/>
  <c r="E27" i="4"/>
  <c r="E26" i="4"/>
  <c r="E25" i="4"/>
  <c r="E24" i="4"/>
  <c r="E23" i="4"/>
  <c r="G23" i="4"/>
  <c r="G24" i="4"/>
  <c r="G25" i="4"/>
  <c r="G26" i="4"/>
  <c r="G27" i="4"/>
  <c r="G28" i="4"/>
  <c r="G29" i="4"/>
  <c r="G30" i="4"/>
  <c r="G31" i="4"/>
  <c r="G22" i="4"/>
  <c r="F22" i="4"/>
  <c r="F23" i="4"/>
  <c r="F24" i="4"/>
  <c r="F25" i="4"/>
  <c r="F26" i="4"/>
  <c r="F27" i="4"/>
  <c r="F28" i="4"/>
  <c r="F29" i="4"/>
  <c r="F30" i="4"/>
  <c r="F31" i="4"/>
  <c r="E22" i="4"/>
  <c r="E4" i="3"/>
  <c r="E3" i="3"/>
  <c r="Q50" i="7"/>
  <c r="Q46" i="7"/>
  <c r="E4" i="5"/>
  <c r="E5" i="5"/>
  <c r="E6" i="5"/>
  <c r="E7" i="5"/>
  <c r="E8" i="5"/>
  <c r="E9" i="5"/>
  <c r="E10" i="5"/>
  <c r="E11" i="5"/>
  <c r="E12" i="5"/>
  <c r="E13" i="5"/>
  <c r="E14" i="5"/>
  <c r="E2" i="5"/>
  <c r="D4" i="5"/>
  <c r="D5" i="5"/>
  <c r="D6" i="5"/>
  <c r="D7" i="5"/>
  <c r="D8" i="5"/>
  <c r="D9" i="5"/>
  <c r="D10" i="5"/>
  <c r="D11" i="5"/>
  <c r="D12" i="5"/>
  <c r="D13" i="5"/>
  <c r="D14" i="5"/>
  <c r="C3" i="5"/>
  <c r="C4" i="5"/>
  <c r="C5" i="5"/>
  <c r="C6" i="5"/>
  <c r="C7" i="5"/>
  <c r="C8" i="5"/>
  <c r="C9" i="5"/>
  <c r="C10" i="5"/>
  <c r="C11" i="5"/>
  <c r="C12" i="5"/>
  <c r="C13" i="5"/>
  <c r="C14" i="5"/>
  <c r="D3" i="6"/>
  <c r="D4" i="6"/>
  <c r="D5" i="6"/>
  <c r="D6" i="6"/>
  <c r="D7" i="6"/>
  <c r="D8" i="6"/>
  <c r="D9" i="6"/>
  <c r="D10" i="6"/>
  <c r="D11" i="6"/>
  <c r="D5" i="3"/>
  <c r="E5" i="3"/>
  <c r="D9" i="3"/>
  <c r="E9" i="3"/>
  <c r="D13" i="3"/>
  <c r="D12" i="3"/>
  <c r="D11" i="3"/>
  <c r="D10" i="3"/>
  <c r="D8" i="3"/>
  <c r="D7" i="3"/>
  <c r="D6" i="3"/>
  <c r="D3" i="3"/>
  <c r="M79" i="7" l="1"/>
  <c r="F2" i="6"/>
  <c r="E2" i="6"/>
  <c r="G26" i="2" a="1"/>
  <c r="G26" i="2" s="1"/>
  <c r="D25" i="2"/>
  <c r="E25" i="2"/>
  <c r="D24" i="2"/>
  <c r="E24" i="2"/>
  <c r="D23" i="2"/>
  <c r="E23" i="2"/>
  <c r="D22" i="2"/>
  <c r="E22" i="2"/>
  <c r="D21" i="2"/>
  <c r="E21" i="2"/>
  <c r="D20" i="2"/>
  <c r="E20" i="2"/>
  <c r="D19" i="2"/>
  <c r="E19" i="2"/>
  <c r="D18" i="2"/>
  <c r="E18" i="2"/>
  <c r="D17" i="2"/>
  <c r="E17" i="2"/>
  <c r="D16" i="2"/>
  <c r="E16" i="2"/>
  <c r="D15" i="2"/>
  <c r="E15" i="2"/>
  <c r="D14" i="2"/>
  <c r="E14" i="2"/>
  <c r="D13" i="2"/>
  <c r="E13" i="2"/>
  <c r="D12" i="2"/>
  <c r="E12" i="2"/>
  <c r="D11" i="2"/>
  <c r="E11" i="2"/>
  <c r="D10" i="2"/>
  <c r="E10" i="2"/>
  <c r="D9" i="2"/>
  <c r="E9" i="2"/>
  <c r="D8" i="2"/>
  <c r="E8" i="2"/>
  <c r="D7" i="2"/>
  <c r="E7" i="2"/>
  <c r="D6" i="2"/>
  <c r="E6" i="2"/>
  <c r="D5" i="2"/>
  <c r="E5" i="2"/>
  <c r="D4" i="2"/>
  <c r="E4" i="2"/>
  <c r="D3" i="2"/>
  <c r="E3" i="2"/>
  <c r="N13" i="7"/>
  <c r="N12" i="7"/>
  <c r="N14" i="7"/>
  <c r="N15" i="7"/>
  <c r="N16" i="7"/>
  <c r="N17" i="7"/>
  <c r="N18" i="7"/>
  <c r="N19" i="7"/>
  <c r="N20" i="7"/>
  <c r="N21" i="7"/>
  <c r="N22" i="7"/>
  <c r="N23" i="7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N61" i="7" l="1" a="1"/>
  <c r="N61" i="7" s="1"/>
  <c r="N71" i="7" s="1" a="1"/>
  <c r="N71" i="7" s="1"/>
  <c r="Q24" i="2"/>
  <c r="O23" i="7"/>
  <c r="P23" i="7"/>
  <c r="O22" i="7"/>
  <c r="P22" i="7"/>
  <c r="O21" i="7"/>
  <c r="P21" i="7"/>
  <c r="O20" i="7"/>
  <c r="P20" i="7"/>
  <c r="O19" i="7"/>
  <c r="P19" i="7"/>
  <c r="O18" i="7"/>
  <c r="P18" i="7"/>
  <c r="O17" i="7"/>
  <c r="P17" i="7"/>
  <c r="O16" i="7"/>
  <c r="P16" i="7"/>
  <c r="O15" i="7"/>
  <c r="P15" i="7"/>
  <c r="O14" i="7"/>
  <c r="P14" i="7"/>
  <c r="O12" i="7"/>
  <c r="P12" i="7"/>
  <c r="O13" i="7"/>
  <c r="P13" i="7"/>
  <c r="O79" i="7" l="1"/>
  <c r="K79" i="7"/>
  <c r="L104856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<sst xmlns="http://schemas.openxmlformats.org/spreadsheetml/2006/main" count="458" uniqueCount="311">
  <si>
    <t>КТ2</t>
  </si>
  <si>
    <t>По выборке двухмерной случайной величины (n &gt;=10):</t>
  </si>
  <si>
    <t>1) вычислить точечную оценку коэффициента корреляции;</t>
  </si>
  <si>
    <t>2) проверить гипотезу об отсутствии корреляционной зависимости;</t>
  </si>
  <si>
    <t>3) построить диаграмму рассеивания</t>
  </si>
  <si>
    <t>КТ3</t>
  </si>
  <si>
    <t>4) приблизительно нарисовать линию регрессии.</t>
  </si>
  <si>
    <t>5) найти уравнение регрессии</t>
  </si>
  <si>
    <t>6) построить линию полученного уравнения на той же диаграмме.</t>
  </si>
  <si>
    <t>7) провести анализ выбросов и точек влияния</t>
  </si>
  <si>
    <t>8) сделайте интерполярный и экстраполярный прогноз</t>
  </si>
  <si>
    <t>КТ4</t>
  </si>
  <si>
    <t>9) вычислить коэффициент детерминации</t>
  </si>
  <si>
    <t>10) найти стандартную ошибку прогноза</t>
  </si>
  <si>
    <t>11) найти 90% интервал предсказания для х из пункта 8)</t>
  </si>
  <si>
    <t>Года</t>
  </si>
  <si>
    <t>Количество AAA-игр (крупные)</t>
  </si>
  <si>
    <t>Мировой рынок игр(млрд.длр)</t>
  </si>
  <si>
    <t>X среднее</t>
  </si>
  <si>
    <t>Y среднее</t>
  </si>
  <si>
    <t>n</t>
  </si>
  <si>
    <t>Степеней свободы</t>
  </si>
  <si>
    <t>Уровень значимости</t>
  </si>
  <si>
    <t>Ковариация</t>
  </si>
  <si>
    <t>Стандартное отклонение X</t>
  </si>
  <si>
    <t>Стандартное отклонение Y</t>
  </si>
  <si>
    <t>Стандартное отклонение XY</t>
  </si>
  <si>
    <t>Коэфициент корреляции</t>
  </si>
  <si>
    <t xml:space="preserve">Кофэффициент корреляции сильно отрицательный, поэтому между этими связями нет линейной зависимости и, вероятнее всего, нет связи </t>
  </si>
  <si>
    <t>Проверка</t>
  </si>
  <si>
    <t>GDP</t>
  </si>
  <si>
    <t>Бюджет на армию</t>
  </si>
  <si>
    <t>Столбец1</t>
  </si>
  <si>
    <t>Столбец2</t>
  </si>
  <si>
    <t>Столбец3</t>
  </si>
  <si>
    <t>Сигма X</t>
  </si>
  <si>
    <t>Сигма Y</t>
  </si>
  <si>
    <t>Степень свободы</t>
  </si>
  <si>
    <t>Стд.откл х</t>
  </si>
  <si>
    <t>Стд.откл y</t>
  </si>
  <si>
    <t>Сред. X</t>
  </si>
  <si>
    <t>Сред. Y</t>
  </si>
  <si>
    <t>ТЕСТ</t>
  </si>
  <si>
    <t>a</t>
  </si>
  <si>
    <t>b</t>
  </si>
  <si>
    <t>0.05</t>
  </si>
  <si>
    <t>Коэф. кореляции</t>
  </si>
  <si>
    <t>р значение</t>
  </si>
  <si>
    <t>Значение очень маленькое, что говорит об очень слабой связи или ее отсутствии.</t>
  </si>
  <si>
    <t>Кф. детерминации</t>
  </si>
  <si>
    <t>y = 85,8004 + (0,266181 * x)</t>
  </si>
  <si>
    <t>Н₀: ϱ = 0</t>
  </si>
  <si>
    <t>Н₁: ϱ ≠ 0</t>
  </si>
  <si>
    <t xml:space="preserve">Вывод: </t>
  </si>
  <si>
    <t>так как р-значение меньше уровня значимости, то мы можем отвергнуть нулевую гипотезу</t>
  </si>
  <si>
    <t>Интерполяция</t>
  </si>
  <si>
    <t>Возможно, нужно больше данных, также смущает ст откл</t>
  </si>
  <si>
    <t>Экстерполяция</t>
  </si>
  <si>
    <t>Возможно, нужно больше данных</t>
  </si>
  <si>
    <t>Точность альфа</t>
  </si>
  <si>
    <t>t-знач</t>
  </si>
  <si>
    <t>E</t>
  </si>
  <si>
    <t>90% интервал</t>
  </si>
  <si>
    <t>&lt;</t>
  </si>
  <si>
    <t>Стандартная ошибка прогноза</t>
  </si>
  <si>
    <t>Точки влияния</t>
  </si>
  <si>
    <t>Отсутствуют</t>
  </si>
  <si>
    <t>Выбросы</t>
  </si>
  <si>
    <t>Отсутствуют: все точки находятся в рамках среднего отклонения</t>
  </si>
  <si>
    <t>X вес</t>
  </si>
  <si>
    <t>Y рост</t>
  </si>
  <si>
    <t>Х сред</t>
  </si>
  <si>
    <t>Y сред</t>
  </si>
  <si>
    <t>kf svobodi</t>
  </si>
  <si>
    <t>t</t>
  </si>
  <si>
    <t>ковариация</t>
  </si>
  <si>
    <t>sigma Х</t>
  </si>
  <si>
    <t>sigma Y</t>
  </si>
  <si>
    <t>коэф кореалиации</t>
  </si>
  <si>
    <t>стандарт отклон XY</t>
  </si>
  <si>
    <t>p гипотезы</t>
  </si>
  <si>
    <t>0.07 &gt; 0.05 следовательно гипотезу не отвергаем</t>
  </si>
  <si>
    <t>y1</t>
  </si>
  <si>
    <t>y2</t>
  </si>
  <si>
    <t>y3</t>
  </si>
  <si>
    <t>КТ5</t>
  </si>
  <si>
    <t>коэф дефекта</t>
  </si>
  <si>
    <t>ошибка прогноза</t>
  </si>
  <si>
    <t>h</t>
  </si>
  <si>
    <t>w</t>
  </si>
  <si>
    <t>интерполяция</t>
  </si>
  <si>
    <t>экстраполяция</t>
  </si>
  <si>
    <t>Возраст и рост мальчиков до 10 лет</t>
  </si>
  <si>
    <t>Возраст(a)</t>
  </si>
  <si>
    <t>Рост(h)</t>
  </si>
  <si>
    <t>y</t>
  </si>
  <si>
    <t>a сред</t>
  </si>
  <si>
    <t>h сред</t>
  </si>
  <si>
    <t>ст свободы</t>
  </si>
  <si>
    <t>сигма а</t>
  </si>
  <si>
    <t>сигма h</t>
  </si>
  <si>
    <t>коэф кореляции</t>
  </si>
  <si>
    <t>тест статистика</t>
  </si>
  <si>
    <t>уровень значимости</t>
  </si>
  <si>
    <t>p-value</t>
  </si>
  <si>
    <t>вывод:</t>
  </si>
  <si>
    <t>так как p-value меньше уровня значения, то нулевую гипотезу мы отклоняем</t>
  </si>
  <si>
    <t>y=109.5823+5.8636*x</t>
  </si>
  <si>
    <t>Точки выброса</t>
  </si>
  <si>
    <t>нет</t>
  </si>
  <si>
    <t>Наблюдаеммые точки данных находяться близко к другим точка, следавотельно точек влияния нет</t>
  </si>
  <si>
    <t>Экстаполяция</t>
  </si>
  <si>
    <t>Неплохо, но высоковат...</t>
  </si>
  <si>
    <t>кт4</t>
  </si>
  <si>
    <t>кт5</t>
  </si>
  <si>
    <t>коэф дет</t>
  </si>
  <si>
    <t>сумма a(x)</t>
  </si>
  <si>
    <t>сумм кв a</t>
  </si>
  <si>
    <t>сумма h</t>
  </si>
  <si>
    <t>сумма  ah</t>
  </si>
  <si>
    <t>ст ошибка прогноза</t>
  </si>
  <si>
    <t>Е</t>
  </si>
  <si>
    <t>матрица коэф</t>
  </si>
  <si>
    <t>матр св чл</t>
  </si>
  <si>
    <t>определитель</t>
  </si>
  <si>
    <t>Обратная матр</t>
  </si>
  <si>
    <t>Решение</t>
  </si>
  <si>
    <t>Они получились такие же, что и до этого</t>
  </si>
  <si>
    <t>x1</t>
  </si>
  <si>
    <t>x2</t>
  </si>
  <si>
    <t>Вес(w)</t>
  </si>
  <si>
    <t>ha</t>
  </si>
  <si>
    <t>hw</t>
  </si>
  <si>
    <t>aw</t>
  </si>
  <si>
    <t>a^2</t>
  </si>
  <si>
    <t>w^2</t>
  </si>
  <si>
    <t>h^2</t>
  </si>
  <si>
    <t>сумма</t>
  </si>
  <si>
    <t>ср знач</t>
  </si>
  <si>
    <t>ст откл</t>
  </si>
  <si>
    <t>cov(h,a)</t>
  </si>
  <si>
    <t>cov(h,w)</t>
  </si>
  <si>
    <t>cov(a,w)</t>
  </si>
  <si>
    <t>Dr</t>
  </si>
  <si>
    <t>r(ha)</t>
  </si>
  <si>
    <t>r(hw)</t>
  </si>
  <si>
    <t>r(aw)</t>
  </si>
  <si>
    <t>b1</t>
  </si>
  <si>
    <t>b2</t>
  </si>
  <si>
    <t>Dr11</t>
  </si>
  <si>
    <t>R</t>
  </si>
  <si>
    <t>сигма w</t>
  </si>
  <si>
    <t>ковориация</t>
  </si>
  <si>
    <t>w сред</t>
  </si>
  <si>
    <t>коэффициент корреляции</t>
  </si>
  <si>
    <t>Точки выброса: нет</t>
  </si>
  <si>
    <t>Коэф дет.</t>
  </si>
  <si>
    <t>t-значение</t>
  </si>
  <si>
    <t>s(h)</t>
  </si>
  <si>
    <t>s(w)</t>
  </si>
  <si>
    <t>Точки влияния:</t>
  </si>
  <si>
    <t>тестовая статистика</t>
  </si>
  <si>
    <t>Станд. ош.</t>
  </si>
  <si>
    <t>степени свободы</t>
  </si>
  <si>
    <t>y = -325,791 + 7,418x</t>
  </si>
  <si>
    <t>р-значение</t>
  </si>
  <si>
    <t>Вывод:</t>
  </si>
  <si>
    <t>h cумм</t>
  </si>
  <si>
    <t>w cумм</t>
  </si>
  <si>
    <t>h^2 cумм</t>
  </si>
  <si>
    <t>hw сумм</t>
  </si>
  <si>
    <t>11a+900,82b=2 447,25</t>
  </si>
  <si>
    <t>900,82a+62 545,44b=170503,5544</t>
  </si>
  <si>
    <t>Год</t>
  </si>
  <si>
    <t>Проданных сигарет (млрд. штук)</t>
  </si>
  <si>
    <t>Золотовалютные резервы России (млрд. $)</t>
  </si>
  <si>
    <t xml:space="preserve"> </t>
  </si>
  <si>
    <t>p значение больше степени значимость, что указывает на возможную связь между этими событиями, хоть и очень маленькую. Нужно больше данных</t>
  </si>
  <si>
    <t>Точки влияния: отсутствуют, все значения находятся в диапазоне от 200-400 по x и 0-500 по y, точки между 350-400 по х и 400-500 по у трудно назвать таковыми, скорее небольшие выбросы</t>
  </si>
  <si>
    <t>Выбросы: все точки находятся в рамках среднего отклонения, из чего можно сказать, что выбросы отсутствуют.</t>
  </si>
  <si>
    <t>Интерполяция:</t>
  </si>
  <si>
    <t>Может быть правдой, однако из-за большого среднего отклонения и малого кол-ва данных трудно что-либо утверждать</t>
  </si>
  <si>
    <t>Экстерполяция:</t>
  </si>
  <si>
    <t>Опять же, возможно, такие данные и встретятся, но точно так же это может быть и 300, и 100, что получается из-за недостатка данных.</t>
  </si>
  <si>
    <t>кф. детерминации</t>
  </si>
  <si>
    <t>стд.ошибка прогноза:</t>
  </si>
  <si>
    <t>альфа</t>
  </si>
  <si>
    <t>Интервал</t>
  </si>
  <si>
    <t>https://ithub.bulgakov.app/lessons/35709</t>
  </si>
  <si>
    <t>+</t>
  </si>
  <si>
    <t>date</t>
  </si>
  <si>
    <t>x</t>
  </si>
  <si>
    <t>Ср. лин</t>
  </si>
  <si>
    <t>Ниж. гран</t>
  </si>
  <si>
    <t>Верх. гран</t>
  </si>
  <si>
    <t>Дата</t>
  </si>
  <si>
    <t>Затраты на рекламу тыс. руб.</t>
  </si>
  <si>
    <t>Величина продаж тыс. руб.</t>
  </si>
  <si>
    <t>Оранжевая</t>
  </si>
  <si>
    <t>Серая</t>
  </si>
  <si>
    <t>Желтая</t>
  </si>
  <si>
    <t>Сигма Х</t>
  </si>
  <si>
    <t>Декабрь</t>
  </si>
  <si>
    <t>Январь</t>
  </si>
  <si>
    <t>Февраль</t>
  </si>
  <si>
    <t>альфа - ур. значимости</t>
  </si>
  <si>
    <t>Март</t>
  </si>
  <si>
    <t>Апрель</t>
  </si>
  <si>
    <t>Май</t>
  </si>
  <si>
    <t>Затраты рекламу сред.</t>
  </si>
  <si>
    <t>Продажи сред.</t>
  </si>
  <si>
    <t>Тест статистики</t>
  </si>
  <si>
    <t>Июнь</t>
  </si>
  <si>
    <t>Июль</t>
  </si>
  <si>
    <t>Август</t>
  </si>
  <si>
    <t>Коэф. кореляции r</t>
  </si>
  <si>
    <t>p-значение</t>
  </si>
  <si>
    <t>Сентябрь</t>
  </si>
  <si>
    <t>Октябрь</t>
  </si>
  <si>
    <t>Ноябрь</t>
  </si>
  <si>
    <t>Размер выборки n</t>
  </si>
  <si>
    <t>Вывод: p-значение значительно больше уровня значимости</t>
  </si>
  <si>
    <t>Это указывает на сильную связь между этими величинами.</t>
  </si>
  <si>
    <t>Регрессия и прогнозы</t>
  </si>
  <si>
    <t>Стд. откл х</t>
  </si>
  <si>
    <t>Стд. откл y</t>
  </si>
  <si>
    <t>https://ithub.bulgakov.app/lessons/35710</t>
  </si>
  <si>
    <t>y = a + (b * x)</t>
  </si>
  <si>
    <t>Мои гипотезы?</t>
  </si>
  <si>
    <t>Точки влияния: отсутствуют. Наблюдаеммые точки данных находяться близко к другим точка, следавотельно точек влияния нет</t>
  </si>
  <si>
    <t>Выбросы: Выбросы отсутствуют. Все точки находятся в рамках среднего отклонения, видно из графика</t>
  </si>
  <si>
    <t>Взято на глаз из диапозона данных по оси х</t>
  </si>
  <si>
    <t>Может быть правдой, однако из-за маленького размера выборки n = 12, сложно что-либо утверждать</t>
  </si>
  <si>
    <t>Взято на глаз из вне диапозона данных по оси х</t>
  </si>
  <si>
    <t>https://jamboard.google.com/d/1IOrSTsaddk6GF4BeDGIiPmaXg7ruEi98VTvptgWwKJg/viewer?f=1</t>
  </si>
  <si>
    <t>Оценка надёжности прогнозов</t>
  </si>
  <si>
    <t>Рассчитывается, как коэф кореляции в квадрате</t>
  </si>
  <si>
    <t>r**2</t>
  </si>
  <si>
    <t>9)</t>
  </si>
  <si>
    <t>Коэфициент детерминации r**2</t>
  </si>
  <si>
    <t>10)</t>
  </si>
  <si>
    <t>Стандартная ошибка прогноза s</t>
  </si>
  <si>
    <t>пер. s</t>
  </si>
  <si>
    <t>Подставлю альфа = 0.9</t>
  </si>
  <si>
    <t>11)</t>
  </si>
  <si>
    <t>Точность альфа a</t>
  </si>
  <si>
    <t>Использую интерполяцию Y и E значение</t>
  </si>
  <si>
    <t>90% интервал предсказания</t>
  </si>
  <si>
    <t>Заметки с урока</t>
  </si>
  <si>
    <t>данные из примера темы регрессия и прогнозы</t>
  </si>
  <si>
    <t>11 студентов</t>
  </si>
  <si>
    <t>Посчитать коэф. самостоятельно</t>
  </si>
  <si>
    <t>xi yi</t>
  </si>
  <si>
    <t>Метод наименьших квадратов</t>
  </si>
  <si>
    <t>Составить систему ур.</t>
  </si>
  <si>
    <t>=====</t>
  </si>
  <si>
    <t>Решить систему с нашими данными</t>
  </si>
  <si>
    <t>Получить a и b</t>
  </si>
  <si>
    <t xml:space="preserve">Подойдет Крамер или </t>
  </si>
  <si>
    <t>Подсчёт определителей</t>
  </si>
  <si>
    <t>метод обратной матрицы</t>
  </si>
  <si>
    <t>Сумма затрат на рекламу x</t>
  </si>
  <si>
    <t>Сумма продаж y</t>
  </si>
  <si>
    <t>Прикрепить в метод квадратов</t>
  </si>
  <si>
    <t>Сумма квадратов затрат x</t>
  </si>
  <si>
    <t>Сумма x*y</t>
  </si>
  <si>
    <t>Формулы для системы</t>
  </si>
  <si>
    <t>Решение системы с моими коэф</t>
  </si>
  <si>
    <t>Решаю методом обратной матрицы</t>
  </si>
  <si>
    <t>n * a  + сумма x * b = сумма y</t>
  </si>
  <si>
    <t>сумма x * a + сумма квадратов x * b = сумма произведений x * y</t>
  </si>
  <si>
    <t>Матрица Коэфициентов</t>
  </si>
  <si>
    <t>Свободные члены</t>
  </si>
  <si>
    <t>Определитель матрицы</t>
  </si>
  <si>
    <t>Обратная матрица</t>
  </si>
  <si>
    <t>Решение системы</t>
  </si>
  <si>
    <r>
      <rPr>
        <b/>
        <sz val="12"/>
        <color rgb="FF000000"/>
        <rFont val="Calibri"/>
      </rPr>
      <t xml:space="preserve">Эконометрика КТ5
</t>
    </r>
    <r>
      <rPr>
        <sz val="12"/>
        <color rgb="FF000000"/>
        <rFont val="Calibri"/>
      </rPr>
      <t>Добавить x2 (К примеру число маркетологов) в мои данные.
Сделать рассчёт уровнения множественной регресии, как мы делали на паре.
Посчитаю коэф. кореляции для ещё 1 доп. переменной.</t>
    </r>
  </si>
  <si>
    <t xml:space="preserve">Прикрепить в </t>
  </si>
  <si>
    <t>https://ithub.bulgakov.app/lessons/35714</t>
  </si>
  <si>
    <t>Полезная инструкция</t>
  </si>
  <si>
    <t>http://www.reshebnik.ru/www/econometrica/econometrica2.pdf</t>
  </si>
  <si>
    <t>стр.25 - теория</t>
  </si>
  <si>
    <t>стр.33 - ручной расчет (делает с помощью Excel)</t>
  </si>
  <si>
    <t xml:space="preserve">стр.44 - расчёт используя пакет анализа
</t>
  </si>
  <si>
    <t>y^2</t>
  </si>
  <si>
    <t>x1^2</t>
  </si>
  <si>
    <t>x2^2</t>
  </si>
  <si>
    <t>yx1</t>
  </si>
  <si>
    <t>yx2</t>
  </si>
  <si>
    <t>x1x2</t>
  </si>
  <si>
    <t>Величина продаж тыс. руб. ^2</t>
  </si>
  <si>
    <t>Затраты на рекламу тыс. руб. ^2</t>
  </si>
  <si>
    <t>Число маркетологов ^2</t>
  </si>
  <si>
    <t>Число маркетологов</t>
  </si>
  <si>
    <t>-</t>
  </si>
  <si>
    <t>Сумма</t>
  </si>
  <si>
    <t>Среднее Ар.</t>
  </si>
  <si>
    <t>СИГМА 
Ст. откл или 
средне квадратичное откл</t>
  </si>
  <si>
    <t>*</t>
  </si>
  <si>
    <t>Cov (y, x1)</t>
  </si>
  <si>
    <t>R (y, x1)</t>
  </si>
  <si>
    <t>Cov (y, x2)</t>
  </si>
  <si>
    <t>R (y, x2)</t>
  </si>
  <si>
    <t>Cov (x1, x2)</t>
  </si>
  <si>
    <t>R (x1, x2)</t>
  </si>
  <si>
    <t>Полученное уравнение регрессии</t>
  </si>
  <si>
    <t>y^=a+b1*x1+b2+x2</t>
  </si>
  <si>
    <t>Формула получения прогнозируемого y</t>
  </si>
  <si>
    <t xml:space="preserve">det Dr = </t>
  </si>
  <si>
    <t>Dr1</t>
  </si>
  <si>
    <t xml:space="preserve">det Dr1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</si>
</sst>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1">
    <font>
      <sz val="11"/>
      <color theme="1"/>
      <name val="Calibri"/>
      <family val="2"/>
      <scheme val="minor"/>
    </font>
    <font>
      <sz val="9"/>
      <color rgb="FF5F6368"/>
      <name val="Roboto Mono"/>
      <family val="3"/>
      <charset val="1"/>
    </font>
    <font>
      <b/>
      <sz val="12"/>
      <color rgb="FF333333"/>
      <name val="Inter"/>
      <charset val="1"/>
    </font>
    <font>
      <b/>
      <i/>
      <sz val="9"/>
      <color rgb="FF4A4949"/>
      <name val="Arial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222222"/>
      <name val="Arial"/>
      <charset val="1"/>
    </font>
    <font>
      <sz val="11"/>
      <color rgb="FFFF0000"/>
      <name val="Calibri"/>
      <family val="2"/>
      <scheme val="minor"/>
    </font>
    <font>
      <sz val="11"/>
      <color rgb="FF333333"/>
      <name val="Inter"/>
      <charset val="1"/>
    </font>
    <font>
      <sz val="11"/>
      <color rgb="FFFF0000"/>
      <name val="Calibri"/>
      <charset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  <charset val="1"/>
    </font>
    <font>
      <sz val="11"/>
      <color rgb="FF444444"/>
      <name val="Calibri"/>
      <charset val="1"/>
    </font>
    <font>
      <sz val="11"/>
      <color rgb="FF222222"/>
      <name val="Calibri"/>
    </font>
    <font>
      <sz val="11"/>
      <color theme="1"/>
      <name val="Calibri"/>
    </font>
    <font>
      <sz val="12"/>
      <color rgb="FF4A4949"/>
      <name val="Arial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A4949"/>
      <name val="Calibri"/>
    </font>
    <font>
      <i/>
      <sz val="9"/>
      <color rgb="FF4A4949"/>
      <name val="Arial"/>
      <charset val="1"/>
    </font>
    <font>
      <b/>
      <sz val="11"/>
      <color rgb="FF000000"/>
      <name val="Calibri"/>
      <charset val="1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CD5B4"/>
        <bgColor rgb="FF000000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/>
      <right style="thin">
        <color rgb="FFECECED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5">
    <xf numFmtId="0" fontId="0" fillId="0" borderId="0" xfId="0"/>
    <xf numFmtId="4" fontId="1" fillId="0" borderId="1" xfId="0" applyNumberFormat="1" applyFont="1" applyBorder="1" applyAlignment="1">
      <alignment wrapText="1"/>
    </xf>
    <xf numFmtId="4" fontId="1" fillId="0" borderId="0" xfId="0" applyNumberFormat="1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/>
    <xf numFmtId="0" fontId="0" fillId="3" borderId="0" xfId="0" applyFill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0" fillId="0" borderId="10" xfId="0" applyBorder="1"/>
    <xf numFmtId="0" fontId="0" fillId="0" borderId="7" xfId="0" applyBorder="1"/>
    <xf numFmtId="0" fontId="4" fillId="4" borderId="0" xfId="0" applyFont="1" applyFill="1"/>
    <xf numFmtId="0" fontId="7" fillId="0" borderId="13" xfId="0" applyFont="1" applyBorder="1"/>
    <xf numFmtId="0" fontId="0" fillId="5" borderId="0" xfId="0" applyFill="1"/>
    <xf numFmtId="0" fontId="0" fillId="6" borderId="0" xfId="0" applyFill="1"/>
    <xf numFmtId="0" fontId="8" fillId="6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left" wrapText="1"/>
    </xf>
    <xf numFmtId="4" fontId="0" fillId="0" borderId="0" xfId="0" applyNumberFormat="1"/>
    <xf numFmtId="0" fontId="0" fillId="0" borderId="0" xfId="0" quotePrefix="1"/>
    <xf numFmtId="0" fontId="9" fillId="0" borderId="0" xfId="0" applyFont="1"/>
    <xf numFmtId="0" fontId="0" fillId="0" borderId="0" xfId="0" applyAlignment="1">
      <alignment horizontal="center"/>
    </xf>
    <xf numFmtId="0" fontId="4" fillId="3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1"/>
    <xf numFmtId="0" fontId="5" fillId="0" borderId="0" xfId="0" quotePrefix="1" applyFont="1"/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11" xfId="0" applyBorder="1"/>
    <xf numFmtId="0" fontId="0" fillId="0" borderId="29" xfId="0" applyBorder="1"/>
    <xf numFmtId="0" fontId="0" fillId="0" borderId="9" xfId="0" applyBorder="1"/>
    <xf numFmtId="0" fontId="0" fillId="0" borderId="3" xfId="0" applyBorder="1"/>
    <xf numFmtId="0" fontId="16" fillId="0" borderId="12" xfId="0" applyFont="1" applyBorder="1"/>
    <xf numFmtId="0" fontId="0" fillId="0" borderId="12" xfId="0" applyBorder="1"/>
    <xf numFmtId="0" fontId="5" fillId="0" borderId="8" xfId="0" quotePrefix="1" applyFont="1" applyBorder="1"/>
    <xf numFmtId="0" fontId="0" fillId="0" borderId="13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30" xfId="0" applyBorder="1"/>
    <xf numFmtId="0" fontId="17" fillId="0" borderId="0" xfId="0" applyFont="1"/>
    <xf numFmtId="0" fontId="0" fillId="7" borderId="0" xfId="0" applyFill="1"/>
    <xf numFmtId="0" fontId="4" fillId="0" borderId="31" xfId="0" applyFont="1" applyBorder="1"/>
    <xf numFmtId="0" fontId="0" fillId="0" borderId="5" xfId="0" applyBorder="1"/>
    <xf numFmtId="0" fontId="0" fillId="0" borderId="4" xfId="0" applyBorder="1"/>
    <xf numFmtId="0" fontId="0" fillId="3" borderId="10" xfId="0" applyFill="1" applyBorder="1"/>
    <xf numFmtId="0" fontId="0" fillId="9" borderId="0" xfId="0" applyFill="1"/>
    <xf numFmtId="0" fontId="4" fillId="0" borderId="32" xfId="0" applyFont="1" applyBorder="1"/>
    <xf numFmtId="0" fontId="0" fillId="7" borderId="12" xfId="0" applyFill="1" applyBorder="1"/>
    <xf numFmtId="0" fontId="20" fillId="0" borderId="0" xfId="0" applyFont="1" applyAlignment="1">
      <alignment horizontal="left" vertical="top"/>
    </xf>
    <xf numFmtId="0" fontId="4" fillId="0" borderId="33" xfId="0" applyFont="1" applyBorder="1"/>
    <xf numFmtId="0" fontId="0" fillId="7" borderId="3" xfId="0" applyFill="1" applyBorder="1"/>
    <xf numFmtId="0" fontId="4" fillId="0" borderId="0" xfId="0" applyFont="1" applyAlignment="1">
      <alignment horizontal="left" vertical="top" wrapText="1"/>
    </xf>
    <xf numFmtId="0" fontId="16" fillId="5" borderId="0" xfId="0" quotePrefix="1" applyFont="1" applyFill="1"/>
    <xf numFmtId="0" fontId="0" fillId="2" borderId="2" xfId="0" applyFill="1" applyBorder="1"/>
    <xf numFmtId="0" fontId="21" fillId="2" borderId="2" xfId="0" applyFont="1" applyFill="1" applyBorder="1"/>
    <xf numFmtId="0" fontId="0" fillId="4" borderId="0" xfId="0" applyFill="1"/>
    <xf numFmtId="0" fontId="0" fillId="0" borderId="0" xfId="0" applyAlignment="1">
      <alignment horizontal="center" vertical="top" wrapText="1"/>
    </xf>
    <xf numFmtId="43" fontId="0" fillId="0" borderId="0" xfId="0" applyNumberFormat="1"/>
    <xf numFmtId="2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6" fillId="0" borderId="13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 wrapText="1"/>
    </xf>
    <xf numFmtId="2" fontId="22" fillId="0" borderId="35" xfId="0" applyNumberFormat="1" applyFont="1" applyBorder="1" applyAlignment="1">
      <alignment horizontal="center" vertical="center" wrapText="1"/>
    </xf>
    <xf numFmtId="2" fontId="22" fillId="0" borderId="36" xfId="0" applyNumberFormat="1" applyFont="1" applyBorder="1" applyAlignment="1">
      <alignment horizontal="center" vertical="center" wrapText="1"/>
    </xf>
    <xf numFmtId="2" fontId="22" fillId="0" borderId="34" xfId="0" applyNumberFormat="1" applyFont="1" applyBorder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4" fillId="4" borderId="0" xfId="0" applyFont="1" applyFill="1" applyAlignment="1">
      <alignment horizontal="center" vertical="top" wrapText="1"/>
    </xf>
    <xf numFmtId="0" fontId="18" fillId="8" borderId="0" xfId="0" applyFont="1" applyFill="1" applyAlignment="1">
      <alignment horizontal="center" vertical="center" wrapText="1"/>
    </xf>
    <xf numFmtId="0" fontId="4" fillId="5" borderId="0" xfId="0" applyFont="1" applyFill="1"/>
  </cellXfs>
  <cellStyles count="2">
    <cellStyle name="Hyperlink" xfId="1" xr:uid="{00000000-000B-0000-0000-000008000000}"/>
    <cellStyle name="Обычный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>
        <left style="thin">
          <color rgb="FF000000"/>
        </left>
      </border>
    </dxf>
    <dxf>
      <border outline="0">
        <bottom style="thin">
          <color theme="1"/>
        </bottom>
      </border>
    </dxf>
    <dxf>
      <border outline="0">
        <right style="thin">
          <color rgb="FF000000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 style="thin">
          <color rgb="FFDDDDDD"/>
        </top>
        <bottom style="thin">
          <color rgb="FFDDDDDD"/>
        </bottom>
        <vertical/>
        <horizontal/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Волынов!$A$3:$A$25</c:f>
              <c:numCache>
                <c:formatCode>0.00</c:formatCode>
                <c:ptCount val="23"/>
                <c:pt idx="0">
                  <c:v>1282.663</c:v>
                </c:pt>
                <c:pt idx="1">
                  <c:v>1363.7049999999999</c:v>
                </c:pt>
                <c:pt idx="2">
                  <c:v>2063.6619999999998</c:v>
                </c:pt>
                <c:pt idx="3">
                  <c:v>2297.1280000000002</c:v>
                </c:pt>
                <c:pt idx="4">
                  <c:v>2210.2559999999999</c:v>
                </c:pt>
                <c:pt idx="5">
                  <c:v>2051.6610000000001</c:v>
                </c:pt>
                <c:pt idx="6">
                  <c:v>1524.9169999999999</c:v>
                </c:pt>
                <c:pt idx="7">
                  <c:v>1222.644</c:v>
                </c:pt>
                <c:pt idx="8">
                  <c:v>1660.846</c:v>
                </c:pt>
                <c:pt idx="9">
                  <c:v>1299.7049999999999</c:v>
                </c:pt>
                <c:pt idx="10">
                  <c:v>989.93</c:v>
                </c:pt>
                <c:pt idx="11">
                  <c:v>764.01700000000005</c:v>
                </c:pt>
                <c:pt idx="12">
                  <c:v>591.01599999999996</c:v>
                </c:pt>
                <c:pt idx="13">
                  <c:v>430.34699999999998</c:v>
                </c:pt>
                <c:pt idx="14">
                  <c:v>345.47</c:v>
                </c:pt>
                <c:pt idx="15">
                  <c:v>306.60199999999998</c:v>
                </c:pt>
                <c:pt idx="16">
                  <c:v>259.70999999999998</c:v>
                </c:pt>
                <c:pt idx="17">
                  <c:v>195.90700000000001</c:v>
                </c:pt>
                <c:pt idx="18">
                  <c:v>270.95499999999998</c:v>
                </c:pt>
                <c:pt idx="19">
                  <c:v>404.928</c:v>
                </c:pt>
                <c:pt idx="20">
                  <c:v>391.72399999999999</c:v>
                </c:pt>
                <c:pt idx="21">
                  <c:v>395.53699999999998</c:v>
                </c:pt>
                <c:pt idx="22">
                  <c:v>395.077</c:v>
                </c:pt>
              </c:numCache>
            </c:numRef>
          </c:xVal>
          <c:yVal>
            <c:numRef>
              <c:f>Волынов!$B$3:$B$25</c:f>
              <c:numCache>
                <c:formatCode>0.00</c:formatCode>
                <c:ptCount val="23"/>
                <c:pt idx="0">
                  <c:v>69.25</c:v>
                </c:pt>
                <c:pt idx="1">
                  <c:v>66.42</c:v>
                </c:pt>
                <c:pt idx="2">
                  <c:v>84.7</c:v>
                </c:pt>
                <c:pt idx="3">
                  <c:v>88.31</c:v>
                </c:pt>
                <c:pt idx="4">
                  <c:v>81.47</c:v>
                </c:pt>
                <c:pt idx="5">
                  <c:v>70.239999999999995</c:v>
                </c:pt>
                <c:pt idx="6">
                  <c:v>58.72</c:v>
                </c:pt>
                <c:pt idx="7">
                  <c:v>51.53</c:v>
                </c:pt>
                <c:pt idx="8">
                  <c:v>56.18</c:v>
                </c:pt>
                <c:pt idx="9">
                  <c:v>43.53</c:v>
                </c:pt>
                <c:pt idx="10">
                  <c:v>34.520000000000003</c:v>
                </c:pt>
                <c:pt idx="11">
                  <c:v>27.34</c:v>
                </c:pt>
                <c:pt idx="12">
                  <c:v>20.96</c:v>
                </c:pt>
                <c:pt idx="13">
                  <c:v>16.97</c:v>
                </c:pt>
                <c:pt idx="14">
                  <c:v>13.94</c:v>
                </c:pt>
                <c:pt idx="15">
                  <c:v>11.68</c:v>
                </c:pt>
                <c:pt idx="16">
                  <c:v>9.23</c:v>
                </c:pt>
                <c:pt idx="17">
                  <c:v>6.47</c:v>
                </c:pt>
                <c:pt idx="18">
                  <c:v>7.96</c:v>
                </c:pt>
                <c:pt idx="19">
                  <c:v>17.579999999999998</c:v>
                </c:pt>
                <c:pt idx="20">
                  <c:v>15.83</c:v>
                </c:pt>
                <c:pt idx="21">
                  <c:v>12.74</c:v>
                </c:pt>
                <c:pt idx="22">
                  <c:v>13.55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2-4866-96B1-E226B356F007}"/>
            </c:ext>
          </c:extLst>
        </c:ser>
        <c:ser>
          <c:idx val="1"/>
          <c:order val="1"/>
          <c:tx>
            <c:v>Линяя регрессии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Волынов!$A$3:$A$25</c:f>
              <c:numCache>
                <c:formatCode>0.00</c:formatCode>
                <c:ptCount val="23"/>
                <c:pt idx="0">
                  <c:v>1282.663</c:v>
                </c:pt>
                <c:pt idx="1">
                  <c:v>1363.7049999999999</c:v>
                </c:pt>
                <c:pt idx="2">
                  <c:v>2063.6619999999998</c:v>
                </c:pt>
                <c:pt idx="3">
                  <c:v>2297.1280000000002</c:v>
                </c:pt>
                <c:pt idx="4">
                  <c:v>2210.2559999999999</c:v>
                </c:pt>
                <c:pt idx="5">
                  <c:v>2051.6610000000001</c:v>
                </c:pt>
                <c:pt idx="6">
                  <c:v>1524.9169999999999</c:v>
                </c:pt>
                <c:pt idx="7">
                  <c:v>1222.644</c:v>
                </c:pt>
                <c:pt idx="8">
                  <c:v>1660.846</c:v>
                </c:pt>
                <c:pt idx="9">
                  <c:v>1299.7049999999999</c:v>
                </c:pt>
                <c:pt idx="10">
                  <c:v>989.93</c:v>
                </c:pt>
                <c:pt idx="11">
                  <c:v>764.01700000000005</c:v>
                </c:pt>
                <c:pt idx="12">
                  <c:v>591.01599999999996</c:v>
                </c:pt>
                <c:pt idx="13">
                  <c:v>430.34699999999998</c:v>
                </c:pt>
                <c:pt idx="14">
                  <c:v>345.47</c:v>
                </c:pt>
                <c:pt idx="15">
                  <c:v>306.60199999999998</c:v>
                </c:pt>
                <c:pt idx="16">
                  <c:v>259.70999999999998</c:v>
                </c:pt>
                <c:pt idx="17">
                  <c:v>195.90700000000001</c:v>
                </c:pt>
                <c:pt idx="18">
                  <c:v>270.95499999999998</c:v>
                </c:pt>
                <c:pt idx="19">
                  <c:v>404.928</c:v>
                </c:pt>
                <c:pt idx="20">
                  <c:v>391.72399999999999</c:v>
                </c:pt>
                <c:pt idx="21">
                  <c:v>395.53699999999998</c:v>
                </c:pt>
                <c:pt idx="22">
                  <c:v>395.077</c:v>
                </c:pt>
              </c:numCache>
            </c:numRef>
          </c:xVal>
          <c:yVal>
            <c:numRef>
              <c:f>Волынов!$C$3:$C$25</c:f>
              <c:numCache>
                <c:formatCode>0.00</c:formatCode>
                <c:ptCount val="23"/>
                <c:pt idx="0">
                  <c:v>49.345567565935653</c:v>
                </c:pt>
                <c:pt idx="1">
                  <c:v>52.402223928210759</c:v>
                </c:pt>
                <c:pt idx="2">
                  <c:v>78.802461056724326</c:v>
                </c:pt>
                <c:pt idx="3">
                  <c:v>87.608084489943167</c:v>
                </c:pt>
                <c:pt idx="4">
                  <c:v>84.331538359497671</c:v>
                </c:pt>
                <c:pt idx="5">
                  <c:v>78.349820043377377</c:v>
                </c:pt>
                <c:pt idx="6">
                  <c:v>58.482647479888833</c:v>
                </c:pt>
                <c:pt idx="7">
                  <c:v>47.08183446202176</c:v>
                </c:pt>
                <c:pt idx="8">
                  <c:v>63.609473602981708</c:v>
                </c:pt>
                <c:pt idx="9">
                  <c:v>49.988339680714311</c:v>
                </c:pt>
                <c:pt idx="10">
                  <c:v>38.304574168711021</c:v>
                </c:pt>
                <c:pt idx="11">
                  <c:v>29.783826793638148</c:v>
                </c:pt>
                <c:pt idx="12">
                  <c:v>23.258758220182955</c:v>
                </c:pt>
                <c:pt idx="13">
                  <c:v>17.198814967667232</c:v>
                </c:pt>
                <c:pt idx="14">
                  <c:v>13.997514135249178</c:v>
                </c:pt>
                <c:pt idx="15">
                  <c:v>12.531532058191493</c:v>
                </c:pt>
                <c:pt idx="16">
                  <c:v>10.762909243603943</c:v>
                </c:pt>
                <c:pt idx="17">
                  <c:v>8.3564552335568241</c:v>
                </c:pt>
                <c:pt idx="18">
                  <c:v>11.187036249277341</c:v>
                </c:pt>
                <c:pt idx="19">
                  <c:v>16.240088035056107</c:v>
                </c:pt>
                <c:pt idx="20">
                  <c:v>15.742073541244498</c:v>
                </c:pt>
                <c:pt idx="21">
                  <c:v>15.885888238677371</c:v>
                </c:pt>
                <c:pt idx="22">
                  <c:v>15.868538445648491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2-4866-96B1-E226B356F007}"/>
            </c:ext>
          </c:extLst>
        </c:ser>
        <c:ser>
          <c:idx val="2"/>
          <c:order val="2"/>
          <c:tx>
            <c:v>Нижняя граница регрессии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Волынов!$A$3:$A$25</c:f>
              <c:numCache>
                <c:formatCode>0.00</c:formatCode>
                <c:ptCount val="23"/>
                <c:pt idx="0">
                  <c:v>1282.663</c:v>
                </c:pt>
                <c:pt idx="1">
                  <c:v>1363.7049999999999</c:v>
                </c:pt>
                <c:pt idx="2">
                  <c:v>2063.6619999999998</c:v>
                </c:pt>
                <c:pt idx="3">
                  <c:v>2297.1280000000002</c:v>
                </c:pt>
                <c:pt idx="4">
                  <c:v>2210.2559999999999</c:v>
                </c:pt>
                <c:pt idx="5">
                  <c:v>2051.6610000000001</c:v>
                </c:pt>
                <c:pt idx="6">
                  <c:v>1524.9169999999999</c:v>
                </c:pt>
                <c:pt idx="7">
                  <c:v>1222.644</c:v>
                </c:pt>
                <c:pt idx="8">
                  <c:v>1660.846</c:v>
                </c:pt>
                <c:pt idx="9">
                  <c:v>1299.7049999999999</c:v>
                </c:pt>
                <c:pt idx="10">
                  <c:v>989.93</c:v>
                </c:pt>
                <c:pt idx="11">
                  <c:v>764.01700000000005</c:v>
                </c:pt>
                <c:pt idx="12">
                  <c:v>591.01599999999996</c:v>
                </c:pt>
                <c:pt idx="13">
                  <c:v>430.34699999999998</c:v>
                </c:pt>
                <c:pt idx="14">
                  <c:v>345.47</c:v>
                </c:pt>
                <c:pt idx="15">
                  <c:v>306.60199999999998</c:v>
                </c:pt>
                <c:pt idx="16">
                  <c:v>259.70999999999998</c:v>
                </c:pt>
                <c:pt idx="17">
                  <c:v>195.90700000000001</c:v>
                </c:pt>
                <c:pt idx="18">
                  <c:v>270.95499999999998</c:v>
                </c:pt>
                <c:pt idx="19">
                  <c:v>404.928</c:v>
                </c:pt>
                <c:pt idx="20">
                  <c:v>391.72399999999999</c:v>
                </c:pt>
                <c:pt idx="21">
                  <c:v>395.53699999999998</c:v>
                </c:pt>
                <c:pt idx="22">
                  <c:v>395.077</c:v>
                </c:pt>
              </c:numCache>
            </c:numRef>
          </c:xVal>
          <c:yVal>
            <c:numRef>
              <c:f>Волынов!$D$3:$D$25</c:f>
              <c:numCache>
                <c:formatCode>0.00</c:formatCode>
                <c:ptCount val="23"/>
                <c:pt idx="0">
                  <c:v>-6.8945695790514492</c:v>
                </c:pt>
                <c:pt idx="1">
                  <c:v>-3.837913216776343</c:v>
                </c:pt>
                <c:pt idx="2">
                  <c:v>22.562323911737224</c:v>
                </c:pt>
                <c:pt idx="3">
                  <c:v>31.367947344956065</c:v>
                </c:pt>
                <c:pt idx="4">
                  <c:v>28.091401214510569</c:v>
                </c:pt>
                <c:pt idx="5">
                  <c:v>22.109682898390275</c:v>
                </c:pt>
                <c:pt idx="6">
                  <c:v>2.2425103349017306</c:v>
                </c:pt>
                <c:pt idx="7">
                  <c:v>-9.158302682965342</c:v>
                </c:pt>
                <c:pt idx="8">
                  <c:v>7.3693364579946063</c:v>
                </c:pt>
                <c:pt idx="9">
                  <c:v>-6.2517974642727907</c:v>
                </c:pt>
                <c:pt idx="10">
                  <c:v>-17.935562976276081</c:v>
                </c:pt>
                <c:pt idx="11">
                  <c:v>-26.456310351348954</c:v>
                </c:pt>
                <c:pt idx="12">
                  <c:v>-32.981378924804147</c:v>
                </c:pt>
                <c:pt idx="13">
                  <c:v>-39.04132217731987</c:v>
                </c:pt>
                <c:pt idx="14">
                  <c:v>-42.242623009737926</c:v>
                </c:pt>
                <c:pt idx="15">
                  <c:v>-43.708605086795608</c:v>
                </c:pt>
                <c:pt idx="16">
                  <c:v>-45.477227901383159</c:v>
                </c:pt>
                <c:pt idx="17">
                  <c:v>-47.88368191143028</c:v>
                </c:pt>
                <c:pt idx="18">
                  <c:v>-45.053100895709761</c:v>
                </c:pt>
                <c:pt idx="19">
                  <c:v>-40.000049109930998</c:v>
                </c:pt>
                <c:pt idx="20">
                  <c:v>-40.498063603742608</c:v>
                </c:pt>
                <c:pt idx="21">
                  <c:v>-40.354248906309735</c:v>
                </c:pt>
                <c:pt idx="22">
                  <c:v>-40.371598699338612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A2-4866-96B1-E226B356F007}"/>
            </c:ext>
          </c:extLst>
        </c:ser>
        <c:ser>
          <c:idx val="3"/>
          <c:order val="3"/>
          <c:tx>
            <c:v>Верхняя граница регрессии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Волынов!$A$3:$A$25</c:f>
              <c:numCache>
                <c:formatCode>0.00</c:formatCode>
                <c:ptCount val="23"/>
                <c:pt idx="0">
                  <c:v>1282.663</c:v>
                </c:pt>
                <c:pt idx="1">
                  <c:v>1363.7049999999999</c:v>
                </c:pt>
                <c:pt idx="2">
                  <c:v>2063.6619999999998</c:v>
                </c:pt>
                <c:pt idx="3">
                  <c:v>2297.1280000000002</c:v>
                </c:pt>
                <c:pt idx="4">
                  <c:v>2210.2559999999999</c:v>
                </c:pt>
                <c:pt idx="5">
                  <c:v>2051.6610000000001</c:v>
                </c:pt>
                <c:pt idx="6">
                  <c:v>1524.9169999999999</c:v>
                </c:pt>
                <c:pt idx="7">
                  <c:v>1222.644</c:v>
                </c:pt>
                <c:pt idx="8">
                  <c:v>1660.846</c:v>
                </c:pt>
                <c:pt idx="9">
                  <c:v>1299.7049999999999</c:v>
                </c:pt>
                <c:pt idx="10">
                  <c:v>989.93</c:v>
                </c:pt>
                <c:pt idx="11">
                  <c:v>764.01700000000005</c:v>
                </c:pt>
                <c:pt idx="12">
                  <c:v>591.01599999999996</c:v>
                </c:pt>
                <c:pt idx="13">
                  <c:v>430.34699999999998</c:v>
                </c:pt>
                <c:pt idx="14">
                  <c:v>345.47</c:v>
                </c:pt>
                <c:pt idx="15">
                  <c:v>306.60199999999998</c:v>
                </c:pt>
                <c:pt idx="16">
                  <c:v>259.70999999999998</c:v>
                </c:pt>
                <c:pt idx="17">
                  <c:v>195.90700000000001</c:v>
                </c:pt>
                <c:pt idx="18">
                  <c:v>270.95499999999998</c:v>
                </c:pt>
                <c:pt idx="19">
                  <c:v>404.928</c:v>
                </c:pt>
                <c:pt idx="20">
                  <c:v>391.72399999999999</c:v>
                </c:pt>
                <c:pt idx="21">
                  <c:v>395.53699999999998</c:v>
                </c:pt>
                <c:pt idx="22">
                  <c:v>395.077</c:v>
                </c:pt>
              </c:numCache>
            </c:numRef>
          </c:xVal>
          <c:yVal>
            <c:numRef>
              <c:f>Волынов!$E$3:$E$25</c:f>
              <c:numCache>
                <c:formatCode>0.00</c:formatCode>
                <c:ptCount val="23"/>
                <c:pt idx="0">
                  <c:v>105.58570471092276</c:v>
                </c:pt>
                <c:pt idx="1">
                  <c:v>108.64236107319786</c:v>
                </c:pt>
                <c:pt idx="2">
                  <c:v>135.04259820171143</c:v>
                </c:pt>
                <c:pt idx="3">
                  <c:v>143.84822163493027</c:v>
                </c:pt>
                <c:pt idx="4">
                  <c:v>140.57167550448477</c:v>
                </c:pt>
                <c:pt idx="5">
                  <c:v>134.58995718836448</c:v>
                </c:pt>
                <c:pt idx="6">
                  <c:v>114.72278462487594</c:v>
                </c:pt>
                <c:pt idx="7">
                  <c:v>103.32197160700886</c:v>
                </c:pt>
                <c:pt idx="8">
                  <c:v>119.84961074796881</c:v>
                </c:pt>
                <c:pt idx="9">
                  <c:v>106.22847682570142</c:v>
                </c:pt>
                <c:pt idx="10">
                  <c:v>94.544711313698116</c:v>
                </c:pt>
                <c:pt idx="11">
                  <c:v>86.023963938625258</c:v>
                </c:pt>
                <c:pt idx="12">
                  <c:v>79.498895365170057</c:v>
                </c:pt>
                <c:pt idx="13">
                  <c:v>73.438952112654334</c:v>
                </c:pt>
                <c:pt idx="14">
                  <c:v>70.237651280236278</c:v>
                </c:pt>
                <c:pt idx="15">
                  <c:v>68.77166920317859</c:v>
                </c:pt>
                <c:pt idx="16">
                  <c:v>67.003046388591045</c:v>
                </c:pt>
                <c:pt idx="17">
                  <c:v>64.596592378543932</c:v>
                </c:pt>
                <c:pt idx="18">
                  <c:v>67.427173394264443</c:v>
                </c:pt>
                <c:pt idx="19">
                  <c:v>72.480225180043206</c:v>
                </c:pt>
                <c:pt idx="20">
                  <c:v>71.982210686231596</c:v>
                </c:pt>
                <c:pt idx="21">
                  <c:v>72.126025383664469</c:v>
                </c:pt>
                <c:pt idx="22">
                  <c:v>72.108675590635599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A2-4866-96B1-E226B356F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07752"/>
        <c:axId val="1405761416"/>
      </c:scatterChart>
      <c:valAx>
        <c:axId val="97540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61416"/>
        <c:crosses val="autoZero"/>
        <c:crossBetween val="midCat"/>
      </c:valAx>
      <c:valAx>
        <c:axId val="14057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0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EgorB!$D$21</c:f>
              <c:strCache>
                <c:ptCount val="1"/>
                <c:pt idx="0">
                  <c:v>Y рост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EgorB!$C$22:$C$31</c:f>
              <c:numCache>
                <c:formatCode>General</c:formatCode>
                <c:ptCount val="10"/>
                <c:pt idx="0">
                  <c:v>55</c:v>
                </c:pt>
                <c:pt idx="1">
                  <c:v>30</c:v>
                </c:pt>
                <c:pt idx="2">
                  <c:v>90</c:v>
                </c:pt>
                <c:pt idx="3">
                  <c:v>71</c:v>
                </c:pt>
                <c:pt idx="4">
                  <c:v>122</c:v>
                </c:pt>
                <c:pt idx="5">
                  <c:v>44</c:v>
                </c:pt>
                <c:pt idx="6">
                  <c:v>64</c:v>
                </c:pt>
                <c:pt idx="7">
                  <c:v>78</c:v>
                </c:pt>
                <c:pt idx="8">
                  <c:v>88</c:v>
                </c:pt>
                <c:pt idx="9">
                  <c:v>49</c:v>
                </c:pt>
              </c:numCache>
            </c:numRef>
          </c:xVal>
          <c:yVal>
            <c:numRef>
              <c:f>EgorB!$D$22:$D$31</c:f>
              <c:numCache>
                <c:formatCode>General</c:formatCode>
                <c:ptCount val="10"/>
                <c:pt idx="0">
                  <c:v>170</c:v>
                </c:pt>
                <c:pt idx="1">
                  <c:v>120</c:v>
                </c:pt>
                <c:pt idx="2">
                  <c:v>187</c:v>
                </c:pt>
                <c:pt idx="3">
                  <c:v>176</c:v>
                </c:pt>
                <c:pt idx="4">
                  <c:v>181</c:v>
                </c:pt>
                <c:pt idx="5">
                  <c:v>132</c:v>
                </c:pt>
                <c:pt idx="6">
                  <c:v>189</c:v>
                </c:pt>
                <c:pt idx="7">
                  <c:v>164</c:v>
                </c:pt>
                <c:pt idx="8">
                  <c:v>193</c:v>
                </c:pt>
                <c:pt idx="9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2-4DB3-8520-BECC968C1A83}"/>
            </c:ext>
          </c:extLst>
        </c:ser>
        <c:ser>
          <c:idx val="1"/>
          <c:order val="1"/>
          <c:tx>
            <c:strRef>
              <c:f>EgorB!$E$21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EgorB!$C$22:$C$31</c:f>
              <c:numCache>
                <c:formatCode>General</c:formatCode>
                <c:ptCount val="10"/>
                <c:pt idx="0">
                  <c:v>55</c:v>
                </c:pt>
                <c:pt idx="1">
                  <c:v>30</c:v>
                </c:pt>
                <c:pt idx="2">
                  <c:v>90</c:v>
                </c:pt>
                <c:pt idx="3">
                  <c:v>71</c:v>
                </c:pt>
                <c:pt idx="4">
                  <c:v>122</c:v>
                </c:pt>
                <c:pt idx="5">
                  <c:v>44</c:v>
                </c:pt>
                <c:pt idx="6">
                  <c:v>64</c:v>
                </c:pt>
                <c:pt idx="7">
                  <c:v>78</c:v>
                </c:pt>
                <c:pt idx="8">
                  <c:v>88</c:v>
                </c:pt>
                <c:pt idx="9">
                  <c:v>49</c:v>
                </c:pt>
              </c:numCache>
            </c:numRef>
          </c:xVal>
          <c:yVal>
            <c:numRef>
              <c:f>EgorB!$E$22:$E$31</c:f>
              <c:numCache>
                <c:formatCode>General</c:formatCode>
                <c:ptCount val="10"/>
                <c:pt idx="0">
                  <c:v>156.57457178665925</c:v>
                </c:pt>
                <c:pt idx="1">
                  <c:v>139.15359977718984</c:v>
                </c:pt>
                <c:pt idx="2">
                  <c:v>180.96393259991646</c:v>
                </c:pt>
                <c:pt idx="3">
                  <c:v>167.72399387271969</c:v>
                </c:pt>
                <c:pt idx="4">
                  <c:v>203.26277677203734</c:v>
                </c:pt>
                <c:pt idx="5">
                  <c:v>148.9093441024927</c:v>
                </c:pt>
                <c:pt idx="6">
                  <c:v>162.84612171006825</c:v>
                </c:pt>
                <c:pt idx="7">
                  <c:v>172.60186603537113</c:v>
                </c:pt>
                <c:pt idx="8">
                  <c:v>179.57025483915891</c:v>
                </c:pt>
                <c:pt idx="9">
                  <c:v>152.39353850438658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92-4DB3-8520-BECC968C1A83}"/>
            </c:ext>
          </c:extLst>
        </c:ser>
        <c:ser>
          <c:idx val="2"/>
          <c:order val="2"/>
          <c:tx>
            <c:strRef>
              <c:f>EgorB!$F$21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EgorB!$C$22:$C$31</c:f>
              <c:numCache>
                <c:formatCode>General</c:formatCode>
                <c:ptCount val="10"/>
                <c:pt idx="0">
                  <c:v>55</c:v>
                </c:pt>
                <c:pt idx="1">
                  <c:v>30</c:v>
                </c:pt>
                <c:pt idx="2">
                  <c:v>90</c:v>
                </c:pt>
                <c:pt idx="3">
                  <c:v>71</c:v>
                </c:pt>
                <c:pt idx="4">
                  <c:v>122</c:v>
                </c:pt>
                <c:pt idx="5">
                  <c:v>44</c:v>
                </c:pt>
                <c:pt idx="6">
                  <c:v>64</c:v>
                </c:pt>
                <c:pt idx="7">
                  <c:v>78</c:v>
                </c:pt>
                <c:pt idx="8">
                  <c:v>88</c:v>
                </c:pt>
                <c:pt idx="9">
                  <c:v>49</c:v>
                </c:pt>
              </c:numCache>
            </c:numRef>
          </c:xVal>
          <c:yVal>
            <c:numRef>
              <c:f>EgorB!$F$22:$F$31</c:f>
              <c:numCache>
                <c:formatCode>General</c:formatCode>
                <c:ptCount val="10"/>
                <c:pt idx="0">
                  <c:v>107.08652609210108</c:v>
                </c:pt>
                <c:pt idx="1">
                  <c:v>89.665554082631672</c:v>
                </c:pt>
                <c:pt idx="2">
                  <c:v>131.47588690535829</c:v>
                </c:pt>
                <c:pt idx="3">
                  <c:v>118.23594817816152</c:v>
                </c:pt>
                <c:pt idx="4">
                  <c:v>153.77473107747917</c:v>
                </c:pt>
                <c:pt idx="5">
                  <c:v>99.421298407934529</c:v>
                </c:pt>
                <c:pt idx="6">
                  <c:v>113.35807601551008</c:v>
                </c:pt>
                <c:pt idx="7">
                  <c:v>123.11382034081296</c:v>
                </c:pt>
                <c:pt idx="8">
                  <c:v>130.08220914460074</c:v>
                </c:pt>
                <c:pt idx="9">
                  <c:v>102.90549280982842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92-4DB3-8520-BECC968C1A83}"/>
            </c:ext>
          </c:extLst>
        </c:ser>
        <c:ser>
          <c:idx val="3"/>
          <c:order val="3"/>
          <c:tx>
            <c:strRef>
              <c:f>EgorB!$G$21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EgorB!$C$22:$C$31</c:f>
              <c:numCache>
                <c:formatCode>General</c:formatCode>
                <c:ptCount val="10"/>
                <c:pt idx="0">
                  <c:v>55</c:v>
                </c:pt>
                <c:pt idx="1">
                  <c:v>30</c:v>
                </c:pt>
                <c:pt idx="2">
                  <c:v>90</c:v>
                </c:pt>
                <c:pt idx="3">
                  <c:v>71</c:v>
                </c:pt>
                <c:pt idx="4">
                  <c:v>122</c:v>
                </c:pt>
                <c:pt idx="5">
                  <c:v>44</c:v>
                </c:pt>
                <c:pt idx="6">
                  <c:v>64</c:v>
                </c:pt>
                <c:pt idx="7">
                  <c:v>78</c:v>
                </c:pt>
                <c:pt idx="8">
                  <c:v>88</c:v>
                </c:pt>
                <c:pt idx="9">
                  <c:v>49</c:v>
                </c:pt>
              </c:numCache>
            </c:numRef>
          </c:xVal>
          <c:yVal>
            <c:numRef>
              <c:f>EgorB!$G$22:$G$31</c:f>
              <c:numCache>
                <c:formatCode>General</c:formatCode>
                <c:ptCount val="10"/>
                <c:pt idx="0">
                  <c:v>206.06261748121742</c:v>
                </c:pt>
                <c:pt idx="1">
                  <c:v>188.64164547174801</c:v>
                </c:pt>
                <c:pt idx="2">
                  <c:v>230.45197829447463</c:v>
                </c:pt>
                <c:pt idx="3">
                  <c:v>217.21203956727786</c:v>
                </c:pt>
                <c:pt idx="4">
                  <c:v>252.75082246659551</c:v>
                </c:pt>
                <c:pt idx="5">
                  <c:v>198.39738979705086</c:v>
                </c:pt>
                <c:pt idx="6">
                  <c:v>212.33416740462641</c:v>
                </c:pt>
                <c:pt idx="7">
                  <c:v>222.0899117299293</c:v>
                </c:pt>
                <c:pt idx="8">
                  <c:v>229.05830053371707</c:v>
                </c:pt>
                <c:pt idx="9">
                  <c:v>201.88158419894475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92-4DB3-8520-BECC968C1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30072"/>
        <c:axId val="1639432744"/>
      </c:scatterChart>
      <c:valAx>
        <c:axId val="41013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32744"/>
        <c:crosses val="autoZero"/>
        <c:crossBetween val="midCat"/>
      </c:valAx>
      <c:valAx>
        <c:axId val="163943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30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Башиянц!$B$2</c:f>
              <c:strCache>
                <c:ptCount val="1"/>
                <c:pt idx="0">
                  <c:v>Рост(h)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Башиянц!$A$3:$A$13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</c:numCache>
            </c:numRef>
          </c:xVal>
          <c:yVal>
            <c:numRef>
              <c:f>Башиянц!$B$3:$B$13</c:f>
              <c:numCache>
                <c:formatCode>General</c:formatCode>
                <c:ptCount val="11"/>
                <c:pt idx="0">
                  <c:v>110</c:v>
                </c:pt>
                <c:pt idx="1">
                  <c:v>134</c:v>
                </c:pt>
                <c:pt idx="2">
                  <c:v>111</c:v>
                </c:pt>
                <c:pt idx="3">
                  <c:v>124</c:v>
                </c:pt>
                <c:pt idx="4">
                  <c:v>96</c:v>
                </c:pt>
                <c:pt idx="5">
                  <c:v>144</c:v>
                </c:pt>
                <c:pt idx="6">
                  <c:v>123</c:v>
                </c:pt>
                <c:pt idx="7">
                  <c:v>118</c:v>
                </c:pt>
                <c:pt idx="8">
                  <c:v>80</c:v>
                </c:pt>
                <c:pt idx="9">
                  <c:v>117</c:v>
                </c:pt>
                <c:pt idx="1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71-41ED-903F-2B310A1B1A8D}"/>
            </c:ext>
          </c:extLst>
        </c:ser>
        <c:ser>
          <c:idx val="1"/>
          <c:order val="1"/>
          <c:tx>
            <c:strRef>
              <c:f>Башиянц!$C$2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Башиянц!$A$3:$A$13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</c:numCache>
            </c:numRef>
          </c:xVal>
          <c:yVal>
            <c:numRef>
              <c:f>Башиянц!$C$3:$C$13</c:f>
              <c:numCache>
                <c:formatCode>General</c:formatCode>
                <c:ptCount val="11"/>
                <c:pt idx="0">
                  <c:v>120.59090909090911</c:v>
                </c:pt>
                <c:pt idx="1">
                  <c:v>132.31818181818184</c:v>
                </c:pt>
                <c:pt idx="2">
                  <c:v>108.86363636363637</c:v>
                </c:pt>
                <c:pt idx="3">
                  <c:v>114.72727272727273</c:v>
                </c:pt>
                <c:pt idx="4">
                  <c:v>97.136363636363626</c:v>
                </c:pt>
                <c:pt idx="5">
                  <c:v>138.18181818181822</c:v>
                </c:pt>
                <c:pt idx="6">
                  <c:v>108.86363636363637</c:v>
                </c:pt>
                <c:pt idx="7">
                  <c:v>114.72727272727273</c:v>
                </c:pt>
                <c:pt idx="8">
                  <c:v>91.272727272727252</c:v>
                </c:pt>
                <c:pt idx="9">
                  <c:v>132.31818181818184</c:v>
                </c:pt>
                <c:pt idx="10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BB-4DD1-A175-19C20AB0CDE7}"/>
            </c:ext>
          </c:extLst>
        </c:ser>
        <c:ser>
          <c:idx val="2"/>
          <c:order val="2"/>
          <c:tx>
            <c:strRef>
              <c:f>Башиянц!$D$2</c:f>
              <c:strCache>
                <c:ptCount val="1"/>
                <c:pt idx="0">
                  <c:v>y2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Башиянц!$A$3:$A$13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</c:numCache>
            </c:numRef>
          </c:xVal>
          <c:yVal>
            <c:numRef>
              <c:f>Башиянц!$D$3:$D$13</c:f>
              <c:numCache>
                <c:formatCode>General</c:formatCode>
                <c:ptCount val="11"/>
                <c:pt idx="0">
                  <c:v>85.455845019916865</c:v>
                </c:pt>
                <c:pt idx="1">
                  <c:v>97.183117747189613</c:v>
                </c:pt>
                <c:pt idx="2">
                  <c:v>73.728572292644145</c:v>
                </c:pt>
                <c:pt idx="3">
                  <c:v>79.592208656280491</c:v>
                </c:pt>
                <c:pt idx="4">
                  <c:v>62.00129956537139</c:v>
                </c:pt>
                <c:pt idx="5">
                  <c:v>103.04675411082599</c:v>
                </c:pt>
                <c:pt idx="6">
                  <c:v>73.728572292644145</c:v>
                </c:pt>
                <c:pt idx="7">
                  <c:v>79.592208656280491</c:v>
                </c:pt>
                <c:pt idx="8">
                  <c:v>56.137663201735016</c:v>
                </c:pt>
                <c:pt idx="9">
                  <c:v>97.183117747189613</c:v>
                </c:pt>
                <c:pt idx="10">
                  <c:v>67.864935929007771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1-4DEA-B908-064A0EE6B317}"/>
            </c:ext>
          </c:extLst>
        </c:ser>
        <c:ser>
          <c:idx val="3"/>
          <c:order val="3"/>
          <c:tx>
            <c:strRef>
              <c:f>Башиянц!$E$2</c:f>
              <c:strCache>
                <c:ptCount val="1"/>
                <c:pt idx="0">
                  <c:v>y3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Башиянц!$A$3:$A$13</c:f>
              <c:numCache>
                <c:formatCode>General</c:formatCode>
                <c:ptCount val="11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</c:numCache>
            </c:numRef>
          </c:xVal>
          <c:yVal>
            <c:numRef>
              <c:f>Башиянц!$E$3:$E$13</c:f>
              <c:numCache>
                <c:formatCode>General</c:formatCode>
                <c:ptCount val="11"/>
                <c:pt idx="0">
                  <c:v>155.72597316190135</c:v>
                </c:pt>
                <c:pt idx="1">
                  <c:v>167.45324588917407</c:v>
                </c:pt>
                <c:pt idx="2">
                  <c:v>143.9987004346286</c:v>
                </c:pt>
                <c:pt idx="3">
                  <c:v>149.86233679826498</c:v>
                </c:pt>
                <c:pt idx="4">
                  <c:v>132.27142770735585</c:v>
                </c:pt>
                <c:pt idx="5">
                  <c:v>173.31688225281044</c:v>
                </c:pt>
                <c:pt idx="6">
                  <c:v>143.9987004346286</c:v>
                </c:pt>
                <c:pt idx="7">
                  <c:v>149.86233679826498</c:v>
                </c:pt>
                <c:pt idx="8">
                  <c:v>126.40779134371948</c:v>
                </c:pt>
                <c:pt idx="9">
                  <c:v>167.45324588917407</c:v>
                </c:pt>
                <c:pt idx="10">
                  <c:v>138.13506407099223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7D1-4DEA-B908-064A0EE6B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018551"/>
        <c:axId val="699484168"/>
      </c:scatterChart>
      <c:valAx>
        <c:axId val="1721018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84168"/>
        <c:crosses val="autoZero"/>
        <c:crossBetween val="midCat"/>
      </c:valAx>
      <c:valAx>
        <c:axId val="69948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рост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18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Кучмар!$A$2:$A$14</c:f>
              <c:numCache>
                <c:formatCode>#,##0.00</c:formatCode>
                <c:ptCount val="13"/>
                <c:pt idx="0">
                  <c:v>73.847017017515</c:v>
                </c:pt>
                <c:pt idx="1">
                  <c:v>68.7819040458903</c:v>
                </c:pt>
                <c:pt idx="2">
                  <c:v>74.110105391784899</c:v>
                </c:pt>
                <c:pt idx="3">
                  <c:v>71.730978403337701</c:v>
                </c:pt>
                <c:pt idx="4">
                  <c:v>69.881795861115293</c:v>
                </c:pt>
                <c:pt idx="5">
                  <c:v>67.253015687806496</c:v>
                </c:pt>
                <c:pt idx="6">
                  <c:v>68.785081251661595</c:v>
                </c:pt>
                <c:pt idx="7">
                  <c:v>68.348515511587905</c:v>
                </c:pt>
                <c:pt idx="8">
                  <c:v>67.018949662883003</c:v>
                </c:pt>
                <c:pt idx="9">
                  <c:v>63.456493978366403</c:v>
                </c:pt>
                <c:pt idx="10">
                  <c:v>71.195382282974506</c:v>
                </c:pt>
                <c:pt idx="11">
                  <c:v>71.640805119220602</c:v>
                </c:pt>
                <c:pt idx="12">
                  <c:v>64.766329133405506</c:v>
                </c:pt>
              </c:numCache>
            </c:numRef>
          </c:xVal>
          <c:yVal>
            <c:numRef>
              <c:f>Кучмар!$B$2:$B$14</c:f>
              <c:numCache>
                <c:formatCode>#,##0.00</c:formatCode>
                <c:ptCount val="13"/>
                <c:pt idx="0">
                  <c:v>241.89356318043701</c:v>
                </c:pt>
                <c:pt idx="1">
                  <c:v>162.3104725213</c:v>
                </c:pt>
                <c:pt idx="2">
                  <c:v>212.74085555650001</c:v>
                </c:pt>
                <c:pt idx="3">
                  <c:v>220.04247030307701</c:v>
                </c:pt>
                <c:pt idx="4">
                  <c:v>206.349800623871</c:v>
                </c:pt>
                <c:pt idx="5">
                  <c:v>152.212155757083</c:v>
                </c:pt>
                <c:pt idx="6">
                  <c:v>183.92788860403101</c:v>
                </c:pt>
                <c:pt idx="7">
                  <c:v>167.97111048950899</c:v>
                </c:pt>
                <c:pt idx="8">
                  <c:v>175.92944039571</c:v>
                </c:pt>
                <c:pt idx="9">
                  <c:v>156.39967638711201</c:v>
                </c:pt>
                <c:pt idx="10">
                  <c:v>186.604925560358</c:v>
                </c:pt>
                <c:pt idx="11">
                  <c:v>213.74116948941099</c:v>
                </c:pt>
                <c:pt idx="12">
                  <c:v>167.12746107347601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3-4404-AE87-8DDB17DE2D5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Кучмар!$A$2:$A$14</c:f>
              <c:numCache>
                <c:formatCode>#,##0.00</c:formatCode>
                <c:ptCount val="13"/>
                <c:pt idx="0">
                  <c:v>73.847017017515</c:v>
                </c:pt>
                <c:pt idx="1">
                  <c:v>68.7819040458903</c:v>
                </c:pt>
                <c:pt idx="2">
                  <c:v>74.110105391784899</c:v>
                </c:pt>
                <c:pt idx="3">
                  <c:v>71.730978403337701</c:v>
                </c:pt>
                <c:pt idx="4">
                  <c:v>69.881795861115293</c:v>
                </c:pt>
                <c:pt idx="5">
                  <c:v>67.253015687806496</c:v>
                </c:pt>
                <c:pt idx="6">
                  <c:v>68.785081251661595</c:v>
                </c:pt>
                <c:pt idx="7">
                  <c:v>68.348515511587905</c:v>
                </c:pt>
                <c:pt idx="8">
                  <c:v>67.018949662883003</c:v>
                </c:pt>
                <c:pt idx="9">
                  <c:v>63.456493978366403</c:v>
                </c:pt>
                <c:pt idx="10">
                  <c:v>71.195382282974506</c:v>
                </c:pt>
                <c:pt idx="11">
                  <c:v>71.640805119220602</c:v>
                </c:pt>
                <c:pt idx="12">
                  <c:v>64.766329133405506</c:v>
                </c:pt>
              </c:numCache>
            </c:numRef>
          </c:xVal>
          <c:yVal>
            <c:numRef>
              <c:f>Кучмар!$C$2:$C$14</c:f>
              <c:numCache>
                <c:formatCode>General</c:formatCode>
                <c:ptCount val="13"/>
                <c:pt idx="0">
                  <c:v>222.02900550160064</c:v>
                </c:pt>
                <c:pt idx="1">
                  <c:v>184.4543973788185</c:v>
                </c:pt>
                <c:pt idx="2">
                  <c:v>223.9806781731146</c:v>
                </c:pt>
                <c:pt idx="3">
                  <c:v>206.33156259246778</c:v>
                </c:pt>
                <c:pt idx="4">
                  <c:v>192.61374232651428</c:v>
                </c:pt>
                <c:pt idx="5">
                  <c:v>173.11262055364028</c:v>
                </c:pt>
                <c:pt idx="6">
                  <c:v>184.47796689492816</c:v>
                </c:pt>
                <c:pt idx="7">
                  <c:v>181.23938432135139</c:v>
                </c:pt>
                <c:pt idx="8">
                  <c:v>171.37624483791041</c:v>
                </c:pt>
                <c:pt idx="9">
                  <c:v>144.94882316925765</c:v>
                </c:pt>
                <c:pt idx="10">
                  <c:v>202.35834137361815</c:v>
                </c:pt>
                <c:pt idx="11">
                  <c:v>205.66262868461115</c:v>
                </c:pt>
                <c:pt idx="12">
                  <c:v>154.66559413404246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4-43AD-8286-559F75C88C8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Кучмар!$A$2:$A$14</c:f>
              <c:numCache>
                <c:formatCode>#,##0.00</c:formatCode>
                <c:ptCount val="13"/>
                <c:pt idx="0">
                  <c:v>73.847017017515</c:v>
                </c:pt>
                <c:pt idx="1">
                  <c:v>68.7819040458903</c:v>
                </c:pt>
                <c:pt idx="2">
                  <c:v>74.110105391784899</c:v>
                </c:pt>
                <c:pt idx="3">
                  <c:v>71.730978403337701</c:v>
                </c:pt>
                <c:pt idx="4">
                  <c:v>69.881795861115293</c:v>
                </c:pt>
                <c:pt idx="5">
                  <c:v>67.253015687806496</c:v>
                </c:pt>
                <c:pt idx="6">
                  <c:v>68.785081251661595</c:v>
                </c:pt>
                <c:pt idx="7">
                  <c:v>68.348515511587905</c:v>
                </c:pt>
                <c:pt idx="8">
                  <c:v>67.018949662883003</c:v>
                </c:pt>
                <c:pt idx="9">
                  <c:v>63.456493978366403</c:v>
                </c:pt>
                <c:pt idx="10">
                  <c:v>71.195382282974506</c:v>
                </c:pt>
                <c:pt idx="11">
                  <c:v>71.640805119220602</c:v>
                </c:pt>
                <c:pt idx="12">
                  <c:v>64.766329133405506</c:v>
                </c:pt>
              </c:numCache>
            </c:numRef>
          </c:xVal>
          <c:yVal>
            <c:numRef>
              <c:f>Кучмар!$D$2:$D$14</c:f>
              <c:numCache>
                <c:formatCode>General</c:formatCode>
                <c:ptCount val="13"/>
                <c:pt idx="0">
                  <c:v>165.80859377816699</c:v>
                </c:pt>
                <c:pt idx="1">
                  <c:v>128.23398565538486</c:v>
                </c:pt>
                <c:pt idx="2">
                  <c:v>167.76026644968096</c:v>
                </c:pt>
                <c:pt idx="3">
                  <c:v>150.11115086903413</c:v>
                </c:pt>
                <c:pt idx="4">
                  <c:v>136.39333060308064</c:v>
                </c:pt>
                <c:pt idx="5">
                  <c:v>116.89220883020666</c:v>
                </c:pt>
                <c:pt idx="6">
                  <c:v>128.25755517149452</c:v>
                </c:pt>
                <c:pt idx="7">
                  <c:v>125.01897259791777</c:v>
                </c:pt>
                <c:pt idx="8">
                  <c:v>115.15583311447678</c:v>
                </c:pt>
                <c:pt idx="9">
                  <c:v>88.728411445824023</c:v>
                </c:pt>
                <c:pt idx="10">
                  <c:v>146.1379296501845</c:v>
                </c:pt>
                <c:pt idx="11">
                  <c:v>149.44221696117751</c:v>
                </c:pt>
                <c:pt idx="12">
                  <c:v>98.445182410608837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64-43AD-8286-559F75C88C8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Кучмар!$A$2:$A$14</c:f>
              <c:numCache>
                <c:formatCode>#,##0.00</c:formatCode>
                <c:ptCount val="13"/>
                <c:pt idx="0">
                  <c:v>73.847017017515</c:v>
                </c:pt>
                <c:pt idx="1">
                  <c:v>68.7819040458903</c:v>
                </c:pt>
                <c:pt idx="2">
                  <c:v>74.110105391784899</c:v>
                </c:pt>
                <c:pt idx="3">
                  <c:v>71.730978403337701</c:v>
                </c:pt>
                <c:pt idx="4">
                  <c:v>69.881795861115293</c:v>
                </c:pt>
                <c:pt idx="5">
                  <c:v>67.253015687806496</c:v>
                </c:pt>
                <c:pt idx="6">
                  <c:v>68.785081251661595</c:v>
                </c:pt>
                <c:pt idx="7">
                  <c:v>68.348515511587905</c:v>
                </c:pt>
                <c:pt idx="8">
                  <c:v>67.018949662883003</c:v>
                </c:pt>
                <c:pt idx="9">
                  <c:v>63.456493978366403</c:v>
                </c:pt>
                <c:pt idx="10">
                  <c:v>71.195382282974506</c:v>
                </c:pt>
                <c:pt idx="11">
                  <c:v>71.640805119220602</c:v>
                </c:pt>
                <c:pt idx="12">
                  <c:v>64.766329133405506</c:v>
                </c:pt>
              </c:numCache>
            </c:numRef>
          </c:xVal>
          <c:yVal>
            <c:numRef>
              <c:f>Кучмар!$E$2:$E$14</c:f>
              <c:numCache>
                <c:formatCode>General</c:formatCode>
                <c:ptCount val="13"/>
                <c:pt idx="0">
                  <c:v>278.24941722503428</c:v>
                </c:pt>
                <c:pt idx="1">
                  <c:v>240.67480910225214</c:v>
                </c:pt>
                <c:pt idx="2">
                  <c:v>280.20108989654824</c:v>
                </c:pt>
                <c:pt idx="3">
                  <c:v>262.55197431590142</c:v>
                </c:pt>
                <c:pt idx="4">
                  <c:v>248.83415404994793</c:v>
                </c:pt>
                <c:pt idx="5">
                  <c:v>229.33303227707393</c:v>
                </c:pt>
                <c:pt idx="6">
                  <c:v>240.6983786183618</c:v>
                </c:pt>
                <c:pt idx="7">
                  <c:v>237.45979604478504</c:v>
                </c:pt>
                <c:pt idx="8">
                  <c:v>227.59665656134405</c:v>
                </c:pt>
                <c:pt idx="9">
                  <c:v>201.16923489269129</c:v>
                </c:pt>
                <c:pt idx="10">
                  <c:v>258.57875309705179</c:v>
                </c:pt>
                <c:pt idx="11">
                  <c:v>261.88304040804479</c:v>
                </c:pt>
                <c:pt idx="12">
                  <c:v>210.88600585747611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64-43AD-8286-559F75C88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5463"/>
        <c:axId val="835968072"/>
      </c:scatterChart>
      <c:valAx>
        <c:axId val="1691805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68072"/>
        <c:crosses val="autoZero"/>
        <c:crossBetween val="midCat"/>
      </c:valAx>
      <c:valAx>
        <c:axId val="83596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05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Пестрецов!$B$2:$B$11</c:f>
              <c:numCache>
                <c:formatCode>General</c:formatCode>
                <c:ptCount val="10"/>
                <c:pt idx="0">
                  <c:v>211.4</c:v>
                </c:pt>
                <c:pt idx="1">
                  <c:v>212.7</c:v>
                </c:pt>
                <c:pt idx="2">
                  <c:v>258.2</c:v>
                </c:pt>
                <c:pt idx="3">
                  <c:v>359.1</c:v>
                </c:pt>
                <c:pt idx="4">
                  <c:v>383.5</c:v>
                </c:pt>
                <c:pt idx="5">
                  <c:v>373.6</c:v>
                </c:pt>
                <c:pt idx="6">
                  <c:v>392.1</c:v>
                </c:pt>
                <c:pt idx="7">
                  <c:v>387.4</c:v>
                </c:pt>
                <c:pt idx="8">
                  <c:v>364.9</c:v>
                </c:pt>
                <c:pt idx="9">
                  <c:v>357.7</c:v>
                </c:pt>
              </c:numCache>
            </c:numRef>
          </c:xVal>
          <c:yVal>
            <c:numRef>
              <c:f>Пестрецов!$C$2:$C$11</c:f>
              <c:numCache>
                <c:formatCode>General</c:formatCode>
                <c:ptCount val="10"/>
                <c:pt idx="0">
                  <c:v>8.8940000000000001</c:v>
                </c:pt>
                <c:pt idx="1">
                  <c:v>17.207000000000001</c:v>
                </c:pt>
                <c:pt idx="2">
                  <c:v>17.783999999999999</c:v>
                </c:pt>
                <c:pt idx="3">
                  <c:v>12.456</c:v>
                </c:pt>
                <c:pt idx="4">
                  <c:v>36.622</c:v>
                </c:pt>
                <c:pt idx="5">
                  <c:v>76.938000000000002</c:v>
                </c:pt>
                <c:pt idx="6">
                  <c:v>182.24</c:v>
                </c:pt>
                <c:pt idx="7">
                  <c:v>478.762</c:v>
                </c:pt>
                <c:pt idx="8">
                  <c:v>426.28100000000001</c:v>
                </c:pt>
                <c:pt idx="9">
                  <c:v>479.37900000000002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0C-445B-9647-6E569EABB3D3}"/>
            </c:ext>
          </c:extLst>
        </c:ser>
        <c:ser>
          <c:idx val="1"/>
          <c:order val="1"/>
          <c:tx>
            <c:v>Линия регрессии</c:v>
          </c:tx>
          <c:spPr>
            <a:ln w="19050" cap="rnd">
              <a:solidFill>
                <a:srgbClr val="F4B08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Пестрецов!$B$2:$B$11</c:f>
              <c:numCache>
                <c:formatCode>General</c:formatCode>
                <c:ptCount val="10"/>
                <c:pt idx="0">
                  <c:v>211.4</c:v>
                </c:pt>
                <c:pt idx="1">
                  <c:v>212.7</c:v>
                </c:pt>
                <c:pt idx="2">
                  <c:v>258.2</c:v>
                </c:pt>
                <c:pt idx="3">
                  <c:v>359.1</c:v>
                </c:pt>
                <c:pt idx="4">
                  <c:v>383.5</c:v>
                </c:pt>
                <c:pt idx="5">
                  <c:v>373.6</c:v>
                </c:pt>
                <c:pt idx="6">
                  <c:v>392.1</c:v>
                </c:pt>
                <c:pt idx="7">
                  <c:v>387.4</c:v>
                </c:pt>
                <c:pt idx="8">
                  <c:v>364.9</c:v>
                </c:pt>
                <c:pt idx="9">
                  <c:v>357.7</c:v>
                </c:pt>
              </c:numCache>
            </c:numRef>
          </c:xVal>
          <c:yVal>
            <c:numRef>
              <c:f>Пестрецов!$D$2:$D$11</c:f>
              <c:numCache>
                <c:formatCode>General</c:formatCode>
                <c:ptCount val="10"/>
                <c:pt idx="0">
                  <c:v>142.07120733184669</c:v>
                </c:pt>
                <c:pt idx="1">
                  <c:v>142.4172432366891</c:v>
                </c:pt>
                <c:pt idx="2">
                  <c:v>154.52849990617312</c:v>
                </c:pt>
                <c:pt idx="3">
                  <c:v>181.38620975124874</c:v>
                </c:pt>
                <c:pt idx="4">
                  <c:v>187.88103750367534</c:v>
                </c:pt>
                <c:pt idx="5">
                  <c:v>185.24584099756783</c:v>
                </c:pt>
                <c:pt idx="6">
                  <c:v>190.17019810494045</c:v>
                </c:pt>
                <c:pt idx="7">
                  <c:v>188.91914521820252</c:v>
                </c:pt>
                <c:pt idx="8">
                  <c:v>182.93006224977637</c:v>
                </c:pt>
                <c:pt idx="9">
                  <c:v>181.01355569987999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0C-445B-9647-6E569EABB3D3}"/>
            </c:ext>
          </c:extLst>
        </c:ser>
        <c:ser>
          <c:idx val="2"/>
          <c:order val="2"/>
          <c:tx>
            <c:v>Нижняя граница регрессии</c:v>
          </c:tx>
          <c:spPr>
            <a:ln w="19050" cap="rnd">
              <a:solidFill>
                <a:srgbClr val="8080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Пестрецов!$B$2:$B$11</c:f>
              <c:numCache>
                <c:formatCode>General</c:formatCode>
                <c:ptCount val="10"/>
                <c:pt idx="0">
                  <c:v>211.4</c:v>
                </c:pt>
                <c:pt idx="1">
                  <c:v>212.7</c:v>
                </c:pt>
                <c:pt idx="2">
                  <c:v>258.2</c:v>
                </c:pt>
                <c:pt idx="3">
                  <c:v>359.1</c:v>
                </c:pt>
                <c:pt idx="4">
                  <c:v>383.5</c:v>
                </c:pt>
                <c:pt idx="5">
                  <c:v>373.6</c:v>
                </c:pt>
                <c:pt idx="6">
                  <c:v>392.1</c:v>
                </c:pt>
                <c:pt idx="7">
                  <c:v>387.4</c:v>
                </c:pt>
                <c:pt idx="8">
                  <c:v>364.9</c:v>
                </c:pt>
                <c:pt idx="9">
                  <c:v>357.7</c:v>
                </c:pt>
              </c:numCache>
            </c:numRef>
          </c:xVal>
          <c:yVal>
            <c:numRef>
              <c:f>Пестрецов!$E$2:$E$11</c:f>
              <c:numCache>
                <c:formatCode>General</c:formatCode>
                <c:ptCount val="10"/>
                <c:pt idx="0">
                  <c:v>-269.15261112774692</c:v>
                </c:pt>
                <c:pt idx="1">
                  <c:v>-268.80657522290454</c:v>
                </c:pt>
                <c:pt idx="2">
                  <c:v>-256.69531855342052</c:v>
                </c:pt>
                <c:pt idx="3">
                  <c:v>-229.8376087083449</c:v>
                </c:pt>
                <c:pt idx="4">
                  <c:v>-223.3427809559183</c:v>
                </c:pt>
                <c:pt idx="5">
                  <c:v>-225.97797746202582</c:v>
                </c:pt>
                <c:pt idx="6">
                  <c:v>-221.05362035465319</c:v>
                </c:pt>
                <c:pt idx="7">
                  <c:v>-222.30467324139113</c:v>
                </c:pt>
                <c:pt idx="8">
                  <c:v>-228.29375620981727</c:v>
                </c:pt>
                <c:pt idx="9">
                  <c:v>-230.21026275971366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C0C-445B-9647-6E569EABB3D3}"/>
            </c:ext>
          </c:extLst>
        </c:ser>
        <c:ser>
          <c:idx val="3"/>
          <c:order val="3"/>
          <c:tx>
            <c:v>Верхняя граница регрессии</c:v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Пестрецов!$B$2:$B$11</c:f>
              <c:numCache>
                <c:formatCode>General</c:formatCode>
                <c:ptCount val="10"/>
                <c:pt idx="0">
                  <c:v>211.4</c:v>
                </c:pt>
                <c:pt idx="1">
                  <c:v>212.7</c:v>
                </c:pt>
                <c:pt idx="2">
                  <c:v>258.2</c:v>
                </c:pt>
                <c:pt idx="3">
                  <c:v>359.1</c:v>
                </c:pt>
                <c:pt idx="4">
                  <c:v>383.5</c:v>
                </c:pt>
                <c:pt idx="5">
                  <c:v>373.6</c:v>
                </c:pt>
                <c:pt idx="6">
                  <c:v>392.1</c:v>
                </c:pt>
                <c:pt idx="7">
                  <c:v>387.4</c:v>
                </c:pt>
                <c:pt idx="8">
                  <c:v>364.9</c:v>
                </c:pt>
                <c:pt idx="9">
                  <c:v>357.7</c:v>
                </c:pt>
              </c:numCache>
            </c:numRef>
          </c:xVal>
          <c:yVal>
            <c:numRef>
              <c:f>Пестрецов!$F$2:$F$11</c:f>
              <c:numCache>
                <c:formatCode>General</c:formatCode>
                <c:ptCount val="10"/>
                <c:pt idx="0">
                  <c:v>553.29502579144037</c:v>
                </c:pt>
                <c:pt idx="1">
                  <c:v>553.6410616962828</c:v>
                </c:pt>
                <c:pt idx="2">
                  <c:v>565.75231836576677</c:v>
                </c:pt>
                <c:pt idx="3">
                  <c:v>592.61002821084242</c:v>
                </c:pt>
                <c:pt idx="4">
                  <c:v>599.10485596326896</c:v>
                </c:pt>
                <c:pt idx="5">
                  <c:v>596.46965945716147</c:v>
                </c:pt>
                <c:pt idx="6">
                  <c:v>601.39401656453413</c:v>
                </c:pt>
                <c:pt idx="7">
                  <c:v>600.14296367779616</c:v>
                </c:pt>
                <c:pt idx="8">
                  <c:v>594.15388070937001</c:v>
                </c:pt>
                <c:pt idx="9">
                  <c:v>592.23737415947357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8C0C-445B-9647-6E569EABB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407752"/>
        <c:axId val="1405761416"/>
      </c:scatterChart>
      <c:valAx>
        <c:axId val="97540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61416"/>
        <c:crosses val="autoZero"/>
        <c:crossBetween val="midCat"/>
      </c:valAx>
      <c:valAx>
        <c:axId val="140576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07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Колонин!$M$11</c:f>
              <c:strCache>
                <c:ptCount val="1"/>
                <c:pt idx="0">
                  <c:v>Величина продаж тыс. руб.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Колонин!$L$12:$L$23</c:f>
              <c:numCache>
                <c:formatCode>General</c:formatCode>
                <c:ptCount val="12"/>
                <c:pt idx="0">
                  <c:v>5546</c:v>
                </c:pt>
                <c:pt idx="1">
                  <c:v>6548</c:v>
                </c:pt>
                <c:pt idx="2">
                  <c:v>7585</c:v>
                </c:pt>
                <c:pt idx="3">
                  <c:v>1452</c:v>
                </c:pt>
                <c:pt idx="4">
                  <c:v>4852</c:v>
                </c:pt>
                <c:pt idx="5">
                  <c:v>8200</c:v>
                </c:pt>
                <c:pt idx="6">
                  <c:v>4603</c:v>
                </c:pt>
                <c:pt idx="7">
                  <c:v>6200</c:v>
                </c:pt>
                <c:pt idx="8">
                  <c:v>6780</c:v>
                </c:pt>
                <c:pt idx="9">
                  <c:v>5244</c:v>
                </c:pt>
                <c:pt idx="10">
                  <c:v>4890</c:v>
                </c:pt>
                <c:pt idx="11">
                  <c:v>8250</c:v>
                </c:pt>
              </c:numCache>
            </c:numRef>
          </c:xVal>
          <c:yVal>
            <c:numRef>
              <c:f>Колонин!$M$12:$M$23</c:f>
              <c:numCache>
                <c:formatCode>General</c:formatCode>
                <c:ptCount val="12"/>
                <c:pt idx="0">
                  <c:v>145214</c:v>
                </c:pt>
                <c:pt idx="1">
                  <c:v>151589</c:v>
                </c:pt>
                <c:pt idx="2">
                  <c:v>162986</c:v>
                </c:pt>
                <c:pt idx="3">
                  <c:v>105289</c:v>
                </c:pt>
                <c:pt idx="4">
                  <c:v>142458</c:v>
                </c:pt>
                <c:pt idx="5">
                  <c:v>179000</c:v>
                </c:pt>
                <c:pt idx="6">
                  <c:v>136782</c:v>
                </c:pt>
                <c:pt idx="7">
                  <c:v>125000</c:v>
                </c:pt>
                <c:pt idx="8">
                  <c:v>140000</c:v>
                </c:pt>
                <c:pt idx="9">
                  <c:v>174023</c:v>
                </c:pt>
                <c:pt idx="10">
                  <c:v>147800</c:v>
                </c:pt>
                <c:pt idx="11">
                  <c:v>200000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D-40FB-91BA-0D82533BA4A5}"/>
            </c:ext>
          </c:extLst>
        </c:ser>
        <c:ser>
          <c:idx val="1"/>
          <c:order val="1"/>
          <c:tx>
            <c:strRef>
              <c:f>Колонин!$N$11</c:f>
              <c:strCache>
                <c:ptCount val="1"/>
                <c:pt idx="0">
                  <c:v>Оранжевая</c:v>
                </c:pt>
              </c:strCache>
            </c:strRef>
          </c:tx>
          <c:spPr>
            <a:ln w="1905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Колонин!$L$12:$L$23</c:f>
              <c:numCache>
                <c:formatCode>General</c:formatCode>
                <c:ptCount val="12"/>
                <c:pt idx="0">
                  <c:v>5546</c:v>
                </c:pt>
                <c:pt idx="1">
                  <c:v>6548</c:v>
                </c:pt>
                <c:pt idx="2">
                  <c:v>7585</c:v>
                </c:pt>
                <c:pt idx="3">
                  <c:v>1452</c:v>
                </c:pt>
                <c:pt idx="4">
                  <c:v>4852</c:v>
                </c:pt>
                <c:pt idx="5">
                  <c:v>8200</c:v>
                </c:pt>
                <c:pt idx="6">
                  <c:v>4603</c:v>
                </c:pt>
                <c:pt idx="7">
                  <c:v>6200</c:v>
                </c:pt>
                <c:pt idx="8">
                  <c:v>6780</c:v>
                </c:pt>
                <c:pt idx="9">
                  <c:v>5244</c:v>
                </c:pt>
                <c:pt idx="10">
                  <c:v>4890</c:v>
                </c:pt>
                <c:pt idx="11">
                  <c:v>8250</c:v>
                </c:pt>
              </c:numCache>
            </c:numRef>
          </c:xVal>
          <c:yVal>
            <c:numRef>
              <c:f>Колонин!$N$12:$N$23</c:f>
              <c:numCache>
                <c:formatCode>General</c:formatCode>
                <c:ptCount val="12"/>
                <c:pt idx="0">
                  <c:v>147746.74407402295</c:v>
                </c:pt>
                <c:pt idx="1">
                  <c:v>158100.94953648769</c:v>
                </c:pt>
                <c:pt idx="2">
                  <c:v>168816.82884245174</c:v>
                </c:pt>
                <c:pt idx="3">
                  <c:v>105441.23792299433</c:v>
                </c:pt>
                <c:pt idx="4">
                  <c:v>140575.26843435178</c:v>
                </c:pt>
                <c:pt idx="5">
                  <c:v>175171.95494965313</c:v>
                </c:pt>
                <c:pt idx="6">
                  <c:v>138002.2173763141</c:v>
                </c:pt>
                <c:pt idx="7">
                  <c:v>154504.8781782664</c:v>
                </c:pt>
                <c:pt idx="8">
                  <c:v>160498.33044196857</c:v>
                </c:pt>
                <c:pt idx="9">
                  <c:v>144626.01548154355</c:v>
                </c:pt>
                <c:pt idx="10">
                  <c:v>140967.94289300812</c:v>
                </c:pt>
                <c:pt idx="11">
                  <c:v>175688.63186893781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F3D-4390-96B1-5A36A9ED55EA}"/>
            </c:ext>
          </c:extLst>
        </c:ser>
        <c:ser>
          <c:idx val="2"/>
          <c:order val="2"/>
          <c:tx>
            <c:strRef>
              <c:f>Колонин!$O$11</c:f>
              <c:strCache>
                <c:ptCount val="1"/>
                <c:pt idx="0">
                  <c:v>Серая</c:v>
                </c:pt>
              </c:strCache>
            </c:strRef>
          </c:tx>
          <c:spPr>
            <a:ln w="19050" cap="rnd">
              <a:solidFill>
                <a:srgbClr val="80808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Колонин!$L$12:$L$23</c:f>
              <c:numCache>
                <c:formatCode>General</c:formatCode>
                <c:ptCount val="12"/>
                <c:pt idx="0">
                  <c:v>5546</c:v>
                </c:pt>
                <c:pt idx="1">
                  <c:v>6548</c:v>
                </c:pt>
                <c:pt idx="2">
                  <c:v>7585</c:v>
                </c:pt>
                <c:pt idx="3">
                  <c:v>1452</c:v>
                </c:pt>
                <c:pt idx="4">
                  <c:v>4852</c:v>
                </c:pt>
                <c:pt idx="5">
                  <c:v>8200</c:v>
                </c:pt>
                <c:pt idx="6">
                  <c:v>4603</c:v>
                </c:pt>
                <c:pt idx="7">
                  <c:v>6200</c:v>
                </c:pt>
                <c:pt idx="8">
                  <c:v>6780</c:v>
                </c:pt>
                <c:pt idx="9">
                  <c:v>5244</c:v>
                </c:pt>
                <c:pt idx="10">
                  <c:v>4890</c:v>
                </c:pt>
                <c:pt idx="11">
                  <c:v>8250</c:v>
                </c:pt>
              </c:numCache>
            </c:numRef>
          </c:xVal>
          <c:yVal>
            <c:numRef>
              <c:f>Колонин!$O$12:$O$23</c:f>
              <c:numCache>
                <c:formatCode>General</c:formatCode>
                <c:ptCount val="12"/>
                <c:pt idx="0">
                  <c:v>97063.728231644505</c:v>
                </c:pt>
                <c:pt idx="1">
                  <c:v>107417.93369410925</c:v>
                </c:pt>
                <c:pt idx="2">
                  <c:v>118133.81300007329</c:v>
                </c:pt>
                <c:pt idx="3">
                  <c:v>54758.222080615888</c:v>
                </c:pt>
                <c:pt idx="4">
                  <c:v>89892.252591973331</c:v>
                </c:pt>
                <c:pt idx="5">
                  <c:v>124488.93910727468</c:v>
                </c:pt>
                <c:pt idx="6">
                  <c:v>87319.201533935659</c:v>
                </c:pt>
                <c:pt idx="7">
                  <c:v>103821.86233588796</c:v>
                </c:pt>
                <c:pt idx="8">
                  <c:v>109815.31459959013</c:v>
                </c:pt>
                <c:pt idx="9">
                  <c:v>93942.999639165108</c:v>
                </c:pt>
                <c:pt idx="10">
                  <c:v>90284.927050629674</c:v>
                </c:pt>
                <c:pt idx="11">
                  <c:v>125005.61602655936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F3D-4390-96B1-5A36A9ED55EA}"/>
            </c:ext>
          </c:extLst>
        </c:ser>
        <c:ser>
          <c:idx val="3"/>
          <c:order val="3"/>
          <c:tx>
            <c:strRef>
              <c:f>Колонин!$P$11</c:f>
              <c:strCache>
                <c:ptCount val="1"/>
                <c:pt idx="0">
                  <c:v>Желтая</c:v>
                </c:pt>
              </c:strCache>
            </c:strRef>
          </c:tx>
          <c:spPr>
            <a:ln w="19050" cap="rnd">
              <a:solidFill>
                <a:srgbClr val="FFE699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Колонин!$L$12:$L$23</c:f>
              <c:numCache>
                <c:formatCode>General</c:formatCode>
                <c:ptCount val="12"/>
                <c:pt idx="0">
                  <c:v>5546</c:v>
                </c:pt>
                <c:pt idx="1">
                  <c:v>6548</c:v>
                </c:pt>
                <c:pt idx="2">
                  <c:v>7585</c:v>
                </c:pt>
                <c:pt idx="3">
                  <c:v>1452</c:v>
                </c:pt>
                <c:pt idx="4">
                  <c:v>4852</c:v>
                </c:pt>
                <c:pt idx="5">
                  <c:v>8200</c:v>
                </c:pt>
                <c:pt idx="6">
                  <c:v>4603</c:v>
                </c:pt>
                <c:pt idx="7">
                  <c:v>6200</c:v>
                </c:pt>
                <c:pt idx="8">
                  <c:v>6780</c:v>
                </c:pt>
                <c:pt idx="9">
                  <c:v>5244</c:v>
                </c:pt>
                <c:pt idx="10">
                  <c:v>4890</c:v>
                </c:pt>
                <c:pt idx="11">
                  <c:v>8250</c:v>
                </c:pt>
              </c:numCache>
            </c:numRef>
          </c:xVal>
          <c:yVal>
            <c:numRef>
              <c:f>Колонин!$P$12:$P$23</c:f>
              <c:numCache>
                <c:formatCode>General</c:formatCode>
                <c:ptCount val="12"/>
                <c:pt idx="0">
                  <c:v>198429.75991640141</c:v>
                </c:pt>
                <c:pt idx="1">
                  <c:v>208783.96537886612</c:v>
                </c:pt>
                <c:pt idx="2">
                  <c:v>219499.84468483017</c:v>
                </c:pt>
                <c:pt idx="3">
                  <c:v>156124.25376537279</c:v>
                </c:pt>
                <c:pt idx="4">
                  <c:v>191258.28427673021</c:v>
                </c:pt>
                <c:pt idx="5">
                  <c:v>225854.97079203156</c:v>
                </c:pt>
                <c:pt idx="6">
                  <c:v>188685.23321869253</c:v>
                </c:pt>
                <c:pt idx="7">
                  <c:v>205187.89402064483</c:v>
                </c:pt>
                <c:pt idx="8">
                  <c:v>211181.346284347</c:v>
                </c:pt>
                <c:pt idx="9">
                  <c:v>195309.03132392198</c:v>
                </c:pt>
                <c:pt idx="10">
                  <c:v>191650.95873538655</c:v>
                </c:pt>
                <c:pt idx="11">
                  <c:v>226371.64771131624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F3D-4390-96B1-5A36A9ED5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174456"/>
        <c:axId val="1880507368"/>
      </c:scatterChart>
      <c:valAx>
        <c:axId val="64417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07368"/>
        <c:crosses val="autoZero"/>
        <c:crossBetween val="midCat"/>
      </c:valAx>
      <c:valAx>
        <c:axId val="18805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174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hart" Target="../charts/chart6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26</xdr:row>
      <xdr:rowOff>171450</xdr:rowOff>
    </xdr:from>
    <xdr:to>
      <xdr:col>4</xdr:col>
      <xdr:colOff>866775</xdr:colOff>
      <xdr:row>41</xdr:row>
      <xdr:rowOff>57150</xdr:rowOff>
    </xdr:to>
    <xdr:graphicFrame macro="">
      <xdr:nvGraphicFramePr>
        <xdr:cNvPr id="24" name="Диаграмма 1">
          <a:extLst>
            <a:ext uri="{FF2B5EF4-FFF2-40B4-BE49-F238E27FC236}">
              <a16:creationId xmlns:a16="http://schemas.microsoft.com/office/drawing/2014/main" id="{83B7C781-6DC8-4D4E-9DFE-F4707DC9A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19</xdr:row>
      <xdr:rowOff>180975</xdr:rowOff>
    </xdr:from>
    <xdr:to>
      <xdr:col>15</xdr:col>
      <xdr:colOff>295275</xdr:colOff>
      <xdr:row>34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5AE3A0-D568-A206-6659-0FE0B29132BE}"/>
            </a:ext>
            <a:ext uri="{147F2762-F138-4A5C-976F-8EAC2B608ADB}">
              <a16:predDERef xmlns:a16="http://schemas.microsoft.com/office/drawing/2014/main" pred="{A8181C07-45AB-B65B-72E7-FA79D514B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14</xdr:row>
      <xdr:rowOff>95250</xdr:rowOff>
    </xdr:from>
    <xdr:to>
      <xdr:col>7</xdr:col>
      <xdr:colOff>285750</xdr:colOff>
      <xdr:row>28</xdr:row>
      <xdr:rowOff>171450</xdr:rowOff>
    </xdr:to>
    <xdr:graphicFrame macro="">
      <xdr:nvGraphicFramePr>
        <xdr:cNvPr id="49" name="Диаграмма 2">
          <a:extLst>
            <a:ext uri="{FF2B5EF4-FFF2-40B4-BE49-F238E27FC236}">
              <a16:creationId xmlns:a16="http://schemas.microsoft.com/office/drawing/2014/main" id="{EEAD6362-3DDC-3D62-DF6D-399FD462E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17</xdr:row>
      <xdr:rowOff>142875</xdr:rowOff>
    </xdr:from>
    <xdr:to>
      <xdr:col>6</xdr:col>
      <xdr:colOff>447675</xdr:colOff>
      <xdr:row>22</xdr:row>
      <xdr:rowOff>57150</xdr:rowOff>
    </xdr:to>
    <xdr:cxnSp macro="">
      <xdr:nvCxnSpPr>
        <xdr:cNvPr id="61" name="Прямая соединительная линия 1">
          <a:extLst>
            <a:ext uri="{FF2B5EF4-FFF2-40B4-BE49-F238E27FC236}">
              <a16:creationId xmlns:a16="http://schemas.microsoft.com/office/drawing/2014/main" id="{A125EAF9-4262-6C72-A7EF-1C3FAFBD8999}"/>
            </a:ext>
            <a:ext uri="{147F2762-F138-4A5C-976F-8EAC2B608ADB}">
              <a16:predDERef xmlns:a16="http://schemas.microsoft.com/office/drawing/2014/main" pred="{EEAD6362-3DDC-3D62-DF6D-399FD462E11B}"/>
            </a:ext>
          </a:extLst>
        </xdr:cNvPr>
        <xdr:cNvCxnSpPr>
          <a:cxnSpLocks/>
        </xdr:cNvCxnSpPr>
      </xdr:nvCxnSpPr>
      <xdr:spPr>
        <a:xfrm flipV="1">
          <a:off x="971550" y="3381375"/>
          <a:ext cx="4238625" cy="8667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18</xdr:row>
      <xdr:rowOff>9525</xdr:rowOff>
    </xdr:from>
    <xdr:to>
      <xdr:col>6</xdr:col>
      <xdr:colOff>523875</xdr:colOff>
      <xdr:row>21</xdr:row>
      <xdr:rowOff>104775</xdr:rowOff>
    </xdr:to>
    <xdr:cxnSp macro="">
      <xdr:nvCxnSpPr>
        <xdr:cNvPr id="34" name="Прямая соединительная линия 3">
          <a:extLst>
            <a:ext uri="{FF2B5EF4-FFF2-40B4-BE49-F238E27FC236}">
              <a16:creationId xmlns:a16="http://schemas.microsoft.com/office/drawing/2014/main" id="{1D1B8047-6B3A-C073-F401-A6DC43BD05A1}"/>
            </a:ext>
            <a:ext uri="{147F2762-F138-4A5C-976F-8EAC2B608ADB}">
              <a16:predDERef xmlns:a16="http://schemas.microsoft.com/office/drawing/2014/main" pred="{A125EAF9-4262-6C72-A7EF-1C3FAFBD8999}"/>
            </a:ext>
          </a:extLst>
        </xdr:cNvPr>
        <xdr:cNvCxnSpPr>
          <a:cxnSpLocks/>
        </xdr:cNvCxnSpPr>
      </xdr:nvCxnSpPr>
      <xdr:spPr>
        <a:xfrm flipV="1">
          <a:off x="1104900" y="3438525"/>
          <a:ext cx="4181475" cy="66675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</xdr:row>
      <xdr:rowOff>47625</xdr:rowOff>
    </xdr:from>
    <xdr:to>
      <xdr:col>6</xdr:col>
      <xdr:colOff>438150</xdr:colOff>
      <xdr:row>19</xdr:row>
      <xdr:rowOff>142875</xdr:rowOff>
    </xdr:to>
    <xdr:cxnSp macro="">
      <xdr:nvCxnSpPr>
        <xdr:cNvPr id="57" name="Прямая соединительная линия 4">
          <a:extLst>
            <a:ext uri="{FF2B5EF4-FFF2-40B4-BE49-F238E27FC236}">
              <a16:creationId xmlns:a16="http://schemas.microsoft.com/office/drawing/2014/main" id="{DE85D6DD-42C8-4D1B-93C6-3335C4C9365F}"/>
            </a:ext>
            <a:ext uri="{147F2762-F138-4A5C-976F-8EAC2B608ADB}">
              <a16:predDERef xmlns:a16="http://schemas.microsoft.com/office/drawing/2014/main" pred="{1D1B8047-6B3A-C073-F401-A6DC43BD05A1}"/>
            </a:ext>
          </a:extLst>
        </xdr:cNvPr>
        <xdr:cNvCxnSpPr>
          <a:cxnSpLocks/>
        </xdr:cNvCxnSpPr>
      </xdr:nvCxnSpPr>
      <xdr:spPr>
        <a:xfrm flipV="1">
          <a:off x="1019175" y="3095625"/>
          <a:ext cx="4181475" cy="666750"/>
        </a:xfrm>
        <a:prstGeom prst="line">
          <a:avLst/>
        </a:prstGeom>
        <a:ln w="25400">
          <a:solidFill>
            <a:srgbClr val="FFBF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19</xdr:row>
      <xdr:rowOff>152400</xdr:rowOff>
    </xdr:from>
    <xdr:to>
      <xdr:col>7</xdr:col>
      <xdr:colOff>0</xdr:colOff>
      <xdr:row>23</xdr:row>
      <xdr:rowOff>57150</xdr:rowOff>
    </xdr:to>
    <xdr:cxnSp macro="">
      <xdr:nvCxnSpPr>
        <xdr:cNvPr id="53" name="Прямая соединительная линия 6">
          <a:extLst>
            <a:ext uri="{FF2B5EF4-FFF2-40B4-BE49-F238E27FC236}">
              <a16:creationId xmlns:a16="http://schemas.microsoft.com/office/drawing/2014/main" id="{069700E3-86EF-4676-9B9F-A53036075D6E}"/>
            </a:ext>
            <a:ext uri="{147F2762-F138-4A5C-976F-8EAC2B608ADB}">
              <a16:predDERef xmlns:a16="http://schemas.microsoft.com/office/drawing/2014/main" pred="{DE85D6DD-42C8-4D1B-93C6-3335C4C9365F}"/>
            </a:ext>
          </a:extLst>
        </xdr:cNvPr>
        <xdr:cNvCxnSpPr>
          <a:cxnSpLocks/>
        </xdr:cNvCxnSpPr>
      </xdr:nvCxnSpPr>
      <xdr:spPr>
        <a:xfrm flipV="1">
          <a:off x="1190625" y="3771900"/>
          <a:ext cx="4181475" cy="666750"/>
        </a:xfrm>
        <a:prstGeom prst="line">
          <a:avLst/>
        </a:prstGeom>
        <a:ln w="25400">
          <a:solidFill>
            <a:srgbClr val="A3A3A3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0</xdr:row>
      <xdr:rowOff>0</xdr:rowOff>
    </xdr:from>
    <xdr:to>
      <xdr:col>16</xdr:col>
      <xdr:colOff>76200</xdr:colOff>
      <xdr:row>14</xdr:row>
      <xdr:rowOff>66675</xdr:rowOff>
    </xdr:to>
    <xdr:graphicFrame macro="">
      <xdr:nvGraphicFramePr>
        <xdr:cNvPr id="37" name="Диаграмма 3">
          <a:extLst>
            <a:ext uri="{FF2B5EF4-FFF2-40B4-BE49-F238E27FC236}">
              <a16:creationId xmlns:a16="http://schemas.microsoft.com/office/drawing/2014/main" id="{E472AC04-2BDF-437E-ECC0-740C8FE8A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85725</xdr:colOff>
      <xdr:row>4</xdr:row>
      <xdr:rowOff>76200</xdr:rowOff>
    </xdr:from>
    <xdr:to>
      <xdr:col>15</xdr:col>
      <xdr:colOff>0</xdr:colOff>
      <xdr:row>7</xdr:row>
      <xdr:rowOff>85725</xdr:rowOff>
    </xdr:to>
    <xdr:cxnSp macro="">
      <xdr:nvCxnSpPr>
        <xdr:cNvPr id="6" name="Прямая соединительная линия 1">
          <a:extLst>
            <a:ext uri="{FF2B5EF4-FFF2-40B4-BE49-F238E27FC236}">
              <a16:creationId xmlns:a16="http://schemas.microsoft.com/office/drawing/2014/main" id="{F9437FFA-A637-99EF-4CC8-72EF10A13AE8}"/>
            </a:ext>
            <a:ext uri="{147F2762-F138-4A5C-976F-8EAC2B608ADB}">
              <a16:predDERef xmlns:a16="http://schemas.microsoft.com/office/drawing/2014/main" pred="{E472AC04-2BDF-437E-ECC0-740C8FE8A4C2}"/>
            </a:ext>
          </a:extLst>
        </xdr:cNvPr>
        <xdr:cNvCxnSpPr>
          <a:cxnSpLocks/>
        </xdr:cNvCxnSpPr>
      </xdr:nvCxnSpPr>
      <xdr:spPr>
        <a:xfrm flipV="1">
          <a:off x="6400800" y="847725"/>
          <a:ext cx="2962275" cy="58102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4</xdr:row>
      <xdr:rowOff>133350</xdr:rowOff>
    </xdr:from>
    <xdr:to>
      <xdr:col>14</xdr:col>
      <xdr:colOff>504825</xdr:colOff>
      <xdr:row>6</xdr:row>
      <xdr:rowOff>180975</xdr:rowOff>
    </xdr:to>
    <xdr:cxnSp macro="">
      <xdr:nvCxnSpPr>
        <xdr:cNvPr id="13" name="Прямая соединительная линия 2">
          <a:extLst>
            <a:ext uri="{FF2B5EF4-FFF2-40B4-BE49-F238E27FC236}">
              <a16:creationId xmlns:a16="http://schemas.microsoft.com/office/drawing/2014/main" id="{CF9443A6-C680-EE2C-3562-877C8988CEB3}"/>
            </a:ext>
            <a:ext uri="{147F2762-F138-4A5C-976F-8EAC2B608ADB}">
              <a16:predDERef xmlns:a16="http://schemas.microsoft.com/office/drawing/2014/main" pred="{F9437FFA-A637-99EF-4CC8-72EF10A13AE8}"/>
            </a:ext>
          </a:extLst>
        </xdr:cNvPr>
        <xdr:cNvCxnSpPr>
          <a:cxnSpLocks/>
        </xdr:cNvCxnSpPr>
      </xdr:nvCxnSpPr>
      <xdr:spPr>
        <a:xfrm flipV="1">
          <a:off x="6400800" y="904875"/>
          <a:ext cx="2857500" cy="4286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6</xdr:row>
      <xdr:rowOff>66675</xdr:rowOff>
    </xdr:from>
    <xdr:to>
      <xdr:col>14</xdr:col>
      <xdr:colOff>533400</xdr:colOff>
      <xdr:row>8</xdr:row>
      <xdr:rowOff>123825</xdr:rowOff>
    </xdr:to>
    <xdr:cxnSp macro="">
      <xdr:nvCxnSpPr>
        <xdr:cNvPr id="19" name="Прямая соединительная линия 3">
          <a:extLst>
            <a:ext uri="{FF2B5EF4-FFF2-40B4-BE49-F238E27FC236}">
              <a16:creationId xmlns:a16="http://schemas.microsoft.com/office/drawing/2014/main" id="{C3134DCD-413C-4F92-8648-574BE40F5A80}"/>
            </a:ext>
            <a:ext uri="{147F2762-F138-4A5C-976F-8EAC2B608ADB}">
              <a16:predDERef xmlns:a16="http://schemas.microsoft.com/office/drawing/2014/main" pred="{CF9443A6-C680-EE2C-3562-877C8988CEB3}"/>
            </a:ext>
          </a:extLst>
        </xdr:cNvPr>
        <xdr:cNvCxnSpPr>
          <a:cxnSpLocks/>
        </xdr:cNvCxnSpPr>
      </xdr:nvCxnSpPr>
      <xdr:spPr>
        <a:xfrm flipV="1">
          <a:off x="6372225" y="1209675"/>
          <a:ext cx="2914650" cy="43815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9525</xdr:rowOff>
    </xdr:from>
    <xdr:to>
      <xdr:col>14</xdr:col>
      <xdr:colOff>523875</xdr:colOff>
      <xdr:row>5</xdr:row>
      <xdr:rowOff>66675</xdr:rowOff>
    </xdr:to>
    <xdr:cxnSp macro="">
      <xdr:nvCxnSpPr>
        <xdr:cNvPr id="23" name="Прямая соединительная линия 4">
          <a:extLst>
            <a:ext uri="{FF2B5EF4-FFF2-40B4-BE49-F238E27FC236}">
              <a16:creationId xmlns:a16="http://schemas.microsoft.com/office/drawing/2014/main" id="{518649F0-ABC5-43BE-A53C-114F32A3A81B}"/>
            </a:ext>
            <a:ext uri="{147F2762-F138-4A5C-976F-8EAC2B608ADB}">
              <a16:predDERef xmlns:a16="http://schemas.microsoft.com/office/drawing/2014/main" pred="{C3134DCD-413C-4F92-8648-574BE40F5A80}"/>
            </a:ext>
          </a:extLst>
        </xdr:cNvPr>
        <xdr:cNvCxnSpPr>
          <a:cxnSpLocks/>
        </xdr:cNvCxnSpPr>
      </xdr:nvCxnSpPr>
      <xdr:spPr>
        <a:xfrm flipV="1">
          <a:off x="6362700" y="581025"/>
          <a:ext cx="2914650" cy="43815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11</xdr:row>
      <xdr:rowOff>180975</xdr:rowOff>
    </xdr:from>
    <xdr:to>
      <xdr:col>2</xdr:col>
      <xdr:colOff>2609850</xdr:colOff>
      <xdr:row>26</xdr:row>
      <xdr:rowOff>66675</xdr:rowOff>
    </xdr:to>
    <xdr:graphicFrame macro="">
      <xdr:nvGraphicFramePr>
        <xdr:cNvPr id="5" name="Диаграмма 5">
          <a:extLst>
            <a:ext uri="{FF2B5EF4-FFF2-40B4-BE49-F238E27FC236}">
              <a16:creationId xmlns:a16="http://schemas.microsoft.com/office/drawing/2014/main" id="{78DF47D5-41FC-AFB6-2448-B2AC07605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11</xdr:row>
      <xdr:rowOff>142875</xdr:rowOff>
    </xdr:from>
    <xdr:to>
      <xdr:col>9</xdr:col>
      <xdr:colOff>266700</xdr:colOff>
      <xdr:row>26</xdr:row>
      <xdr:rowOff>133350</xdr:rowOff>
    </xdr:to>
    <xdr:graphicFrame macro="">
      <xdr:nvGraphicFramePr>
        <xdr:cNvPr id="5" name="Диаграмма 1">
          <a:extLst>
            <a:ext uri="{FF2B5EF4-FFF2-40B4-BE49-F238E27FC236}">
              <a16:creationId xmlns:a16="http://schemas.microsoft.com/office/drawing/2014/main" id="{6BEA4D21-15FE-73A2-BDB7-E8CE2A6B660F}"/>
            </a:ext>
            <a:ext uri="{147F2762-F138-4A5C-976F-8EAC2B608ADB}">
              <a16:predDERef xmlns:a16="http://schemas.microsoft.com/office/drawing/2014/main" pred="{D016BD46-0CEF-9DF3-0B17-FA8196AF6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600075</xdr:colOff>
      <xdr:row>42</xdr:row>
      <xdr:rowOff>0</xdr:rowOff>
    </xdr:from>
    <xdr:to>
      <xdr:col>4</xdr:col>
      <xdr:colOff>1143000</xdr:colOff>
      <xdr:row>53</xdr:row>
      <xdr:rowOff>47625</xdr:rowOff>
    </xdr:to>
    <xdr:pic>
      <xdr:nvPicPr>
        <xdr:cNvPr id="14" name="Рисунок 2">
          <a:extLst>
            <a:ext uri="{FF2B5EF4-FFF2-40B4-BE49-F238E27FC236}">
              <a16:creationId xmlns:a16="http://schemas.microsoft.com/office/drawing/2014/main" id="{64DAF300-1779-7FED-BA73-83CAD6D4F571}"/>
            </a:ext>
            <a:ext uri="{147F2762-F138-4A5C-976F-8EAC2B608ADB}">
              <a16:predDERef xmlns:a16="http://schemas.microsoft.com/office/drawing/2014/main" pred="{6BEA4D21-15FE-73A2-BDB7-E8CE2A6B6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8001000"/>
          <a:ext cx="4438650" cy="21431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52</xdr:row>
      <xdr:rowOff>142875</xdr:rowOff>
    </xdr:from>
    <xdr:to>
      <xdr:col>16</xdr:col>
      <xdr:colOff>733425</xdr:colOff>
      <xdr:row>58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B5D2C3B-6D85-37F9-5B1B-809098CCC2CD}"/>
            </a:ext>
            <a:ext uri="{147F2762-F138-4A5C-976F-8EAC2B608ADB}">
              <a16:predDERef xmlns:a16="http://schemas.microsoft.com/office/drawing/2014/main" pred="{64DAF300-1779-7FED-BA73-83CAD6D4F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91850" y="10048875"/>
          <a:ext cx="5076825" cy="10382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62</xdr:row>
      <xdr:rowOff>28575</xdr:rowOff>
    </xdr:from>
    <xdr:to>
      <xdr:col>13</xdr:col>
      <xdr:colOff>942975</xdr:colOff>
      <xdr:row>67</xdr:row>
      <xdr:rowOff>85725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34EA64B-662A-9237-8C2B-53CB2A482404}"/>
            </a:ext>
            <a:ext uri="{147F2762-F138-4A5C-976F-8EAC2B608ADB}">
              <a16:predDERef xmlns:a16="http://schemas.microsoft.com/office/drawing/2014/main" pred="{3B5D2C3B-6D85-37F9-5B1B-809098CCC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4725" y="11839575"/>
          <a:ext cx="4572000" cy="100965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113</xdr:row>
      <xdr:rowOff>19050</xdr:rowOff>
    </xdr:from>
    <xdr:to>
      <xdr:col>19</xdr:col>
      <xdr:colOff>323850</xdr:colOff>
      <xdr:row>131</xdr:row>
      <xdr:rowOff>19050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F08468A-F489-2911-846C-F213C3A04CE8}"/>
            </a:ext>
            <a:ext uri="{147F2762-F138-4A5C-976F-8EAC2B608ADB}">
              <a16:predDERef xmlns:a16="http://schemas.microsoft.com/office/drawing/2014/main" pred="{A34EA64B-662A-9237-8C2B-53CB2A482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06375" y="2154555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130</xdr:row>
      <xdr:rowOff>19050</xdr:rowOff>
    </xdr:from>
    <xdr:to>
      <xdr:col>19</xdr:col>
      <xdr:colOff>571500</xdr:colOff>
      <xdr:row>157</xdr:row>
      <xdr:rowOff>114300</xdr:rowOff>
    </xdr:to>
    <xdr:pic>
      <xdr:nvPicPr>
        <xdr:cNvPr id="9" name="Рисунок 5">
          <a:extLst>
            <a:ext uri="{FF2B5EF4-FFF2-40B4-BE49-F238E27FC236}">
              <a16:creationId xmlns:a16="http://schemas.microsoft.com/office/drawing/2014/main" id="{D229B79E-1D5F-9930-EFF1-8825DC28E39D}"/>
            </a:ext>
            <a:ext uri="{147F2762-F138-4A5C-976F-8EAC2B608ADB}">
              <a16:predDERef xmlns:a16="http://schemas.microsoft.com/office/drawing/2014/main" pred="{9F08468A-F489-2911-846C-F213C3A04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30425" y="24784050"/>
          <a:ext cx="6981825" cy="5534025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147</xdr:row>
      <xdr:rowOff>104775</xdr:rowOff>
    </xdr:from>
    <xdr:to>
      <xdr:col>5</xdr:col>
      <xdr:colOff>1209675</xdr:colOff>
      <xdr:row>152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12C75E5-C471-937C-9768-F1158FCC1F8E}"/>
            </a:ext>
            <a:ext uri="{147F2762-F138-4A5C-976F-8EAC2B608ADB}">
              <a16:predDERef xmlns:a16="http://schemas.microsoft.com/office/drawing/2014/main" pred="{D229B79E-1D5F-9930-EFF1-8825DC28E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3650" y="28374975"/>
          <a:ext cx="45720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923925</xdr:colOff>
      <xdr:row>151</xdr:row>
      <xdr:rowOff>9525</xdr:rowOff>
    </xdr:from>
    <xdr:to>
      <xdr:col>5</xdr:col>
      <xdr:colOff>914400</xdr:colOff>
      <xdr:row>156</xdr:row>
      <xdr:rowOff>123825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23C282F-8053-DB8F-3796-EA6E36DC24B3}"/>
            </a:ext>
            <a:ext uri="{147F2762-F138-4A5C-976F-8EAC2B608ADB}">
              <a16:predDERef xmlns:a16="http://schemas.microsoft.com/office/drawing/2014/main" pred="{012C75E5-C471-937C-9768-F1158FCC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4175" y="29070300"/>
          <a:ext cx="3886200" cy="106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177</xdr:row>
      <xdr:rowOff>85725</xdr:rowOff>
    </xdr:from>
    <xdr:to>
      <xdr:col>13</xdr:col>
      <xdr:colOff>1533525</xdr:colOff>
      <xdr:row>184</xdr:row>
      <xdr:rowOff>123825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7361731-2829-83FA-42A0-79D60B690464}"/>
            </a:ext>
            <a:ext uri="{147F2762-F138-4A5C-976F-8EAC2B608ADB}">
              <a16:predDERef xmlns:a16="http://schemas.microsoft.com/office/drawing/2014/main" pred="{854518DD-45E0-7CF0-F54D-80E7267A4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67900" y="34880550"/>
          <a:ext cx="6391275" cy="13716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1619250</xdr:colOff>
      <xdr:row>175</xdr:row>
      <xdr:rowOff>161925</xdr:rowOff>
    </xdr:from>
    <xdr:to>
      <xdr:col>9</xdr:col>
      <xdr:colOff>304800</xdr:colOff>
      <xdr:row>193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2DCBA12-5288-07A0-C247-6C15FB888A12}"/>
            </a:ext>
            <a:ext uri="{147F2762-F138-4A5C-976F-8EAC2B608ADB}">
              <a16:predDERef xmlns:a16="http://schemas.microsoft.com/office/drawing/2014/main" pred="{77361731-2829-83FA-42A0-79D60B690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19500" y="34575750"/>
          <a:ext cx="5943600" cy="342900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172</xdr:row>
      <xdr:rowOff>123825</xdr:rowOff>
    </xdr:from>
    <xdr:to>
      <xdr:col>21</xdr:col>
      <xdr:colOff>438150</xdr:colOff>
      <xdr:row>184</xdr:row>
      <xdr:rowOff>180975</xdr:rowOff>
    </xdr:to>
    <xdr:pic>
      <xdr:nvPicPr>
        <xdr:cNvPr id="13" name="Рисунок 11">
          <a:extLst>
            <a:ext uri="{FF2B5EF4-FFF2-40B4-BE49-F238E27FC236}">
              <a16:creationId xmlns:a16="http://schemas.microsoft.com/office/drawing/2014/main" id="{0F4F9AE4-44A6-5FC3-6415-B22A9D1F34DF}"/>
            </a:ext>
            <a:ext uri="{147F2762-F138-4A5C-976F-8EAC2B608ADB}">
              <a16:predDERef xmlns:a16="http://schemas.microsoft.com/office/drawing/2014/main" pred="{B2DCBA12-5288-07A0-C247-6C15FB888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73500" y="33185100"/>
          <a:ext cx="6657975" cy="3124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E6D91-B261-4D0A-A97A-83D14E1A2AEE}" name="Таблица2" displayName="Таблица2" ref="A2:E25" totalsRowShown="0" dataDxfId="28" headerRowBorderDxfId="26" tableBorderDxfId="27">
  <autoFilter ref="A2:E25" xr:uid="{450E6D91-B261-4D0A-A97A-83D14E1A2AEE}"/>
  <tableColumns count="5">
    <tableColumn id="1" xr3:uid="{18B6C2EA-D8C2-46B9-AFC3-C32D44607645}" name="GDP" dataDxfId="25"/>
    <tableColumn id="2" xr3:uid="{0107B445-130D-431D-8EE4-A62CC583B57F}" name="Бюджет на армию" dataDxfId="24"/>
    <tableColumn id="3" xr3:uid="{D9496FB9-E46E-4843-9F61-60B72AD5BA7F}" name="Столбец1" dataDxfId="23">
      <calculatedColumnFormula>I$6+(J$6*A3)</calculatedColumnFormula>
    </tableColumn>
    <tableColumn id="4" xr3:uid="{0B94C939-612F-435C-9CD5-2A7FD928E43F}" name="Столбец2" dataDxfId="22">
      <calculatedColumnFormula>C3-2*G$3</calculatedColumnFormula>
    </tableColumn>
    <tableColumn id="5" xr3:uid="{7B2B2D1A-AC1E-4256-B59F-F5F648F43239}" name="Столбец3" dataDxfId="21">
      <calculatedColumnFormula>C3+2*G$3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9E7D8-A41E-4EE9-BF33-DF51804899CD}" name="Таблица1" displayName="Таблица1" ref="A2:E13" totalsRowShown="0" headerRowDxfId="20" dataDxfId="19">
  <autoFilter ref="A2:E13" xr:uid="{02F9E7D8-A41E-4EE9-BF33-DF51804899CD}"/>
  <tableColumns count="5">
    <tableColumn id="1" xr3:uid="{5AC4D0FC-B0DB-4CBE-AD6A-58F376CE02FA}" name="Возраст(a)" dataDxfId="18"/>
    <tableColumn id="2" xr3:uid="{886155FF-A598-4075-8582-24DADDDE46D4}" name="Рост(h)" dataDxfId="17"/>
    <tableColumn id="3" xr3:uid="{72F4024C-6484-4438-8507-39980A41BC86}" name="y" dataDxfId="16">
      <calculatedColumnFormula>$J$16+($K$16*A3)</calculatedColumnFormula>
    </tableColumn>
    <tableColumn id="4" xr3:uid="{2422A723-847E-424E-854A-550EBED32629}" name="y2" dataDxfId="15">
      <calculatedColumnFormula>C3-2*$J$5</calculatedColumnFormula>
    </tableColumn>
    <tableColumn id="5" xr3:uid="{9AA3C4FE-6040-4716-A8CC-CEDBD73DBD89}" name="y3" dataDxfId="14">
      <calculatedColumnFormula>C3+2*$J$5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234FD-761E-4877-B43F-B46AE7E30829}" name="Таблица3" displayName="Таблица3" ref="B58:K69" totalsRowShown="0" headerRowDxfId="13" dataDxfId="12" headerRowBorderDxfId="10" tableBorderDxfId="11">
  <autoFilter ref="B58:K69" xr:uid="{55A234FD-761E-4877-B43F-B46AE7E30829}"/>
  <tableColumns count="10">
    <tableColumn id="1" xr3:uid="{7F7F2AFB-021F-4C69-885F-78D224A832C8}" name="Возраст(a)" dataDxfId="9"/>
    <tableColumn id="2" xr3:uid="{FDF3ACEB-8727-4FCF-BD88-CE6219E3C523}" name="Вес(w)" dataDxfId="8"/>
    <tableColumn id="3" xr3:uid="{7900D4A3-26E8-464F-84A8-63B38369099A}" name="Рост(h)" dataDxfId="7"/>
    <tableColumn id="4" xr3:uid="{54810A68-3B84-4BB4-81BA-BD78BEAA8EE5}" name="ha" dataDxfId="6">
      <calculatedColumnFormula>B59*D59</calculatedColumnFormula>
    </tableColumn>
    <tableColumn id="5" xr3:uid="{9FB087A8-16F1-41A0-8CEC-367C9D27E38A}" name="hw" dataDxfId="5">
      <calculatedColumnFormula>C59*D59</calculatedColumnFormula>
    </tableColumn>
    <tableColumn id="6" xr3:uid="{B42EBC4E-9EB1-487E-A949-99211AE8A604}" name="aw" dataDxfId="4">
      <calculatedColumnFormula>B59*C59</calculatedColumnFormula>
    </tableColumn>
    <tableColumn id="7" xr3:uid="{CDF5E66D-CEC9-4238-B3F3-BEE3E05EA206}" name="a^2" dataDxfId="3">
      <calculatedColumnFormula>B59^2</calculatedColumnFormula>
    </tableColumn>
    <tableColumn id="8" xr3:uid="{CD23EAB0-3B1D-45A3-A9B1-AE4547175491}" name="w^2" dataDxfId="2">
      <calculatedColumnFormula>C59^2</calculatedColumnFormula>
    </tableColumn>
    <tableColumn id="9" xr3:uid="{738C6331-97DA-4A61-AF98-52D7B08F5197}" name="h^2" dataDxfId="1">
      <calculatedColumnFormula>D59^2</calculatedColumnFormula>
    </tableColumn>
    <tableColumn id="10" xr3:uid="{ADD015FB-1C82-4DF9-B6F6-5B723F64A49B}" name="y" dataDxfId="0">
      <calculatedColumnFormula>$C$81+$A$81*B59+$B$81*C59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thub.bulgakov.app/lessons/35710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s://ithub.bulgakov.app/lessons/35709" TargetMode="External"/><Relationship Id="rId1" Type="http://schemas.openxmlformats.org/officeDocument/2006/relationships/hyperlink" Target="https://ithub.bulgakov.app/lessons/35710" TargetMode="External"/><Relationship Id="rId6" Type="http://schemas.openxmlformats.org/officeDocument/2006/relationships/hyperlink" Target="http://www.reshebnik.ru/www/econometrica/econometrica2.pdf" TargetMode="External"/><Relationship Id="rId5" Type="http://schemas.openxmlformats.org/officeDocument/2006/relationships/hyperlink" Target="https://ithub.bulgakov.app/lessons/35714" TargetMode="External"/><Relationship Id="rId4" Type="http://schemas.openxmlformats.org/officeDocument/2006/relationships/hyperlink" Target="https://jamboard.google.com/d/1IOrSTsaddk6GF4BeDGIiPmaXg7ruEi98VTvptgWwKJg/viewer?f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G35" sqref="G35"/>
    </sheetView>
  </sheetViews>
  <sheetFormatPr defaultRowHeight="15"/>
  <sheetData>
    <row r="2" spans="1:8">
      <c r="A2" s="18" t="s">
        <v>0</v>
      </c>
      <c r="B2" s="18" t="s">
        <v>1</v>
      </c>
      <c r="C2" s="18"/>
      <c r="D2" s="18"/>
      <c r="E2" s="18"/>
      <c r="F2" s="18"/>
      <c r="G2" s="18"/>
      <c r="H2" s="18"/>
    </row>
    <row r="3" spans="1:8">
      <c r="A3" s="18"/>
      <c r="B3" s="18"/>
      <c r="C3" s="18"/>
      <c r="D3" s="18"/>
      <c r="E3" s="18"/>
      <c r="F3" s="18"/>
      <c r="G3" s="18"/>
      <c r="H3" s="18"/>
    </row>
    <row r="4" spans="1:8">
      <c r="A4" s="18"/>
      <c r="B4" s="18" t="s">
        <v>2</v>
      </c>
      <c r="C4" s="18"/>
      <c r="D4" s="18"/>
      <c r="E4" s="18"/>
      <c r="F4" s="18"/>
      <c r="G4" s="18"/>
      <c r="H4" s="18"/>
    </row>
    <row r="5" spans="1:8">
      <c r="A5" s="18"/>
      <c r="B5" s="18"/>
      <c r="C5" s="18"/>
      <c r="D5" s="18"/>
      <c r="E5" s="18"/>
      <c r="F5" s="18"/>
      <c r="G5" s="18"/>
      <c r="H5" s="18"/>
    </row>
    <row r="6" spans="1:8">
      <c r="A6" s="18"/>
      <c r="B6" s="18" t="s">
        <v>3</v>
      </c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8"/>
      <c r="B8" s="18" t="s">
        <v>4</v>
      </c>
      <c r="C8" s="18"/>
      <c r="D8" s="18"/>
      <c r="E8" s="18"/>
      <c r="F8" s="18"/>
      <c r="G8" s="18"/>
      <c r="H8" s="18"/>
    </row>
    <row r="9" spans="1:8">
      <c r="A9" s="18"/>
      <c r="B9" s="18"/>
      <c r="C9" s="18"/>
      <c r="D9" s="18"/>
      <c r="E9" s="18"/>
      <c r="F9" s="18"/>
      <c r="G9" s="18"/>
      <c r="H9" s="18"/>
    </row>
    <row r="11" spans="1:8">
      <c r="A11" s="19" t="s">
        <v>5</v>
      </c>
      <c r="B11" s="19" t="s">
        <v>6</v>
      </c>
      <c r="C11" s="19"/>
      <c r="D11" s="19"/>
      <c r="E11" s="19"/>
      <c r="F11" s="19"/>
      <c r="G11" s="19"/>
      <c r="H11" s="19"/>
    </row>
    <row r="12" spans="1:8">
      <c r="A12" s="19"/>
      <c r="B12" s="19"/>
      <c r="C12" s="19"/>
      <c r="D12" s="19"/>
      <c r="E12" s="19"/>
      <c r="F12" s="19"/>
      <c r="G12" s="19"/>
      <c r="H12" s="19"/>
    </row>
    <row r="13" spans="1:8">
      <c r="A13" s="19"/>
      <c r="B13" s="19" t="s">
        <v>7</v>
      </c>
      <c r="C13" s="19"/>
      <c r="D13" s="19"/>
      <c r="E13" s="19"/>
      <c r="F13" s="19"/>
      <c r="G13" s="19"/>
      <c r="H13" s="19"/>
    </row>
    <row r="14" spans="1:8">
      <c r="A14" s="19"/>
      <c r="B14" s="19"/>
      <c r="C14" s="19"/>
      <c r="D14" s="19"/>
      <c r="E14" s="19"/>
      <c r="F14" s="19"/>
      <c r="G14" s="19"/>
      <c r="H14" s="19"/>
    </row>
    <row r="15" spans="1:8">
      <c r="A15" s="19"/>
      <c r="B15" s="19" t="s">
        <v>8</v>
      </c>
      <c r="C15" s="19"/>
      <c r="D15" s="19"/>
      <c r="E15" s="19"/>
      <c r="F15" s="19"/>
      <c r="G15" s="19"/>
      <c r="H15" s="19"/>
    </row>
    <row r="16" spans="1:8">
      <c r="A16" s="19"/>
      <c r="B16" s="20"/>
      <c r="C16" s="19"/>
      <c r="D16" s="19"/>
      <c r="E16" s="19"/>
      <c r="F16" s="19"/>
      <c r="G16" s="19"/>
      <c r="H16" s="19"/>
    </row>
    <row r="17" spans="1:8">
      <c r="A17" s="19"/>
      <c r="B17" s="19" t="s">
        <v>9</v>
      </c>
      <c r="C17" s="19"/>
      <c r="D17" s="19"/>
      <c r="E17" s="19"/>
      <c r="F17" s="19"/>
      <c r="G17" s="19"/>
      <c r="H17" s="19"/>
    </row>
    <row r="18" spans="1:8">
      <c r="A18" s="19"/>
      <c r="B18" s="19"/>
      <c r="C18" s="19"/>
      <c r="D18" s="19"/>
      <c r="E18" s="19"/>
      <c r="F18" s="19"/>
      <c r="G18" s="19"/>
      <c r="H18" s="19"/>
    </row>
    <row r="19" spans="1:8">
      <c r="A19" s="19"/>
      <c r="B19" s="19" t="s">
        <v>10</v>
      </c>
      <c r="C19" s="19"/>
      <c r="D19" s="19"/>
      <c r="E19" s="19"/>
      <c r="F19" s="19"/>
      <c r="G19" s="19"/>
      <c r="H19" s="19"/>
    </row>
    <row r="21" spans="1:8">
      <c r="A21" s="55" t="s">
        <v>11</v>
      </c>
      <c r="B21" s="55" t="s">
        <v>12</v>
      </c>
      <c r="C21" s="55"/>
      <c r="D21" s="55"/>
      <c r="E21" s="55"/>
      <c r="F21" s="55"/>
      <c r="G21" s="55"/>
      <c r="H21" s="55"/>
    </row>
    <row r="22" spans="1:8">
      <c r="A22" s="55"/>
      <c r="B22" s="55"/>
      <c r="C22" s="55"/>
      <c r="D22" s="55"/>
      <c r="E22" s="55"/>
      <c r="F22" s="55"/>
      <c r="G22" s="55"/>
      <c r="H22" s="55"/>
    </row>
    <row r="23" spans="1:8">
      <c r="A23" s="55"/>
      <c r="B23" s="55" t="s">
        <v>13</v>
      </c>
      <c r="C23" s="55"/>
      <c r="D23" s="55"/>
      <c r="E23" s="55"/>
      <c r="F23" s="55"/>
      <c r="G23" s="55"/>
      <c r="H23" s="55"/>
    </row>
    <row r="24" spans="1:8">
      <c r="A24" s="55"/>
      <c r="B24" s="55"/>
      <c r="C24" s="55"/>
      <c r="D24" s="55"/>
      <c r="E24" s="55"/>
      <c r="F24" s="55"/>
      <c r="G24" s="55"/>
      <c r="H24" s="55"/>
    </row>
    <row r="25" spans="1:8">
      <c r="A25" s="55"/>
      <c r="B25" s="55" t="s">
        <v>14</v>
      </c>
      <c r="C25" s="55"/>
      <c r="D25" s="55"/>
      <c r="E25" s="55"/>
      <c r="F25" s="55"/>
      <c r="G25" s="55"/>
      <c r="H25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F651-D79F-46F5-A485-B85C2C8EAADC}">
  <dimension ref="A1:N19"/>
  <sheetViews>
    <sheetView topLeftCell="B1" workbookViewId="0">
      <selection activeCell="E14" sqref="E14"/>
    </sheetView>
  </sheetViews>
  <sheetFormatPr defaultRowHeight="15"/>
  <cols>
    <col min="4" max="4" width="29.7109375" customWidth="1"/>
    <col min="5" max="5" width="36.7109375" customWidth="1"/>
    <col min="8" max="8" width="12.5703125" customWidth="1"/>
    <col min="9" max="9" width="12.85546875" customWidth="1"/>
    <col min="10" max="10" width="13.42578125" customWidth="1"/>
    <col min="11" max="11" width="13.5703125" customWidth="1"/>
    <col min="12" max="12" width="12" customWidth="1"/>
    <col min="14" max="14" width="26" customWidth="1"/>
  </cols>
  <sheetData>
    <row r="1" spans="1:1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31.5" customHeight="1">
      <c r="A3" s="6"/>
      <c r="B3" s="6"/>
      <c r="C3" s="26" t="s">
        <v>15</v>
      </c>
      <c r="D3" s="27" t="s">
        <v>16</v>
      </c>
      <c r="E3" s="28" t="s">
        <v>17</v>
      </c>
      <c r="F3" s="6"/>
      <c r="G3" s="6"/>
      <c r="H3" s="29" t="s">
        <v>18</v>
      </c>
      <c r="I3" s="30" t="s">
        <v>19</v>
      </c>
      <c r="J3" s="6"/>
      <c r="K3" s="39" t="s">
        <v>20</v>
      </c>
      <c r="L3" s="6"/>
      <c r="M3" s="25" t="s">
        <v>21</v>
      </c>
    </row>
    <row r="4" spans="1:14">
      <c r="A4" s="6"/>
      <c r="B4" s="6"/>
      <c r="C4" s="31">
        <v>2012</v>
      </c>
      <c r="D4" s="32">
        <v>249</v>
      </c>
      <c r="E4" s="33">
        <v>41.12</v>
      </c>
      <c r="F4" s="6"/>
      <c r="G4" s="6"/>
      <c r="H4" s="34">
        <f>AVERAGE(D4:D13)</f>
        <v>184.7</v>
      </c>
      <c r="I4" s="35">
        <f>AVERAGE(E4:E13)</f>
        <v>115.99499999999998</v>
      </c>
      <c r="J4" s="6"/>
      <c r="K4" s="40">
        <v>10</v>
      </c>
      <c r="L4" s="6"/>
      <c r="M4" s="40">
        <f>K4-2</f>
        <v>8</v>
      </c>
    </row>
    <row r="5" spans="1:14">
      <c r="A5" s="6"/>
      <c r="B5" s="6"/>
      <c r="C5" s="36">
        <v>2013</v>
      </c>
      <c r="D5" s="37">
        <v>235</v>
      </c>
      <c r="E5" s="38">
        <v>75.53</v>
      </c>
      <c r="F5" s="6"/>
      <c r="G5" s="6"/>
      <c r="H5" s="6"/>
      <c r="I5" s="6"/>
      <c r="J5" s="6"/>
      <c r="K5" s="6"/>
      <c r="L5" s="6"/>
      <c r="M5" s="6"/>
    </row>
    <row r="6" spans="1:14">
      <c r="A6" s="6"/>
      <c r="B6" s="6"/>
      <c r="C6" s="36">
        <v>2014</v>
      </c>
      <c r="D6" s="37">
        <v>198</v>
      </c>
      <c r="E6" s="38">
        <v>83.72</v>
      </c>
      <c r="F6" s="6"/>
      <c r="G6" s="6"/>
      <c r="H6" s="6"/>
      <c r="I6" s="6"/>
      <c r="J6" s="6"/>
      <c r="K6" s="6"/>
      <c r="L6" s="6"/>
      <c r="M6" s="6"/>
    </row>
    <row r="7" spans="1:14" ht="30.75">
      <c r="A7" s="6"/>
      <c r="B7" s="6"/>
      <c r="C7" s="36">
        <v>2015</v>
      </c>
      <c r="D7" s="37">
        <v>209</v>
      </c>
      <c r="E7" s="38">
        <v>91.57</v>
      </c>
      <c r="F7" s="6"/>
      <c r="G7" s="6"/>
      <c r="H7" s="25" t="s">
        <v>22</v>
      </c>
      <c r="I7" s="6"/>
      <c r="J7" s="39" t="s">
        <v>23</v>
      </c>
      <c r="K7" s="6"/>
      <c r="L7" s="6"/>
      <c r="M7" s="6"/>
    </row>
    <row r="8" spans="1:14">
      <c r="A8" s="6"/>
      <c r="B8" s="6"/>
      <c r="C8" s="36">
        <v>2016</v>
      </c>
      <c r="D8" s="37">
        <v>196</v>
      </c>
      <c r="E8" s="38">
        <v>93.97</v>
      </c>
      <c r="F8" s="6"/>
      <c r="G8" s="6"/>
      <c r="H8" s="40">
        <v>0.05</v>
      </c>
      <c r="I8" s="6"/>
      <c r="J8" s="40">
        <f>_xlfn.COVARIANCE.S(D4:D13,E4:E13)</f>
        <v>-2343.2294444444447</v>
      </c>
      <c r="K8" s="6"/>
      <c r="L8" s="6"/>
      <c r="M8" s="6"/>
    </row>
    <row r="9" spans="1:14">
      <c r="A9" s="6"/>
      <c r="B9" s="6"/>
      <c r="C9" s="36">
        <v>2017</v>
      </c>
      <c r="D9" s="37">
        <v>219</v>
      </c>
      <c r="E9" s="38">
        <v>116.07</v>
      </c>
      <c r="F9" s="6"/>
      <c r="G9" s="6"/>
      <c r="H9" s="6"/>
      <c r="I9" s="6"/>
      <c r="J9" s="6"/>
      <c r="K9" s="6"/>
      <c r="L9" s="6"/>
      <c r="M9" s="6"/>
    </row>
    <row r="10" spans="1:14">
      <c r="A10" s="6"/>
      <c r="B10" s="6"/>
      <c r="C10" s="36">
        <v>2018</v>
      </c>
      <c r="D10" s="37">
        <v>188</v>
      </c>
      <c r="E10" s="38">
        <v>137.94</v>
      </c>
      <c r="F10" s="6"/>
      <c r="G10" s="6"/>
      <c r="H10" s="6"/>
      <c r="I10" s="6"/>
      <c r="J10" s="6"/>
      <c r="K10" s="6"/>
      <c r="L10" s="6"/>
      <c r="M10" s="6"/>
    </row>
    <row r="11" spans="1:14" ht="45.75">
      <c r="A11" s="6"/>
      <c r="B11" s="6"/>
      <c r="C11" s="36">
        <v>2019</v>
      </c>
      <c r="D11" s="37">
        <v>157</v>
      </c>
      <c r="E11" s="38">
        <v>152.19</v>
      </c>
      <c r="F11" s="6"/>
      <c r="G11" s="6"/>
      <c r="H11" s="22" t="s">
        <v>24</v>
      </c>
      <c r="I11" s="24" t="s">
        <v>25</v>
      </c>
      <c r="J11" s="23" t="s">
        <v>26</v>
      </c>
      <c r="K11" s="21"/>
      <c r="L11" s="25" t="s">
        <v>27</v>
      </c>
      <c r="M11" s="6"/>
    </row>
    <row r="12" spans="1:14">
      <c r="A12" s="6"/>
      <c r="B12" s="6"/>
      <c r="C12" s="36">
        <v>2020</v>
      </c>
      <c r="D12" s="37">
        <v>121</v>
      </c>
      <c r="E12" s="38">
        <v>178.23</v>
      </c>
      <c r="F12" s="6"/>
      <c r="G12" s="6"/>
      <c r="H12" s="34">
        <f>_xlfn.STDEV.S(D4:D13)</f>
        <v>53.339687121525373</v>
      </c>
      <c r="I12" s="41">
        <f>_xlfn.STDEV.S(E4:E13)</f>
        <v>47.669077852768851</v>
      </c>
      <c r="J12" s="35">
        <f>H12*I12</f>
        <v>2542.6536980383248</v>
      </c>
      <c r="K12" s="6"/>
      <c r="L12" s="40">
        <f>J8/J12</f>
        <v>-0.92156845670814813</v>
      </c>
      <c r="M12" s="6"/>
    </row>
    <row r="13" spans="1:14">
      <c r="A13" s="6"/>
      <c r="B13" s="6"/>
      <c r="C13" s="34">
        <v>2021</v>
      </c>
      <c r="D13" s="41">
        <v>75</v>
      </c>
      <c r="E13" s="35">
        <v>189.61</v>
      </c>
      <c r="F13" s="6"/>
      <c r="G13" s="6"/>
      <c r="H13" s="6"/>
      <c r="I13" s="6"/>
      <c r="J13" s="6"/>
      <c r="K13" s="6"/>
      <c r="L13" s="6"/>
      <c r="M13" s="6"/>
    </row>
    <row r="14" spans="1:14" ht="91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2" t="s">
        <v>28</v>
      </c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>
      <c r="A16" s="6"/>
      <c r="B16" s="6"/>
      <c r="C16" s="6"/>
      <c r="D16" s="6"/>
      <c r="E16" s="6"/>
      <c r="F16" s="6"/>
      <c r="G16" s="6"/>
      <c r="H16" s="6" t="s">
        <v>29</v>
      </c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>
        <f>L12*SQRT((K4-2)/1-(L12^2))</f>
        <v>-2.4643491112606042</v>
      </c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A1C4-1B57-4B93-A432-0E9194AF2443}">
  <dimension ref="A1:S52"/>
  <sheetViews>
    <sheetView workbookViewId="0">
      <selection activeCell="O24" sqref="O24"/>
    </sheetView>
  </sheetViews>
  <sheetFormatPr defaultRowHeight="15"/>
  <cols>
    <col min="1" max="1" width="14" customWidth="1"/>
    <col min="2" max="2" width="14.5703125" customWidth="1"/>
    <col min="3" max="3" width="15.140625" customWidth="1"/>
    <col min="4" max="4" width="12.7109375" customWidth="1"/>
    <col min="5" max="5" width="16.28515625" customWidth="1"/>
    <col min="6" max="6" width="18.42578125" customWidth="1"/>
    <col min="7" max="7" width="15" customWidth="1"/>
    <col min="8" max="8" width="20.7109375" customWidth="1"/>
    <col min="9" max="9" width="19.28515625" customWidth="1"/>
    <col min="10" max="10" width="13.28515625" customWidth="1"/>
    <col min="22" max="22" width="15.42578125" customWidth="1"/>
  </cols>
  <sheetData>
    <row r="1" spans="1:13" s="90" customFormat="1" ht="20.25" customHeight="1">
      <c r="C1" s="89"/>
      <c r="D1" s="89"/>
      <c r="E1" s="89"/>
    </row>
    <row r="2" spans="1:13" ht="32.25">
      <c r="A2" s="91" t="s">
        <v>30</v>
      </c>
      <c r="B2" s="92" t="s">
        <v>31</v>
      </c>
      <c r="C2" s="100" t="s">
        <v>32</v>
      </c>
      <c r="D2" s="99" t="s">
        <v>33</v>
      </c>
      <c r="E2" s="100" t="s">
        <v>34</v>
      </c>
      <c r="F2" s="97" t="s">
        <v>35</v>
      </c>
      <c r="G2" s="97" t="s">
        <v>36</v>
      </c>
      <c r="H2" s="97" t="s">
        <v>37</v>
      </c>
      <c r="I2" s="97" t="s">
        <v>38</v>
      </c>
      <c r="J2" s="97" t="s">
        <v>39</v>
      </c>
      <c r="K2" s="6"/>
      <c r="M2" s="6"/>
    </row>
    <row r="3" spans="1:13">
      <c r="A3" s="93">
        <v>1282.663</v>
      </c>
      <c r="B3" s="96">
        <v>69.25</v>
      </c>
      <c r="C3" s="88">
        <f t="shared" ref="C3:C25" si="0">I$6+(J$6*A3)</f>
        <v>49.345567565935653</v>
      </c>
      <c r="D3" s="88">
        <f t="shared" ref="D3:D25" si="1">C3-2*G$3</f>
        <v>-6.8945695790514492</v>
      </c>
      <c r="E3" s="88">
        <f t="shared" ref="E3:E25" si="2">C3+2*G$3</f>
        <v>105.58570471092276</v>
      </c>
      <c r="F3" s="6">
        <f>_xlfn.STDEV.S(Таблица2[GDP])</f>
        <v>709.7791110160224</v>
      </c>
      <c r="G3" s="6">
        <f>_xlfn.STDEV.S(Таблица2[Бюджет на армию])</f>
        <v>28.120068572493551</v>
      </c>
      <c r="H3" s="6">
        <f>G9-2</f>
        <v>21</v>
      </c>
      <c r="I3" s="6">
        <f>_xlfn.STDEV.S(Таблица2[GDP])</f>
        <v>709.7791110160224</v>
      </c>
      <c r="J3" s="6">
        <f>_xlfn.STDEV.S(Таблица2[Бюджет на армию])</f>
        <v>28.120068572493551</v>
      </c>
      <c r="K3" s="6"/>
      <c r="M3" s="6"/>
    </row>
    <row r="4" spans="1:13">
      <c r="A4" s="94">
        <v>1363.7049999999999</v>
      </c>
      <c r="B4" s="96">
        <v>66.42</v>
      </c>
      <c r="C4" s="88">
        <f t="shared" si="0"/>
        <v>52.402223928210759</v>
      </c>
      <c r="D4" s="88">
        <f t="shared" si="1"/>
        <v>-3.837913216776343</v>
      </c>
      <c r="E4" s="88">
        <f t="shared" si="2"/>
        <v>108.64236107319786</v>
      </c>
      <c r="F4" s="6"/>
      <c r="G4" s="6"/>
      <c r="H4" s="6"/>
      <c r="I4" s="6"/>
      <c r="J4" s="6"/>
      <c r="K4" s="6"/>
      <c r="L4" s="6"/>
      <c r="M4" s="6"/>
    </row>
    <row r="5" spans="1:13">
      <c r="A5" s="94">
        <v>2063.6619999999998</v>
      </c>
      <c r="B5" s="96">
        <v>84.7</v>
      </c>
      <c r="C5" s="88">
        <f t="shared" si="0"/>
        <v>78.802461056724326</v>
      </c>
      <c r="D5" s="88">
        <f t="shared" si="1"/>
        <v>22.562323911737224</v>
      </c>
      <c r="E5" s="88">
        <f t="shared" si="2"/>
        <v>135.04259820171143</v>
      </c>
      <c r="F5" s="97" t="s">
        <v>40</v>
      </c>
      <c r="G5" s="97" t="s">
        <v>41</v>
      </c>
      <c r="H5" s="97" t="s">
        <v>42</v>
      </c>
      <c r="I5" s="97" t="s">
        <v>43</v>
      </c>
      <c r="J5" s="97" t="s">
        <v>44</v>
      </c>
      <c r="L5" s="6"/>
      <c r="M5" s="6"/>
    </row>
    <row r="6" spans="1:13">
      <c r="A6" s="94">
        <v>2297.1280000000002</v>
      </c>
      <c r="B6" s="96">
        <v>88.31</v>
      </c>
      <c r="C6" s="88">
        <f t="shared" si="0"/>
        <v>87.608084489943167</v>
      </c>
      <c r="D6" s="88">
        <f t="shared" si="1"/>
        <v>31.367947344956065</v>
      </c>
      <c r="E6" s="88">
        <f t="shared" si="2"/>
        <v>143.84822163493027</v>
      </c>
      <c r="F6" s="6">
        <f>AVERAGE(Таблица2[GDP])</f>
        <v>987.75682608695649</v>
      </c>
      <c r="G6" s="6">
        <f>AVERAGE(Таблица2[Бюджет на армию])</f>
        <v>38.222608695652177</v>
      </c>
      <c r="H6" s="6">
        <f>F12*SQRT((G9-2)/(1-(F12^2)))</f>
        <v>19.979013954002749</v>
      </c>
      <c r="I6" s="6">
        <f>G6-F6*J6</f>
        <v>0.96744240114610847</v>
      </c>
      <c r="J6" s="6">
        <f>F12*(G6/F6)</f>
        <v>3.7716941367131933E-2</v>
      </c>
      <c r="L6" s="6"/>
      <c r="M6" s="6"/>
    </row>
    <row r="7" spans="1:13">
      <c r="A7" s="94">
        <v>2210.2559999999999</v>
      </c>
      <c r="B7" s="96">
        <v>81.47</v>
      </c>
      <c r="C7" s="88">
        <f t="shared" si="0"/>
        <v>84.331538359497671</v>
      </c>
      <c r="D7" s="88">
        <f t="shared" si="1"/>
        <v>28.091401214510569</v>
      </c>
      <c r="E7" s="88">
        <f t="shared" si="2"/>
        <v>140.57167550448477</v>
      </c>
      <c r="F7" s="6"/>
      <c r="G7" s="6"/>
      <c r="H7" s="6"/>
      <c r="I7" s="6"/>
      <c r="J7" s="6"/>
      <c r="K7" s="6"/>
      <c r="L7" s="6"/>
      <c r="M7" s="6"/>
    </row>
    <row r="8" spans="1:13">
      <c r="A8" s="94">
        <v>2051.6610000000001</v>
      </c>
      <c r="B8" s="96">
        <v>70.239999999999995</v>
      </c>
      <c r="C8" s="88">
        <f t="shared" si="0"/>
        <v>78.349820043377377</v>
      </c>
      <c r="D8" s="88">
        <f t="shared" si="1"/>
        <v>22.109682898390275</v>
      </c>
      <c r="E8" s="88">
        <f t="shared" si="2"/>
        <v>134.58995718836448</v>
      </c>
      <c r="F8" s="97" t="s">
        <v>23</v>
      </c>
      <c r="G8" s="97" t="s">
        <v>20</v>
      </c>
      <c r="H8" s="97" t="s">
        <v>22</v>
      </c>
      <c r="I8" s="6"/>
      <c r="J8" s="6"/>
      <c r="K8" s="6"/>
      <c r="L8" s="6"/>
      <c r="M8" s="6"/>
    </row>
    <row r="9" spans="1:13">
      <c r="A9" s="94">
        <v>1524.9169999999999</v>
      </c>
      <c r="B9" s="96">
        <v>58.72</v>
      </c>
      <c r="C9" s="88">
        <f t="shared" si="0"/>
        <v>58.482647479888833</v>
      </c>
      <c r="D9" s="88">
        <f t="shared" si="1"/>
        <v>2.2425103349017306</v>
      </c>
      <c r="E9" s="88">
        <f t="shared" si="2"/>
        <v>114.72278462487594</v>
      </c>
      <c r="F9" s="6">
        <f>_xlfn.COVARIANCE.S(Таблица2[GDP],Таблица2[Бюджет на армию])</f>
        <v>19453.859327292492</v>
      </c>
      <c r="G9" s="6">
        <f>COUNT(Таблица2[GDP])</f>
        <v>23</v>
      </c>
      <c r="H9" s="6" t="s">
        <v>45</v>
      </c>
      <c r="I9" s="6"/>
      <c r="J9" s="6"/>
      <c r="K9" s="6"/>
      <c r="L9" s="6"/>
      <c r="M9" s="6"/>
    </row>
    <row r="10" spans="1:13" ht="15.75" customHeight="1">
      <c r="A10" s="94">
        <v>1222.644</v>
      </c>
      <c r="B10" s="96">
        <v>51.53</v>
      </c>
      <c r="C10" s="88">
        <f t="shared" si="0"/>
        <v>47.08183446202176</v>
      </c>
      <c r="D10" s="88">
        <f t="shared" si="1"/>
        <v>-9.158302682965342</v>
      </c>
      <c r="E10" s="88">
        <f t="shared" si="2"/>
        <v>103.32197160700886</v>
      </c>
      <c r="F10" s="6"/>
      <c r="G10" s="6"/>
      <c r="H10" s="6"/>
      <c r="I10" s="6"/>
      <c r="J10" s="6"/>
      <c r="K10" s="6"/>
      <c r="L10" s="6"/>
      <c r="M10" s="6"/>
    </row>
    <row r="11" spans="1:13" ht="15" customHeight="1">
      <c r="A11" s="94">
        <v>1660.846</v>
      </c>
      <c r="B11" s="96">
        <v>56.18</v>
      </c>
      <c r="C11" s="88">
        <f t="shared" si="0"/>
        <v>63.609473602981708</v>
      </c>
      <c r="D11" s="88">
        <f t="shared" si="1"/>
        <v>7.3693364579946063</v>
      </c>
      <c r="E11" s="88">
        <f t="shared" si="2"/>
        <v>119.84961074796881</v>
      </c>
      <c r="F11" s="97" t="s">
        <v>46</v>
      </c>
      <c r="G11" s="97"/>
      <c r="H11" s="97" t="s">
        <v>47</v>
      </c>
      <c r="I11" s="109" t="s">
        <v>48</v>
      </c>
      <c r="J11" s="109"/>
      <c r="K11" s="109"/>
      <c r="L11" s="6"/>
      <c r="M11" s="6"/>
    </row>
    <row r="12" spans="1:13" ht="15" customHeight="1">
      <c r="A12" s="94">
        <v>1299.7049999999999</v>
      </c>
      <c r="B12" s="96">
        <v>43.53</v>
      </c>
      <c r="C12" s="88">
        <f t="shared" si="0"/>
        <v>49.988339680714311</v>
      </c>
      <c r="D12" s="88">
        <f t="shared" si="1"/>
        <v>-6.2517974642727907</v>
      </c>
      <c r="E12" s="88">
        <f t="shared" si="2"/>
        <v>106.22847682570142</v>
      </c>
      <c r="F12" s="6">
        <f>F9 / (F3*G3)</f>
        <v>0.97468926286927782</v>
      </c>
      <c r="G12" s="6"/>
      <c r="H12" s="6">
        <f>_xlfn.T.DIST.2T(H6,H3)</f>
        <v>3.8304081138427278E-15</v>
      </c>
      <c r="I12" s="109"/>
      <c r="J12" s="109"/>
      <c r="K12" s="109"/>
      <c r="L12" s="98"/>
      <c r="M12" s="6"/>
    </row>
    <row r="13" spans="1:13">
      <c r="A13" s="94">
        <v>989.93</v>
      </c>
      <c r="B13" s="96">
        <v>34.520000000000003</v>
      </c>
      <c r="C13" s="88">
        <f t="shared" si="0"/>
        <v>38.304574168711021</v>
      </c>
      <c r="D13" s="88">
        <f t="shared" si="1"/>
        <v>-17.935562976276081</v>
      </c>
      <c r="E13" s="88">
        <f t="shared" si="2"/>
        <v>94.544711313698116</v>
      </c>
      <c r="F13" s="6"/>
      <c r="G13" s="6"/>
      <c r="H13" s="6"/>
      <c r="I13" s="98"/>
      <c r="J13" s="98"/>
      <c r="K13" s="98"/>
      <c r="L13" s="98"/>
    </row>
    <row r="14" spans="1:13">
      <c r="A14" s="94">
        <v>764.01700000000005</v>
      </c>
      <c r="B14" s="96">
        <v>27.34</v>
      </c>
      <c r="C14" s="88">
        <f t="shared" si="0"/>
        <v>29.783826793638148</v>
      </c>
      <c r="D14" s="88">
        <f t="shared" si="1"/>
        <v>-26.456310351348954</v>
      </c>
      <c r="E14" s="88">
        <f t="shared" si="2"/>
        <v>86.023963938625258</v>
      </c>
      <c r="F14" s="6"/>
      <c r="G14" s="6"/>
      <c r="H14" s="6"/>
      <c r="I14" s="98"/>
      <c r="J14" s="98"/>
      <c r="K14" s="98"/>
      <c r="L14" s="98"/>
    </row>
    <row r="15" spans="1:13">
      <c r="A15" s="94">
        <v>591.01599999999996</v>
      </c>
      <c r="B15" s="96">
        <v>20.96</v>
      </c>
      <c r="C15" s="88">
        <f t="shared" si="0"/>
        <v>23.258758220182955</v>
      </c>
      <c r="D15" s="88">
        <f t="shared" si="1"/>
        <v>-32.981378924804147</v>
      </c>
      <c r="E15" s="88">
        <f t="shared" si="2"/>
        <v>79.498895365170057</v>
      </c>
      <c r="F15" s="97" t="s">
        <v>49</v>
      </c>
      <c r="G15" s="6"/>
      <c r="H15" s="114" t="s">
        <v>50</v>
      </c>
      <c r="I15" s="114"/>
      <c r="J15" s="97" t="s">
        <v>51</v>
      </c>
      <c r="K15" s="6"/>
      <c r="L15" s="6"/>
      <c r="M15" s="6"/>
    </row>
    <row r="16" spans="1:13">
      <c r="A16" s="94">
        <v>430.34699999999998</v>
      </c>
      <c r="B16" s="96">
        <v>16.97</v>
      </c>
      <c r="C16" s="88">
        <f t="shared" si="0"/>
        <v>17.198814967667232</v>
      </c>
      <c r="D16" s="88">
        <f t="shared" si="1"/>
        <v>-39.04132217731987</v>
      </c>
      <c r="E16" s="88">
        <f t="shared" si="2"/>
        <v>73.438952112654334</v>
      </c>
      <c r="F16" s="6">
        <f>F12*F12</f>
        <v>0.95001915915265611</v>
      </c>
      <c r="G16" s="6"/>
      <c r="H16" s="6"/>
      <c r="J16" s="97" t="s">
        <v>52</v>
      </c>
      <c r="K16" s="6"/>
      <c r="L16" s="6"/>
      <c r="M16" s="6"/>
    </row>
    <row r="17" spans="1:19">
      <c r="A17" s="94">
        <v>345.47</v>
      </c>
      <c r="B17" s="96">
        <v>13.94</v>
      </c>
      <c r="C17" s="88">
        <f t="shared" si="0"/>
        <v>13.997514135249178</v>
      </c>
      <c r="D17" s="88">
        <f t="shared" si="1"/>
        <v>-42.242623009737926</v>
      </c>
      <c r="E17" s="88">
        <f t="shared" si="2"/>
        <v>70.237651280236278</v>
      </c>
      <c r="F17" s="6"/>
      <c r="G17" s="6"/>
      <c r="H17" s="6"/>
      <c r="J17" s="97" t="s">
        <v>53</v>
      </c>
      <c r="K17" s="112" t="s">
        <v>54</v>
      </c>
      <c r="L17" s="112"/>
      <c r="M17" s="112"/>
      <c r="N17" s="112"/>
      <c r="O17" s="112"/>
      <c r="P17" s="112"/>
      <c r="Q17" s="112"/>
      <c r="R17" s="112"/>
      <c r="S17" s="112"/>
    </row>
    <row r="18" spans="1:19">
      <c r="A18" s="94">
        <v>306.60199999999998</v>
      </c>
      <c r="B18" s="96">
        <v>11.68</v>
      </c>
      <c r="C18" s="88">
        <f t="shared" si="0"/>
        <v>12.531532058191493</v>
      </c>
      <c r="D18" s="88">
        <f t="shared" si="1"/>
        <v>-43.708605086795608</v>
      </c>
      <c r="E18" s="88">
        <f t="shared" si="2"/>
        <v>68.77166920317859</v>
      </c>
      <c r="F18" s="97" t="s">
        <v>55</v>
      </c>
      <c r="G18" t="s">
        <v>56</v>
      </c>
      <c r="H18" s="6"/>
      <c r="K18" s="6"/>
      <c r="L18" s="6"/>
      <c r="M18" s="6"/>
    </row>
    <row r="19" spans="1:19">
      <c r="A19" s="94">
        <v>259.70999999999998</v>
      </c>
      <c r="B19" s="96">
        <v>9.23</v>
      </c>
      <c r="C19" s="88">
        <f t="shared" si="0"/>
        <v>10.762909243603943</v>
      </c>
      <c r="D19" s="88">
        <f t="shared" si="1"/>
        <v>-45.477227901383159</v>
      </c>
      <c r="E19" s="88">
        <f t="shared" si="2"/>
        <v>67.003046388591045</v>
      </c>
      <c r="F19" s="6">
        <f>I6+(J6*F20)</f>
        <v>6.6249836062158982</v>
      </c>
      <c r="H19" s="6"/>
      <c r="K19" s="6"/>
      <c r="L19" s="6"/>
      <c r="M19" s="6"/>
    </row>
    <row r="20" spans="1:19">
      <c r="A20" s="94">
        <v>195.90700000000001</v>
      </c>
      <c r="B20" s="96">
        <v>6.47</v>
      </c>
      <c r="C20" s="88">
        <f t="shared" si="0"/>
        <v>8.3564552335568241</v>
      </c>
      <c r="D20" s="88">
        <f t="shared" si="1"/>
        <v>-47.88368191143028</v>
      </c>
      <c r="E20" s="88">
        <f t="shared" si="2"/>
        <v>64.596592378543932</v>
      </c>
      <c r="F20" s="6">
        <v>150</v>
      </c>
    </row>
    <row r="21" spans="1:19">
      <c r="A21" s="94">
        <v>270.95499999999998</v>
      </c>
      <c r="B21" s="96">
        <v>7.96</v>
      </c>
      <c r="C21" s="88">
        <f t="shared" si="0"/>
        <v>11.187036249277341</v>
      </c>
      <c r="D21" s="88">
        <f t="shared" si="1"/>
        <v>-45.053100895709761</v>
      </c>
      <c r="E21" s="88">
        <f t="shared" si="2"/>
        <v>67.427173394264443</v>
      </c>
      <c r="F21" s="6"/>
    </row>
    <row r="22" spans="1:19" ht="15" customHeight="1">
      <c r="A22" s="94">
        <v>404.928</v>
      </c>
      <c r="B22" s="96">
        <v>17.579999999999998</v>
      </c>
      <c r="C22" s="88">
        <f t="shared" si="0"/>
        <v>16.240088035056107</v>
      </c>
      <c r="D22" s="88">
        <f t="shared" si="1"/>
        <v>-40.000049109930998</v>
      </c>
      <c r="E22" s="88">
        <f t="shared" si="2"/>
        <v>72.480225180043206</v>
      </c>
      <c r="F22" s="97" t="s">
        <v>57</v>
      </c>
      <c r="G22" t="s">
        <v>58</v>
      </c>
      <c r="H22" s="86"/>
      <c r="O22" s="86"/>
    </row>
    <row r="23" spans="1:19">
      <c r="A23" s="94">
        <v>391.72399999999999</v>
      </c>
      <c r="B23" s="96">
        <v>15.83</v>
      </c>
      <c r="C23" s="88">
        <f t="shared" si="0"/>
        <v>15.742073541244498</v>
      </c>
      <c r="D23" s="88">
        <f t="shared" si="1"/>
        <v>-40.498063603742608</v>
      </c>
      <c r="E23" s="88">
        <f t="shared" si="2"/>
        <v>71.982210686231596</v>
      </c>
      <c r="F23" s="6">
        <f>I6+(J6*F24)</f>
        <v>17.940066016355477</v>
      </c>
      <c r="G23" s="86"/>
      <c r="H23" s="86"/>
      <c r="I23" s="97" t="s">
        <v>59</v>
      </c>
      <c r="J23" s="97" t="s">
        <v>60</v>
      </c>
      <c r="K23" s="115" t="s">
        <v>61</v>
      </c>
      <c r="L23" s="115"/>
      <c r="M23" s="115" t="s">
        <v>62</v>
      </c>
      <c r="N23" s="115"/>
      <c r="O23" s="115"/>
      <c r="P23" s="115"/>
      <c r="Q23" s="115"/>
    </row>
    <row r="24" spans="1:19">
      <c r="A24" s="94">
        <v>395.53699999999998</v>
      </c>
      <c r="B24" s="96">
        <v>12.74</v>
      </c>
      <c r="C24" s="88">
        <f t="shared" si="0"/>
        <v>15.885888238677371</v>
      </c>
      <c r="D24" s="88">
        <f t="shared" si="1"/>
        <v>-40.354248906309735</v>
      </c>
      <c r="E24" s="88">
        <f t="shared" si="2"/>
        <v>72.126025383664469</v>
      </c>
      <c r="F24" s="6">
        <v>450</v>
      </c>
      <c r="G24" s="101"/>
      <c r="H24" s="101"/>
      <c r="I24" s="6">
        <v>0.9</v>
      </c>
      <c r="J24">
        <f>_xlfn.T.INV.2T(1-I24,H3)</f>
        <v>1.7207429028118781</v>
      </c>
      <c r="K24" s="114" cm="1">
        <f t="array" ref="K24">_xlfn.T.INV.2T(1-I24,H3)*G26*SQRT(1+1/G9+((G9*(4-F6)^2)/(G9*SUM(Таблица2[GDP]^2)-(SUM(Таблица2[GDP]))^2)))</f>
        <v>11.834518040341141</v>
      </c>
      <c r="L24" s="114"/>
      <c r="M24" s="6">
        <f>F19-K24</f>
        <v>-5.209534434125243</v>
      </c>
      <c r="N24" s="6" t="s">
        <v>63</v>
      </c>
      <c r="O24" s="6">
        <f>F19</f>
        <v>6.6249836062158982</v>
      </c>
      <c r="P24" s="6" t="s">
        <v>63</v>
      </c>
      <c r="Q24" s="6">
        <f>F19+K24</f>
        <v>18.45950164655704</v>
      </c>
    </row>
    <row r="25" spans="1:19">
      <c r="A25" s="95">
        <v>395.077</v>
      </c>
      <c r="B25" s="96">
        <v>13.55</v>
      </c>
      <c r="C25" s="88">
        <f t="shared" si="0"/>
        <v>15.868538445648491</v>
      </c>
      <c r="D25" s="88">
        <f t="shared" si="1"/>
        <v>-40.371598699338612</v>
      </c>
      <c r="E25" s="88">
        <f t="shared" si="2"/>
        <v>72.108675590635599</v>
      </c>
      <c r="G25" s="113" t="s">
        <v>64</v>
      </c>
      <c r="H25" s="113"/>
      <c r="I25" s="101"/>
      <c r="J25" s="101"/>
      <c r="O25" s="101"/>
    </row>
    <row r="26" spans="1:19">
      <c r="B26" s="5"/>
      <c r="E26" s="6"/>
      <c r="G26" s="114" cm="1">
        <f t="array" ref="G26">SQRT((SUM((B3:B25-C3:C25)^2))/H3)</f>
        <v>6.4675873902286964</v>
      </c>
      <c r="H26" s="114"/>
    </row>
    <row r="27" spans="1:19">
      <c r="B27" s="5"/>
      <c r="E27" s="6"/>
      <c r="H27" s="6"/>
    </row>
    <row r="28" spans="1:19">
      <c r="B28" s="5"/>
      <c r="E28" s="6"/>
      <c r="F28" s="111" t="s">
        <v>65</v>
      </c>
      <c r="G28" s="111"/>
      <c r="H28" s="6"/>
    </row>
    <row r="29" spans="1:19">
      <c r="B29" s="5"/>
      <c r="E29" s="6"/>
      <c r="F29" s="110" t="s">
        <v>66</v>
      </c>
      <c r="G29" s="110"/>
    </row>
    <row r="30" spans="1:19">
      <c r="A30" s="87"/>
      <c r="E30" s="6"/>
      <c r="L30" s="46"/>
    </row>
    <row r="31" spans="1:19">
      <c r="A31" s="87"/>
      <c r="E31" s="6"/>
    </row>
    <row r="32" spans="1:19">
      <c r="E32" s="6"/>
      <c r="F32" s="111" t="s">
        <v>67</v>
      </c>
      <c r="G32" s="111"/>
    </row>
    <row r="33" spans="5:9">
      <c r="E33" s="6"/>
      <c r="F33" s="110" t="s">
        <v>68</v>
      </c>
      <c r="G33" s="110"/>
    </row>
    <row r="34" spans="5:9">
      <c r="E34" s="6"/>
      <c r="F34" s="110"/>
      <c r="G34" s="110"/>
    </row>
    <row r="35" spans="5:9">
      <c r="E35" s="6"/>
    </row>
    <row r="36" spans="5:9">
      <c r="E36" s="6"/>
    </row>
    <row r="37" spans="5:9">
      <c r="E37" s="6"/>
    </row>
    <row r="38" spans="5:9">
      <c r="E38" s="6"/>
      <c r="I38" s="6"/>
    </row>
    <row r="39" spans="5:9">
      <c r="E39" s="6"/>
      <c r="H39" s="6"/>
    </row>
    <row r="40" spans="5:9">
      <c r="E40" s="6"/>
      <c r="H40" s="6"/>
    </row>
    <row r="41" spans="5:9">
      <c r="E41" s="6"/>
      <c r="F41" s="6"/>
      <c r="G41" s="6"/>
      <c r="H41" s="6"/>
    </row>
    <row r="42" spans="5:9">
      <c r="E42" s="6"/>
      <c r="F42" s="6"/>
      <c r="G42" s="6"/>
      <c r="H42" s="6"/>
    </row>
    <row r="43" spans="5:9">
      <c r="E43" s="6"/>
      <c r="F43" s="6"/>
      <c r="G43" s="6"/>
      <c r="H43" s="6"/>
    </row>
    <row r="44" spans="5:9">
      <c r="E44" s="6"/>
    </row>
    <row r="45" spans="5:9">
      <c r="E45" s="6"/>
    </row>
    <row r="46" spans="5:9">
      <c r="E46" s="6"/>
    </row>
    <row r="47" spans="5:9">
      <c r="E47" s="6"/>
    </row>
    <row r="48" spans="5:9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</sheetData>
  <mergeCells count="12">
    <mergeCell ref="I11:K12"/>
    <mergeCell ref="F33:G34"/>
    <mergeCell ref="F32:G32"/>
    <mergeCell ref="F28:G28"/>
    <mergeCell ref="F29:G29"/>
    <mergeCell ref="K17:S17"/>
    <mergeCell ref="G25:H25"/>
    <mergeCell ref="G26:H26"/>
    <mergeCell ref="K24:L24"/>
    <mergeCell ref="K23:L23"/>
    <mergeCell ref="M23:Q23"/>
    <mergeCell ref="H15:I15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A518-AA15-452A-A00A-F5F2C829AAD0}">
  <dimension ref="B2:Q44"/>
  <sheetViews>
    <sheetView topLeftCell="A21" workbookViewId="0">
      <selection activeCell="Q42" sqref="Q42"/>
    </sheetView>
  </sheetViews>
  <sheetFormatPr defaultRowHeight="15"/>
  <sheetData>
    <row r="2" spans="2:13">
      <c r="B2" t="s">
        <v>69</v>
      </c>
      <c r="C2" t="s">
        <v>70</v>
      </c>
      <c r="E2" t="s">
        <v>71</v>
      </c>
      <c r="F2" t="s">
        <v>72</v>
      </c>
      <c r="H2" t="s">
        <v>20</v>
      </c>
      <c r="I2" t="s">
        <v>73</v>
      </c>
      <c r="K2" t="s">
        <v>74</v>
      </c>
      <c r="M2">
        <f>SQRT(8/1-(E15*E15))</f>
        <v>2.7258906610303582</v>
      </c>
    </row>
    <row r="3" spans="2:13">
      <c r="B3">
        <v>55</v>
      </c>
      <c r="C3">
        <v>170</v>
      </c>
      <c r="E3">
        <f>AVERAGE(B3:B12)</f>
        <v>69.099999999999994</v>
      </c>
      <c r="F3">
        <f>AVERAGE(C3:C12)</f>
        <v>166.4</v>
      </c>
      <c r="H3">
        <v>10</v>
      </c>
      <c r="I3">
        <f>H3-2</f>
        <v>8</v>
      </c>
      <c r="K3">
        <f>E15*M2</f>
        <v>2.0571357961683603</v>
      </c>
    </row>
    <row r="4" spans="2:13">
      <c r="B4">
        <v>30</v>
      </c>
      <c r="C4">
        <v>120</v>
      </c>
    </row>
    <row r="5" spans="2:13">
      <c r="B5">
        <v>90</v>
      </c>
      <c r="C5">
        <v>187</v>
      </c>
      <c r="E5" t="s">
        <v>22</v>
      </c>
      <c r="I5" t="s">
        <v>43</v>
      </c>
      <c r="J5" t="s">
        <v>44</v>
      </c>
    </row>
    <row r="6" spans="2:13">
      <c r="B6">
        <v>71</v>
      </c>
      <c r="C6">
        <v>176</v>
      </c>
      <c r="E6" t="s">
        <v>45</v>
      </c>
      <c r="I6">
        <f>F3-(J6*E3)</f>
        <v>118.24843336582651</v>
      </c>
      <c r="J6">
        <f>E15*(G12/G9)</f>
        <v>0.69683888037877717</v>
      </c>
    </row>
    <row r="7" spans="2:13">
      <c r="B7">
        <v>122</v>
      </c>
      <c r="C7">
        <v>181</v>
      </c>
    </row>
    <row r="8" spans="2:13">
      <c r="B8">
        <v>44</v>
      </c>
      <c r="C8">
        <v>132</v>
      </c>
      <c r="E8" t="s">
        <v>75</v>
      </c>
      <c r="G8" t="s">
        <v>76</v>
      </c>
    </row>
    <row r="9" spans="2:13">
      <c r="B9">
        <v>64</v>
      </c>
      <c r="C9">
        <v>189</v>
      </c>
      <c r="E9">
        <f>_xlfn.COVARIANCE.S(B3:B12,C3:C12)</f>
        <v>500.40000000000003</v>
      </c>
      <c r="G9">
        <f>_xlfn.STDEV.S(B3:B12)</f>
        <v>26.79738793240864</v>
      </c>
    </row>
    <row r="10" spans="2:13">
      <c r="B10">
        <v>78</v>
      </c>
      <c r="C10">
        <v>164</v>
      </c>
    </row>
    <row r="11" spans="2:13">
      <c r="B11">
        <v>88</v>
      </c>
      <c r="C11">
        <v>193</v>
      </c>
      <c r="G11" t="s">
        <v>77</v>
      </c>
    </row>
    <row r="12" spans="2:13">
      <c r="B12">
        <v>49</v>
      </c>
      <c r="C12">
        <v>152</v>
      </c>
      <c r="G12">
        <f>_xlfn.STDEV.S(C3:C12)</f>
        <v>24.744022847279084</v>
      </c>
    </row>
    <row r="14" spans="2:13">
      <c r="E14" t="s">
        <v>78</v>
      </c>
      <c r="G14" t="s">
        <v>79</v>
      </c>
    </row>
    <row r="15" spans="2:13">
      <c r="E15">
        <f>E9/G15</f>
        <v>0.75466555778535316</v>
      </c>
      <c r="G15">
        <f>G12*G9</f>
        <v>663.07517924692013</v>
      </c>
    </row>
    <row r="18" spans="3:8">
      <c r="E18" t="s">
        <v>80</v>
      </c>
    </row>
    <row r="19" spans="3:8">
      <c r="E19">
        <f>_xlfn.T.DIST.2T(K3,8)</f>
        <v>7.3687085271481934E-2</v>
      </c>
      <c r="H19" t="s">
        <v>81</v>
      </c>
    </row>
    <row r="21" spans="3:8">
      <c r="C21" t="s">
        <v>69</v>
      </c>
      <c r="D21" t="s">
        <v>70</v>
      </c>
      <c r="E21" t="s">
        <v>82</v>
      </c>
      <c r="F21" t="s">
        <v>83</v>
      </c>
      <c r="G21" t="s">
        <v>84</v>
      </c>
    </row>
    <row r="22" spans="3:8">
      <c r="C22">
        <v>55</v>
      </c>
      <c r="D22">
        <v>170</v>
      </c>
      <c r="E22">
        <f>$I$6+($J$6*$B3)</f>
        <v>156.57457178665925</v>
      </c>
      <c r="F22">
        <f>$I$6+($J$6*$B3)-(2*$G$12)</f>
        <v>107.08652609210108</v>
      </c>
      <c r="G22">
        <f>$I$6+($J$6*$B3)+(2*$G$12)</f>
        <v>206.06261748121742</v>
      </c>
    </row>
    <row r="23" spans="3:8">
      <c r="C23">
        <v>30</v>
      </c>
      <c r="D23">
        <v>120</v>
      </c>
      <c r="E23">
        <f t="shared" ref="C23:E33" si="0">$I$6+($J$6*$B4)</f>
        <v>139.15359977718984</v>
      </c>
      <c r="F23">
        <f t="shared" ref="D23:F33" si="1">$I$6+($J$6*$B4)-(2*$G$12)</f>
        <v>89.665554082631672</v>
      </c>
      <c r="G23">
        <f t="shared" ref="E23:G33" si="2">$I$6+($J$6*$B4)+(2*$G$12)</f>
        <v>188.64164547174801</v>
      </c>
    </row>
    <row r="24" spans="3:8">
      <c r="C24">
        <v>90</v>
      </c>
      <c r="D24">
        <v>187</v>
      </c>
      <c r="E24">
        <f t="shared" si="0"/>
        <v>180.96393259991646</v>
      </c>
      <c r="F24">
        <f t="shared" si="1"/>
        <v>131.47588690535829</v>
      </c>
      <c r="G24">
        <f t="shared" si="2"/>
        <v>230.45197829447463</v>
      </c>
    </row>
    <row r="25" spans="3:8">
      <c r="C25">
        <v>71</v>
      </c>
      <c r="D25">
        <v>176</v>
      </c>
      <c r="E25">
        <f t="shared" si="0"/>
        <v>167.72399387271969</v>
      </c>
      <c r="F25">
        <f t="shared" si="1"/>
        <v>118.23594817816152</v>
      </c>
      <c r="G25">
        <f t="shared" si="2"/>
        <v>217.21203956727786</v>
      </c>
    </row>
    <row r="26" spans="3:8">
      <c r="C26">
        <v>122</v>
      </c>
      <c r="D26">
        <v>181</v>
      </c>
      <c r="E26">
        <f t="shared" si="0"/>
        <v>203.26277677203734</v>
      </c>
      <c r="F26">
        <f t="shared" si="1"/>
        <v>153.77473107747917</v>
      </c>
      <c r="G26">
        <f t="shared" si="2"/>
        <v>252.75082246659551</v>
      </c>
    </row>
    <row r="27" spans="3:8">
      <c r="C27">
        <v>44</v>
      </c>
      <c r="D27">
        <v>132</v>
      </c>
      <c r="E27">
        <f t="shared" si="0"/>
        <v>148.9093441024927</v>
      </c>
      <c r="F27">
        <f t="shared" si="1"/>
        <v>99.421298407934529</v>
      </c>
      <c r="G27">
        <f t="shared" si="2"/>
        <v>198.39738979705086</v>
      </c>
    </row>
    <row r="28" spans="3:8">
      <c r="C28">
        <v>64</v>
      </c>
      <c r="D28">
        <v>189</v>
      </c>
      <c r="E28">
        <f t="shared" si="0"/>
        <v>162.84612171006825</v>
      </c>
      <c r="F28">
        <f t="shared" si="1"/>
        <v>113.35807601551008</v>
      </c>
      <c r="G28">
        <f t="shared" si="2"/>
        <v>212.33416740462641</v>
      </c>
    </row>
    <row r="29" spans="3:8">
      <c r="C29">
        <v>78</v>
      </c>
      <c r="D29">
        <v>164</v>
      </c>
      <c r="E29">
        <f t="shared" si="0"/>
        <v>172.60186603537113</v>
      </c>
      <c r="F29">
        <f t="shared" si="1"/>
        <v>123.11382034081296</v>
      </c>
      <c r="G29">
        <f t="shared" si="2"/>
        <v>222.0899117299293</v>
      </c>
    </row>
    <row r="30" spans="3:8">
      <c r="C30">
        <v>88</v>
      </c>
      <c r="D30">
        <v>193</v>
      </c>
      <c r="E30">
        <f t="shared" si="0"/>
        <v>179.57025483915891</v>
      </c>
      <c r="F30">
        <f t="shared" si="1"/>
        <v>130.08220914460074</v>
      </c>
      <c r="G30">
        <f t="shared" si="2"/>
        <v>229.05830053371707</v>
      </c>
    </row>
    <row r="31" spans="3:8">
      <c r="C31">
        <v>49</v>
      </c>
      <c r="D31">
        <v>152</v>
      </c>
      <c r="E31">
        <f t="shared" si="0"/>
        <v>152.39353850438658</v>
      </c>
      <c r="F31">
        <f t="shared" si="1"/>
        <v>102.90549280982842</v>
      </c>
      <c r="G31">
        <f t="shared" si="2"/>
        <v>201.88158419894475</v>
      </c>
    </row>
    <row r="37" spans="3:17" ht="26.25">
      <c r="C37" t="s">
        <v>65</v>
      </c>
      <c r="E37">
        <v>49</v>
      </c>
      <c r="F37">
        <v>152</v>
      </c>
      <c r="I37" s="69" t="s">
        <v>11</v>
      </c>
      <c r="Q37" s="69" t="s">
        <v>85</v>
      </c>
    </row>
    <row r="38" spans="3:17">
      <c r="E38">
        <v>88</v>
      </c>
      <c r="F38">
        <v>193</v>
      </c>
      <c r="I38" t="s">
        <v>86</v>
      </c>
      <c r="J38">
        <f>E15^2</f>
        <v>0.56952010410747822</v>
      </c>
    </row>
    <row r="39" spans="3:17">
      <c r="E39">
        <v>55</v>
      </c>
      <c r="F39">
        <v>170</v>
      </c>
      <c r="I39" t="s">
        <v>87</v>
      </c>
      <c r="J39" cm="1">
        <f t="array" ref="J39">SQRT((SUM(D22:D31 - E22:E31)^2)/I3)</f>
        <v>5.0242958677880804E-14</v>
      </c>
    </row>
    <row r="40" spans="3:17">
      <c r="E40">
        <v>30</v>
      </c>
      <c r="F40">
        <v>120</v>
      </c>
    </row>
    <row r="41" spans="3:17">
      <c r="I41" t="s">
        <v>74</v>
      </c>
      <c r="J41" t="s">
        <v>61</v>
      </c>
    </row>
    <row r="42" spans="3:17">
      <c r="E42" t="s">
        <v>88</v>
      </c>
      <c r="F42" t="s">
        <v>89</v>
      </c>
      <c r="I42">
        <f>_xlfn.T.INV.2T(1-0.9,I3)</f>
        <v>1.8595480375308981</v>
      </c>
      <c r="J42" cm="1">
        <f t="array" ref="J42">_xlfn.T.INV.2T(1-0.9,I3)*O22*SQRT(1+1/H3+((H3*(4-E3)^2)/(H3*SUM(C22:C31^2)-(SUM(C22:C31))^2)))</f>
        <v>0</v>
      </c>
    </row>
    <row r="43" spans="3:17">
      <c r="C43" t="s">
        <v>90</v>
      </c>
      <c r="E43">
        <v>55</v>
      </c>
      <c r="F43">
        <f>$I$6+($J$6*E43)</f>
        <v>156.57457178665925</v>
      </c>
    </row>
    <row r="44" spans="3:17">
      <c r="C44" t="s">
        <v>91</v>
      </c>
      <c r="E44">
        <v>30</v>
      </c>
      <c r="F44">
        <f>$I$6+($J$6*E44)</f>
        <v>139.15359977718984</v>
      </c>
      <c r="J44" s="54" t="str">
        <f>(F43-J42)&amp;"&lt;"&amp;(F43)&amp;"&lt;"&amp;(F43+J42)</f>
        <v>156,574571786659&lt;156,574571786659&lt;156,574571786659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B950-C82E-4D93-A801-5F88870CE785}">
  <dimension ref="A1:N85"/>
  <sheetViews>
    <sheetView tabSelected="1" topLeftCell="A49" workbookViewId="0">
      <selection activeCell="K85" sqref="K85"/>
    </sheetView>
  </sheetViews>
  <sheetFormatPr defaultRowHeight="15"/>
  <cols>
    <col min="1" max="1" width="13" customWidth="1"/>
    <col min="2" max="3" width="9.85546875" bestFit="1" customWidth="1"/>
    <col min="4" max="4" width="21.140625" customWidth="1"/>
    <col min="9" max="9" width="10.28515625" customWidth="1"/>
    <col min="10" max="10" width="14.85546875" customWidth="1"/>
    <col min="11" max="11" width="10.5703125" customWidth="1"/>
  </cols>
  <sheetData>
    <row r="1" spans="1:14">
      <c r="A1" t="s">
        <v>92</v>
      </c>
    </row>
    <row r="2" spans="1:14">
      <c r="A2" t="s">
        <v>93</v>
      </c>
      <c r="B2" t="s">
        <v>94</v>
      </c>
      <c r="C2" t="s">
        <v>95</v>
      </c>
      <c r="D2" t="s">
        <v>83</v>
      </c>
      <c r="E2" t="s">
        <v>84</v>
      </c>
      <c r="G2" s="8" t="s">
        <v>96</v>
      </c>
      <c r="H2" s="8" t="s">
        <v>97</v>
      </c>
      <c r="J2" s="8" t="s">
        <v>20</v>
      </c>
      <c r="K2" s="8" t="s">
        <v>98</v>
      </c>
    </row>
    <row r="3" spans="1:14">
      <c r="A3">
        <v>7</v>
      </c>
      <c r="B3">
        <v>110</v>
      </c>
      <c r="C3">
        <f>$J$16+($K$16*A3)</f>
        <v>120.59090909090911</v>
      </c>
      <c r="D3">
        <f>C3-2*$J$5</f>
        <v>85.455845019916865</v>
      </c>
      <c r="E3">
        <f>C3+2*$J$5</f>
        <v>155.72597316190135</v>
      </c>
      <c r="G3">
        <f>AVERAGE(Таблица1[Возраст(a)])</f>
        <v>6</v>
      </c>
      <c r="H3">
        <f>AVERAGE(Таблица1[Рост(h)])</f>
        <v>114.72727272727273</v>
      </c>
      <c r="J3">
        <v>11</v>
      </c>
      <c r="K3">
        <f>J3-2</f>
        <v>9</v>
      </c>
    </row>
    <row r="4" spans="1:14">
      <c r="A4">
        <v>9</v>
      </c>
      <c r="B4">
        <v>134</v>
      </c>
      <c r="C4">
        <f>$J$16+($K$16*A4)</f>
        <v>132.31818181818184</v>
      </c>
      <c r="D4">
        <f>C4-2*$J$5</f>
        <v>97.183117747189613</v>
      </c>
      <c r="E4">
        <f>C4+2*$J$5</f>
        <v>167.45324588917407</v>
      </c>
      <c r="G4" s="8" t="s">
        <v>75</v>
      </c>
      <c r="I4" s="8" t="s">
        <v>99</v>
      </c>
      <c r="J4" s="8" t="s">
        <v>100</v>
      </c>
      <c r="L4" s="8" t="s">
        <v>101</v>
      </c>
      <c r="N4" s="8" t="s">
        <v>102</v>
      </c>
    </row>
    <row r="5" spans="1:14">
      <c r="A5">
        <v>5</v>
      </c>
      <c r="B5">
        <v>111</v>
      </c>
      <c r="C5">
        <f>$J$16+($K$16*A5)</f>
        <v>108.86363636363637</v>
      </c>
      <c r="D5">
        <f>C5-2*$J$5</f>
        <v>73.728572292644145</v>
      </c>
      <c r="E5">
        <f>C5+2*$J$5</f>
        <v>143.9987004346286</v>
      </c>
      <c r="G5">
        <f>_xlfn.COVARIANCE.S(Таблица1[Возраст(a)],Таблица1[Рост(h)])</f>
        <v>38.700000000000003</v>
      </c>
      <c r="I5">
        <f>_xlfn.STDEV.S(Таблица1[Возраст(a)])</f>
        <v>2.5690465157330258</v>
      </c>
      <c r="J5">
        <f>_xlfn.STDEV.S(Таблица1[Рост(h)])</f>
        <v>17.567532035496118</v>
      </c>
      <c r="L5">
        <f>CORREL(Таблица1[Возраст(a)],Таблица1[Рост(h)])</f>
        <v>0.85748837907840303</v>
      </c>
      <c r="N5">
        <f>L5*SQRT((J3-2)/(1-(L5^2)))</f>
        <v>4.9998998487716362</v>
      </c>
    </row>
    <row r="6" spans="1:14">
      <c r="A6">
        <v>6</v>
      </c>
      <c r="B6">
        <v>124</v>
      </c>
      <c r="C6">
        <f>$J$16+($K$16*A6)</f>
        <v>114.72727272727273</v>
      </c>
      <c r="D6">
        <f>C6-2*$J$5</f>
        <v>79.592208656280491</v>
      </c>
      <c r="E6">
        <f>C6+2*$J$5</f>
        <v>149.86233679826498</v>
      </c>
    </row>
    <row r="7" spans="1:14">
      <c r="A7">
        <v>3</v>
      </c>
      <c r="B7">
        <v>96</v>
      </c>
      <c r="C7">
        <f>$J$16+($K$16*A7)</f>
        <v>97.136363636363626</v>
      </c>
      <c r="D7">
        <f>C7-2*$J$5</f>
        <v>62.00129956537139</v>
      </c>
      <c r="E7">
        <f>C7+2*$J$5</f>
        <v>132.27142770735585</v>
      </c>
      <c r="G7" s="8" t="s">
        <v>103</v>
      </c>
    </row>
    <row r="8" spans="1:14">
      <c r="A8">
        <v>10</v>
      </c>
      <c r="B8">
        <v>144</v>
      </c>
      <c r="C8">
        <f>$J$16+($K$16*A8)</f>
        <v>138.18181818181822</v>
      </c>
      <c r="D8">
        <f>C8-2*$J$5</f>
        <v>103.04675411082599</v>
      </c>
      <c r="E8">
        <f>C8+2*$J$5</f>
        <v>173.31688225281044</v>
      </c>
      <c r="G8">
        <v>0.05</v>
      </c>
    </row>
    <row r="9" spans="1:14">
      <c r="A9">
        <v>5</v>
      </c>
      <c r="B9">
        <v>123</v>
      </c>
      <c r="C9">
        <f>$J$16+($K$16*A9)</f>
        <v>108.86363636363637</v>
      </c>
      <c r="D9">
        <f>C9-2*$J$5</f>
        <v>73.728572292644145</v>
      </c>
      <c r="E9">
        <f>C9+2*$J$5</f>
        <v>143.9987004346286</v>
      </c>
    </row>
    <row r="10" spans="1:14">
      <c r="A10">
        <v>6</v>
      </c>
      <c r="B10">
        <v>118</v>
      </c>
      <c r="C10">
        <f>$J$16+($K$16*A10)</f>
        <v>114.72727272727273</v>
      </c>
      <c r="D10">
        <f>C10-2*$J$5</f>
        <v>79.592208656280491</v>
      </c>
      <c r="E10">
        <f>C10+2*$J$5</f>
        <v>149.86233679826498</v>
      </c>
    </row>
    <row r="11" spans="1:14">
      <c r="A11">
        <v>2</v>
      </c>
      <c r="B11">
        <v>80</v>
      </c>
      <c r="C11">
        <f>$J$16+($K$16*A11)</f>
        <v>91.272727272727252</v>
      </c>
      <c r="D11">
        <f>C11-2*$J$5</f>
        <v>56.137663201735016</v>
      </c>
      <c r="E11">
        <f>C11+2*$J$5</f>
        <v>126.40779134371948</v>
      </c>
      <c r="G11" t="s">
        <v>51</v>
      </c>
      <c r="I11" s="8" t="s">
        <v>104</v>
      </c>
      <c r="J11">
        <f>_xlfn.T.DIST.2T(N5,K3)</f>
        <v>7.3906892972273311E-4</v>
      </c>
      <c r="L11" s="7" t="s">
        <v>105</v>
      </c>
      <c r="M11" t="s">
        <v>106</v>
      </c>
    </row>
    <row r="12" spans="1:14">
      <c r="A12">
        <v>9</v>
      </c>
      <c r="B12">
        <v>117</v>
      </c>
      <c r="C12">
        <f>$J$16+($K$16*A12)</f>
        <v>132.31818181818184</v>
      </c>
      <c r="D12">
        <f>C12-2*$J$5</f>
        <v>97.183117747189613</v>
      </c>
      <c r="E12">
        <f>C12+2*$J$5</f>
        <v>167.45324588917407</v>
      </c>
      <c r="G12" t="s">
        <v>52</v>
      </c>
    </row>
    <row r="13" spans="1:14">
      <c r="A13">
        <v>4</v>
      </c>
      <c r="B13">
        <v>105</v>
      </c>
      <c r="C13">
        <f>$J$16+($K$16*A13)</f>
        <v>103</v>
      </c>
      <c r="D13">
        <f>C13-2*$J$5</f>
        <v>67.864935929007771</v>
      </c>
      <c r="E13">
        <f>C13+2*$J$5</f>
        <v>138.13506407099223</v>
      </c>
    </row>
    <row r="15" spans="1:14">
      <c r="J15" t="s">
        <v>43</v>
      </c>
      <c r="K15" t="s">
        <v>44</v>
      </c>
    </row>
    <row r="16" spans="1:14">
      <c r="J16">
        <f>H3-(K16*G3)</f>
        <v>79.545454545454518</v>
      </c>
      <c r="K16">
        <f>L5*(J5/I5)</f>
        <v>5.8636363636363695</v>
      </c>
      <c r="M16" s="44" t="s">
        <v>107</v>
      </c>
    </row>
    <row r="20" spans="2:13">
      <c r="J20" t="s">
        <v>108</v>
      </c>
      <c r="K20" t="s">
        <v>109</v>
      </c>
    </row>
    <row r="21" spans="2:13">
      <c r="J21" t="s">
        <v>65</v>
      </c>
      <c r="K21" t="s">
        <v>109</v>
      </c>
      <c r="L21" t="s">
        <v>110</v>
      </c>
    </row>
    <row r="26" spans="2:13">
      <c r="J26" s="4" t="s">
        <v>55</v>
      </c>
      <c r="K26" t="s">
        <v>43</v>
      </c>
      <c r="L26" t="s">
        <v>88</v>
      </c>
    </row>
    <row r="27" spans="2:13">
      <c r="K27">
        <v>4</v>
      </c>
      <c r="L27">
        <f>$J$16+($K$16*K27)</f>
        <v>103</v>
      </c>
    </row>
    <row r="29" spans="2:13">
      <c r="J29" s="4" t="s">
        <v>111</v>
      </c>
    </row>
    <row r="30" spans="2:13">
      <c r="K30">
        <v>13</v>
      </c>
      <c r="L30">
        <f>$J$16+($K$16*K30)</f>
        <v>155.77272727272731</v>
      </c>
    </row>
    <row r="31" spans="2:13">
      <c r="K31">
        <v>1</v>
      </c>
      <c r="L31">
        <f>$J$16+($K$16*K31)</f>
        <v>85.409090909090892</v>
      </c>
      <c r="M31" t="s">
        <v>112</v>
      </c>
    </row>
    <row r="32" spans="2:13">
      <c r="B32" t="s">
        <v>113</v>
      </c>
      <c r="F32" t="s">
        <v>114</v>
      </c>
    </row>
    <row r="33" spans="2:9">
      <c r="B33" s="58" t="s">
        <v>115</v>
      </c>
      <c r="C33" s="59"/>
      <c r="D33" s="60"/>
      <c r="F33" s="58" t="s">
        <v>116</v>
      </c>
      <c r="G33" s="59"/>
      <c r="H33" s="59"/>
      <c r="I33" s="60" t="s">
        <v>117</v>
      </c>
    </row>
    <row r="34" spans="2:9">
      <c r="B34" s="61">
        <f>L5^2</f>
        <v>0.73528632025450702</v>
      </c>
      <c r="D34" s="62"/>
      <c r="F34" s="61">
        <f>SUM(Таблица1[Возраст(a)])</f>
        <v>66</v>
      </c>
      <c r="I34" s="63" cm="1">
        <f t="array" ref="I34">SUM(Таблица1[Возраст(a)]^2)</f>
        <v>462</v>
      </c>
    </row>
    <row r="35" spans="2:9">
      <c r="B35" s="61"/>
      <c r="D35" s="63"/>
      <c r="F35" s="61" t="s">
        <v>118</v>
      </c>
      <c r="I35" s="63" t="s">
        <v>119</v>
      </c>
    </row>
    <row r="36" spans="2:9">
      <c r="B36" s="61" t="s">
        <v>120</v>
      </c>
      <c r="D36" s="63"/>
      <c r="F36" s="61">
        <f>SUM(Таблица1[Рост(h)])</f>
        <v>1262</v>
      </c>
      <c r="I36" s="63" cm="1">
        <f t="array" ref="I36">SUM(Таблица1[Рост(h)]*Таблица1[Возраст(a)])</f>
        <v>7959</v>
      </c>
    </row>
    <row r="37" spans="2:9">
      <c r="B37" s="61" cm="1">
        <f t="array" ref="B37">SQRT((SUM((Таблица1[Рост(h)]-Таблица1[y])^2))/K3)</f>
        <v>9.5274722394099491</v>
      </c>
      <c r="D37" s="63"/>
      <c r="F37" s="61"/>
      <c r="I37" s="63"/>
    </row>
    <row r="38" spans="2:9">
      <c r="B38" s="61"/>
      <c r="D38" s="63"/>
      <c r="F38" s="58" t="str">
        <f>J3&amp;"a+"&amp;F34&amp;"b="&amp;F36</f>
        <v>11a+66b=1262</v>
      </c>
      <c r="G38" s="14"/>
      <c r="I38" s="63"/>
    </row>
    <row r="39" spans="2:9">
      <c r="B39" s="61" t="s">
        <v>121</v>
      </c>
      <c r="C39" t="s">
        <v>74</v>
      </c>
      <c r="D39" s="63"/>
      <c r="F39" s="64" t="str">
        <f>F34&amp;"a+"&amp;I34&amp;"b="&amp;I36</f>
        <v>66a+462b=7959</v>
      </c>
      <c r="G39" s="15"/>
      <c r="I39" s="63"/>
    </row>
    <row r="40" spans="2:9">
      <c r="B40" s="61" cm="1">
        <f t="array" ref="B40">_xlfn.T.INV.2T(1-0.9,K3)*B37*SQRT(1+1/J3+((J3*(4-G3)^2)/(J3*SUM(Таблица1[Возраст(a)]^2)-(SUM(Таблица1[Возраст(a)]))^2)))</f>
        <v>18.74138756360508</v>
      </c>
      <c r="C40" s="56">
        <f>_xlfn.T.INV.2T(1-0.9,K3)</f>
        <v>1.8331129326562374</v>
      </c>
      <c r="D40" s="63"/>
      <c r="F40" s="61"/>
      <c r="I40" s="63"/>
    </row>
    <row r="41" spans="2:9">
      <c r="B41" s="61"/>
      <c r="D41" s="63"/>
      <c r="F41" s="58" t="s">
        <v>122</v>
      </c>
      <c r="G41" s="60"/>
      <c r="I41" s="14" t="s">
        <v>123</v>
      </c>
    </row>
    <row r="42" spans="2:9">
      <c r="B42" s="64" t="str">
        <f>(L27-B40)&amp;"&lt;"&amp;(L27)&amp;"&lt;"&amp;(L27+B40)</f>
        <v>84,2586124363949&lt;103&lt;121,741387563605</v>
      </c>
      <c r="C42" s="65"/>
      <c r="D42" s="66"/>
      <c r="E42" s="46"/>
      <c r="F42" s="61">
        <f>J3</f>
        <v>11</v>
      </c>
      <c r="G42" s="63">
        <f>F34</f>
        <v>66</v>
      </c>
      <c r="I42" s="68">
        <f>F36</f>
        <v>1262</v>
      </c>
    </row>
    <row r="43" spans="2:9">
      <c r="F43" s="67">
        <f>F34</f>
        <v>66</v>
      </c>
      <c r="G43" s="66">
        <f>I34</f>
        <v>462</v>
      </c>
      <c r="I43" s="15">
        <f>I36</f>
        <v>7959</v>
      </c>
    </row>
    <row r="44" spans="2:9">
      <c r="F44" s="61"/>
      <c r="I44" s="63"/>
    </row>
    <row r="45" spans="2:9">
      <c r="F45" s="61" t="s">
        <v>124</v>
      </c>
      <c r="I45" s="63"/>
    </row>
    <row r="46" spans="2:9">
      <c r="F46" s="61">
        <f>F42*G43-G42*F43</f>
        <v>726</v>
      </c>
      <c r="I46" s="63"/>
    </row>
    <row r="47" spans="2:9">
      <c r="F47" s="61"/>
      <c r="I47" s="63"/>
    </row>
    <row r="48" spans="2:9">
      <c r="F48" s="61" t="s">
        <v>125</v>
      </c>
      <c r="I48" s="63" t="s">
        <v>126</v>
      </c>
    </row>
    <row r="49" spans="2:11">
      <c r="F49" s="61" cm="1">
        <f t="array" ref="F49:G50">MINVERSE(F42:G43)</f>
        <v>0.63636363636363635</v>
      </c>
      <c r="G49">
        <v>-9.0909090909090898E-2</v>
      </c>
      <c r="I49" s="63" cm="1">
        <f t="array" ref="I49:I50">MMULT(_xlfn.ANCHORARRAY(F49),I42:I43)</f>
        <v>79.545454545454618</v>
      </c>
    </row>
    <row r="50" spans="2:11">
      <c r="F50" s="61">
        <v>-9.0909090909090912E-2</v>
      </c>
      <c r="G50">
        <v>1.515151515151515E-2</v>
      </c>
      <c r="I50" s="63">
        <v>5.8636363636363455</v>
      </c>
    </row>
    <row r="51" spans="2:11">
      <c r="F51" s="61"/>
      <c r="I51" s="63"/>
    </row>
    <row r="52" spans="2:11">
      <c r="F52" s="116" t="s">
        <v>127</v>
      </c>
      <c r="G52" s="117"/>
      <c r="H52" s="117"/>
      <c r="I52" s="118"/>
    </row>
    <row r="57" spans="2:11">
      <c r="B57" t="s">
        <v>128</v>
      </c>
      <c r="C57" t="s">
        <v>129</v>
      </c>
      <c r="D57" t="s">
        <v>95</v>
      </c>
    </row>
    <row r="58" spans="2:11">
      <c r="B58" s="79" t="s">
        <v>93</v>
      </c>
      <c r="C58" s="71" t="s">
        <v>130</v>
      </c>
      <c r="D58" s="76" t="s">
        <v>94</v>
      </c>
      <c r="E58" s="71" t="s">
        <v>131</v>
      </c>
      <c r="F58" s="71" t="s">
        <v>132</v>
      </c>
      <c r="G58" s="71" t="s">
        <v>133</v>
      </c>
      <c r="H58" s="71" t="s">
        <v>134</v>
      </c>
      <c r="I58" s="71" t="s">
        <v>135</v>
      </c>
      <c r="J58" s="71" t="s">
        <v>136</v>
      </c>
      <c r="K58" s="79" t="s">
        <v>95</v>
      </c>
    </row>
    <row r="59" spans="2:11">
      <c r="B59" s="80">
        <v>7</v>
      </c>
      <c r="C59" s="70">
        <v>18</v>
      </c>
      <c r="D59" s="77">
        <v>110</v>
      </c>
      <c r="E59" s="75">
        <f>B59*D59</f>
        <v>770</v>
      </c>
      <c r="F59" s="75">
        <f>C59*D59</f>
        <v>1980</v>
      </c>
      <c r="G59" s="75">
        <f>B59*C59</f>
        <v>126</v>
      </c>
      <c r="H59" s="75">
        <f>B59^2</f>
        <v>49</v>
      </c>
      <c r="I59" s="75">
        <f>C59^2</f>
        <v>324</v>
      </c>
      <c r="J59" s="75">
        <f>D59^2</f>
        <v>12100</v>
      </c>
      <c r="K59" s="80">
        <f>$C$81+$A$81*B59+$B$81*C59</f>
        <v>110.37450429787148</v>
      </c>
    </row>
    <row r="60" spans="2:11">
      <c r="B60" s="61">
        <v>9</v>
      </c>
      <c r="C60">
        <v>30</v>
      </c>
      <c r="D60" s="63">
        <v>134</v>
      </c>
      <c r="E60">
        <f>B60*D60</f>
        <v>1206</v>
      </c>
      <c r="F60">
        <f>C60*D60</f>
        <v>4020</v>
      </c>
      <c r="G60">
        <f>B60*C60</f>
        <v>270</v>
      </c>
      <c r="H60">
        <f>B60^2</f>
        <v>81</v>
      </c>
      <c r="I60">
        <f>C60^2</f>
        <v>900</v>
      </c>
      <c r="J60">
        <f>D60^2</f>
        <v>17956</v>
      </c>
      <c r="K60" s="61">
        <f>$C$81+$A$81*B60+$B$81*C60</f>
        <v>133.00951748086854</v>
      </c>
    </row>
    <row r="61" spans="2:11">
      <c r="B61" s="80">
        <v>5</v>
      </c>
      <c r="C61" s="70">
        <v>19</v>
      </c>
      <c r="D61" s="77">
        <v>111</v>
      </c>
      <c r="E61" s="75">
        <f>B61*D61</f>
        <v>555</v>
      </c>
      <c r="F61" s="75">
        <f>C61*D61</f>
        <v>2109</v>
      </c>
      <c r="G61" s="75">
        <f>B61*C61</f>
        <v>95</v>
      </c>
      <c r="H61" s="75">
        <f>B61^2</f>
        <v>25</v>
      </c>
      <c r="I61" s="75">
        <f>C61^2</f>
        <v>361</v>
      </c>
      <c r="J61" s="75">
        <f>D61^2</f>
        <v>12321</v>
      </c>
      <c r="K61" s="80">
        <f>$C$81+$A$81*B61+$B$81*C61</f>
        <v>109.70860217358685</v>
      </c>
    </row>
    <row r="62" spans="2:11">
      <c r="B62" s="61">
        <v>6</v>
      </c>
      <c r="C62">
        <v>22</v>
      </c>
      <c r="D62" s="63">
        <v>124</v>
      </c>
      <c r="E62">
        <f>B62*D62</f>
        <v>744</v>
      </c>
      <c r="F62">
        <f>C62*D62</f>
        <v>2728</v>
      </c>
      <c r="G62">
        <f>B62*C62</f>
        <v>132</v>
      </c>
      <c r="H62">
        <f>B62^2</f>
        <v>36</v>
      </c>
      <c r="I62">
        <f>C62^2</f>
        <v>484</v>
      </c>
      <c r="J62">
        <f>D62^2</f>
        <v>15376</v>
      </c>
      <c r="K62" s="61">
        <f>$C$81+$A$81*B62+$B$81*C62</f>
        <v>115.95631390538253</v>
      </c>
    </row>
    <row r="63" spans="2:11">
      <c r="B63" s="80">
        <v>3</v>
      </c>
      <c r="C63" s="70">
        <v>12</v>
      </c>
      <c r="D63" s="77">
        <v>96</v>
      </c>
      <c r="E63" s="75">
        <f>B63*D63</f>
        <v>288</v>
      </c>
      <c r="F63" s="75">
        <f>C63*D63</f>
        <v>1152</v>
      </c>
      <c r="G63" s="75">
        <f>B63*C63</f>
        <v>36</v>
      </c>
      <c r="H63" s="75">
        <f>B63^2</f>
        <v>9</v>
      </c>
      <c r="I63" s="75">
        <f>C63^2</f>
        <v>144</v>
      </c>
      <c r="J63" s="75">
        <f>D63^2</f>
        <v>9216</v>
      </c>
      <c r="K63" s="80">
        <f>$C$81+$A$81*B63+$B$81*C63</f>
        <v>95.523247090094571</v>
      </c>
    </row>
    <row r="64" spans="2:11">
      <c r="B64" s="61">
        <v>10</v>
      </c>
      <c r="C64">
        <v>40</v>
      </c>
      <c r="D64" s="63">
        <v>144</v>
      </c>
      <c r="E64">
        <f>B64*D64</f>
        <v>1440</v>
      </c>
      <c r="F64">
        <f>C64*D64</f>
        <v>5760</v>
      </c>
      <c r="G64">
        <f>B64*C64</f>
        <v>400</v>
      </c>
      <c r="H64">
        <f>B64^2</f>
        <v>100</v>
      </c>
      <c r="I64">
        <f>C64^2</f>
        <v>1600</v>
      </c>
      <c r="J64">
        <f>D64^2</f>
        <v>20736</v>
      </c>
      <c r="K64" s="61">
        <f>$C$81+$A$81*B64+$B$81*C64</f>
        <v>151.08675055197091</v>
      </c>
    </row>
    <row r="65" spans="1:13">
      <c r="B65" s="80">
        <v>5</v>
      </c>
      <c r="C65" s="70">
        <v>24</v>
      </c>
      <c r="D65" s="77">
        <v>123</v>
      </c>
      <c r="E65" s="75">
        <f>B65*D65</f>
        <v>615</v>
      </c>
      <c r="F65" s="75">
        <f>C65*D65</f>
        <v>2952</v>
      </c>
      <c r="G65" s="75">
        <f>B65*C65</f>
        <v>120</v>
      </c>
      <c r="H65" s="75">
        <f>B65^2</f>
        <v>25</v>
      </c>
      <c r="I65" s="75">
        <f>C65^2</f>
        <v>576</v>
      </c>
      <c r="J65" s="75">
        <f>D65^2</f>
        <v>15129</v>
      </c>
      <c r="K65" s="80">
        <f>$C$81+$A$81*B65+$B$81*C65</f>
        <v>118.15826027309164</v>
      </c>
    </row>
    <row r="66" spans="1:13">
      <c r="B66" s="61">
        <v>6</v>
      </c>
      <c r="C66">
        <v>20</v>
      </c>
      <c r="D66" s="63">
        <v>118</v>
      </c>
      <c r="E66">
        <f>B66*D66</f>
        <v>708</v>
      </c>
      <c r="F66">
        <f>C66*D66</f>
        <v>2360</v>
      </c>
      <c r="G66">
        <f>B66*C66</f>
        <v>120</v>
      </c>
      <c r="H66">
        <f>B66^2</f>
        <v>36</v>
      </c>
      <c r="I66">
        <f>C66^2</f>
        <v>400</v>
      </c>
      <c r="J66">
        <f>D66^2</f>
        <v>13924</v>
      </c>
      <c r="K66" s="61">
        <f>$C$81+$A$81*B66+$B$81*C66</f>
        <v>112.57645066558061</v>
      </c>
    </row>
    <row r="67" spans="1:13">
      <c r="B67" s="80">
        <v>2</v>
      </c>
      <c r="C67" s="70">
        <v>9</v>
      </c>
      <c r="D67" s="77">
        <v>80</v>
      </c>
      <c r="E67" s="75">
        <f>B67*D67</f>
        <v>160</v>
      </c>
      <c r="F67" s="75">
        <f>C67*D67</f>
        <v>720</v>
      </c>
      <c r="G67" s="75">
        <f>B67*C67</f>
        <v>18</v>
      </c>
      <c r="H67" s="75">
        <f>B67^2</f>
        <v>4</v>
      </c>
      <c r="I67" s="75">
        <f>C67^2</f>
        <v>81</v>
      </c>
      <c r="J67" s="75">
        <f>D67^2</f>
        <v>6400</v>
      </c>
      <c r="K67" s="80">
        <f>$C$81+$A$81*B67+$B$81*C67</f>
        <v>89.27553535829891</v>
      </c>
    </row>
    <row r="68" spans="1:13">
      <c r="B68" s="61">
        <v>9</v>
      </c>
      <c r="C68">
        <v>22</v>
      </c>
      <c r="D68" s="63">
        <v>117</v>
      </c>
      <c r="E68">
        <f>B68*D68</f>
        <v>1053</v>
      </c>
      <c r="F68">
        <f>C68*D68</f>
        <v>2574</v>
      </c>
      <c r="G68">
        <f>B68*C68</f>
        <v>198</v>
      </c>
      <c r="H68">
        <f>B68^2</f>
        <v>81</v>
      </c>
      <c r="I68">
        <f>C68^2</f>
        <v>484</v>
      </c>
      <c r="J68">
        <f>D68^2</f>
        <v>13689</v>
      </c>
      <c r="K68" s="61">
        <f>$C$81+$A$81*B68+$B$81*C68</f>
        <v>119.49006452166088</v>
      </c>
    </row>
    <row r="69" spans="1:13">
      <c r="B69" s="80">
        <v>4</v>
      </c>
      <c r="C69" s="70">
        <v>18</v>
      </c>
      <c r="D69" s="77">
        <v>105</v>
      </c>
      <c r="E69" s="75">
        <f>B69*D69</f>
        <v>420</v>
      </c>
      <c r="F69" s="75">
        <f>C69*D69</f>
        <v>1890</v>
      </c>
      <c r="G69" s="75">
        <f>B69*C69</f>
        <v>72</v>
      </c>
      <c r="H69" s="75">
        <f>B69^2</f>
        <v>16</v>
      </c>
      <c r="I69" s="75">
        <f>C69^2</f>
        <v>324</v>
      </c>
      <c r="J69" s="75">
        <f>D69^2</f>
        <v>11025</v>
      </c>
      <c r="K69" s="80">
        <f>$C$81+$A$81*B69+$B$81*C69</f>
        <v>106.8407536815931</v>
      </c>
    </row>
    <row r="71" spans="1:13">
      <c r="A71" t="s">
        <v>137</v>
      </c>
      <c r="B71">
        <f>SUM(B59:B69)</f>
        <v>66</v>
      </c>
      <c r="C71">
        <f>SUM(C59:C69)</f>
        <v>234</v>
      </c>
      <c r="D71">
        <f>SUM(D59:D69)</f>
        <v>1262</v>
      </c>
      <c r="E71">
        <f>SUM(E59:E69)</f>
        <v>7959</v>
      </c>
      <c r="F71">
        <f>SUM(F59:F69)</f>
        <v>28245</v>
      </c>
      <c r="G71">
        <f>SUM(G59:G69)</f>
        <v>1587</v>
      </c>
      <c r="H71">
        <f>SUM(H59:H69)</f>
        <v>462</v>
      </c>
      <c r="I71">
        <f>SUM(I59:I69)</f>
        <v>5678</v>
      </c>
      <c r="J71">
        <f>SUM(J59:J69)</f>
        <v>147872</v>
      </c>
    </row>
    <row r="72" spans="1:13">
      <c r="A72" t="s">
        <v>138</v>
      </c>
      <c r="B72">
        <f>B71/11</f>
        <v>6</v>
      </c>
      <c r="C72">
        <f>C71/11</f>
        <v>21.272727272727273</v>
      </c>
      <c r="D72">
        <f>D71/11</f>
        <v>114.72727272727273</v>
      </c>
      <c r="E72">
        <f>E71/11</f>
        <v>723.5454545454545</v>
      </c>
      <c r="F72">
        <f>F71/11</f>
        <v>2567.7272727272725</v>
      </c>
      <c r="G72">
        <f>G71/11</f>
        <v>144.27272727272728</v>
      </c>
      <c r="H72">
        <f>H71/11</f>
        <v>42</v>
      </c>
      <c r="I72">
        <f>I71/11</f>
        <v>516.18181818181813</v>
      </c>
      <c r="J72">
        <f>J71/11</f>
        <v>13442.90909090909</v>
      </c>
    </row>
    <row r="73" spans="1:13">
      <c r="A73" t="s">
        <v>139</v>
      </c>
      <c r="B73">
        <f>(H72-B72^2)^0.5</f>
        <v>2.4494897427831779</v>
      </c>
      <c r="C73">
        <f>(I72-C72^2)^0.5</f>
        <v>7.9782762901508608</v>
      </c>
      <c r="D73">
        <f>(J72-D72^2)^0.5</f>
        <v>16.749984581218946</v>
      </c>
    </row>
    <row r="76" spans="1:13">
      <c r="A76" s="13" t="s">
        <v>140</v>
      </c>
      <c r="B76" s="13">
        <f>(E72-D72*B72)</f>
        <v>35.18181818181813</v>
      </c>
      <c r="C76" s="13" t="s">
        <v>141</v>
      </c>
      <c r="D76" s="13">
        <f>(F72-C72*D72)</f>
        <v>127.16528925619787</v>
      </c>
      <c r="E76" s="13" t="s">
        <v>142</v>
      </c>
      <c r="F76" s="13">
        <f>(G72-B72*C72)</f>
        <v>16.63636363636364</v>
      </c>
      <c r="J76" t="s">
        <v>143</v>
      </c>
      <c r="K76">
        <v>1</v>
      </c>
      <c r="L76">
        <f>B77</f>
        <v>0.85748837907840469</v>
      </c>
      <c r="M76">
        <f>D77</f>
        <v>0.95157954926853794</v>
      </c>
    </row>
    <row r="77" spans="1:13">
      <c r="A77" s="83" t="s">
        <v>144</v>
      </c>
      <c r="B77" s="13">
        <f>B76/(B73*D73)</f>
        <v>0.85748837907840469</v>
      </c>
      <c r="C77" s="83" t="s">
        <v>145</v>
      </c>
      <c r="D77" s="13">
        <f>D76/(D73*C73)</f>
        <v>0.95157954926853794</v>
      </c>
      <c r="E77" s="83" t="s">
        <v>146</v>
      </c>
      <c r="F77" s="13">
        <f>F76/(B73*C73)</f>
        <v>0.85128250352335277</v>
      </c>
      <c r="J77">
        <f>MDETERM(K76:M78)</f>
        <v>2.3767394016730489E-2</v>
      </c>
      <c r="K77">
        <f>B77</f>
        <v>0.85748837907840469</v>
      </c>
      <c r="L77">
        <v>1</v>
      </c>
      <c r="M77">
        <f>F77</f>
        <v>0.85128250352335277</v>
      </c>
    </row>
    <row r="78" spans="1:13">
      <c r="K78">
        <f>D77</f>
        <v>0.95157954926853794</v>
      </c>
      <c r="L78">
        <f>F77</f>
        <v>0.85128250352335277</v>
      </c>
      <c r="M78">
        <v>1</v>
      </c>
    </row>
    <row r="80" spans="1:13">
      <c r="A80" s="83" t="s">
        <v>147</v>
      </c>
      <c r="B80" s="83" t="s">
        <v>148</v>
      </c>
      <c r="C80" s="83" t="s">
        <v>43</v>
      </c>
      <c r="J80" t="s">
        <v>149</v>
      </c>
      <c r="K80">
        <v>1</v>
      </c>
      <c r="L80">
        <f>F77</f>
        <v>0.85128250352335277</v>
      </c>
    </row>
    <row r="81" spans="1:12">
      <c r="A81" s="83">
        <f>(D73/B73)*((B77-D77*F77)/(1-F77^2))</f>
        <v>1.1779168720927933</v>
      </c>
      <c r="B81" s="84">
        <f>(D73/C73)*((D77-B77*F77)/(1-F77^2))</f>
        <v>1.6899316199009569</v>
      </c>
      <c r="C81" s="83">
        <f>D72-A81*B72-B81*C72</f>
        <v>71.710317035004707</v>
      </c>
      <c r="J81">
        <f>MDETERM(K80:L81)</f>
        <v>0.27531809919501282</v>
      </c>
      <c r="K81">
        <f>F77</f>
        <v>0.85128250352335277</v>
      </c>
      <c r="L81">
        <v>1</v>
      </c>
    </row>
    <row r="83" spans="1:12">
      <c r="A83" t="str">
        <f>"y="&amp;C81&amp;"+"&amp;A81&amp;"*a+"&amp;B81&amp;"*w"</f>
        <v>y=71,7103170350047+1,17791687209279*a+1,68993161990096*w</v>
      </c>
    </row>
    <row r="85" spans="1:12">
      <c r="J85" s="83" t="s">
        <v>150</v>
      </c>
      <c r="K85" s="83">
        <f>(1-J77/J81)^0.5</f>
        <v>0.9558624217138072</v>
      </c>
    </row>
  </sheetData>
  <mergeCells count="1">
    <mergeCell ref="F52:I5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E45-6C03-49D7-B1FC-C944E955F043}">
  <dimension ref="A1:R42"/>
  <sheetViews>
    <sheetView workbookViewId="0">
      <selection activeCell="C2" sqref="C2"/>
    </sheetView>
  </sheetViews>
  <sheetFormatPr defaultRowHeight="15"/>
  <cols>
    <col min="1" max="1" width="9.140625" bestFit="1" customWidth="1"/>
    <col min="4" max="4" width="9.140625" bestFit="1" customWidth="1"/>
    <col min="6" max="6" width="12.42578125" customWidth="1"/>
    <col min="17" max="17" width="14.5703125" customWidth="1"/>
  </cols>
  <sheetData>
    <row r="1" spans="1:6">
      <c r="A1" t="s">
        <v>88</v>
      </c>
      <c r="B1" t="s">
        <v>89</v>
      </c>
      <c r="D1" t="s">
        <v>83</v>
      </c>
      <c r="E1" t="s">
        <v>84</v>
      </c>
    </row>
    <row r="2" spans="1:6">
      <c r="A2" s="1">
        <v>73.847017017515</v>
      </c>
      <c r="B2" s="1">
        <v>241.89356318043701</v>
      </c>
      <c r="C2">
        <f>$A$23+($B$23*$A2)</f>
        <v>222.02900550160064</v>
      </c>
      <c r="D2">
        <f>$A$23+($B$23*$A2) -(2*$B$20)</f>
        <v>165.80859377816699</v>
      </c>
      <c r="E2">
        <f>$A$23+($B$23*$A2) +(2*$B$20)</f>
        <v>278.24941722503428</v>
      </c>
    </row>
    <row r="3" spans="1:6">
      <c r="A3" s="1">
        <v>68.7819040458903</v>
      </c>
      <c r="B3" s="1">
        <v>162.3104725213</v>
      </c>
      <c r="C3">
        <f>$A$23+($B$23*$A3)</f>
        <v>184.4543973788185</v>
      </c>
      <c r="D3">
        <f>$A$23+($B$23*$A3) -(2*$B$20)</f>
        <v>128.23398565538486</v>
      </c>
      <c r="E3">
        <f>$A$23+($B$23*$A3) +(2*$B$20)</f>
        <v>240.67480910225214</v>
      </c>
    </row>
    <row r="4" spans="1:6">
      <c r="A4" s="2">
        <v>74.110105391784899</v>
      </c>
      <c r="B4" s="1">
        <v>212.74085555650001</v>
      </c>
      <c r="C4">
        <f>$A$23+($B$23*$A4)</f>
        <v>223.9806781731146</v>
      </c>
      <c r="D4">
        <f>$A$23+($B$23*$A4) -(2*$B$20)</f>
        <v>167.76026644968096</v>
      </c>
      <c r="E4">
        <f>$A$23+($B$23*$A4) +(2*$B$20)</f>
        <v>280.20108989654824</v>
      </c>
    </row>
    <row r="5" spans="1:6">
      <c r="A5" s="1">
        <v>71.730978403337701</v>
      </c>
      <c r="B5" s="1">
        <v>220.04247030307701</v>
      </c>
      <c r="C5">
        <f>$A$23+($B$23*$A5)</f>
        <v>206.33156259246778</v>
      </c>
      <c r="D5">
        <f>$A$23+($B$23*$A5) -(2*$B$20)</f>
        <v>150.11115086903413</v>
      </c>
      <c r="E5">
        <f>$A$23+($B$23*$A5) +(2*$B$20)</f>
        <v>262.55197431590142</v>
      </c>
    </row>
    <row r="6" spans="1:6">
      <c r="A6" s="1">
        <v>69.881795861115293</v>
      </c>
      <c r="B6" s="1">
        <v>206.349800623871</v>
      </c>
      <c r="C6">
        <f>$A$23+($B$23*$A6)</f>
        <v>192.61374232651428</v>
      </c>
      <c r="D6">
        <f>$A$23+($B$23*$A6) -(2*$B$20)</f>
        <v>136.39333060308064</v>
      </c>
      <c r="E6">
        <f>$A$23+($B$23*$A6) +(2*$B$20)</f>
        <v>248.83415404994793</v>
      </c>
    </row>
    <row r="7" spans="1:6">
      <c r="A7" s="1">
        <v>67.253015687806496</v>
      </c>
      <c r="B7" s="1">
        <v>152.212155757083</v>
      </c>
      <c r="C7">
        <f>$A$23+($B$23*$A7)</f>
        <v>173.11262055364028</v>
      </c>
      <c r="D7">
        <f>$A$23+($B$23*$A7) -(2*$B$20)</f>
        <v>116.89220883020666</v>
      </c>
      <c r="E7">
        <f>$A$23+($B$23*$A7) +(2*$B$20)</f>
        <v>229.33303227707393</v>
      </c>
    </row>
    <row r="8" spans="1:6">
      <c r="A8" s="1">
        <v>68.785081251661595</v>
      </c>
      <c r="B8" s="1">
        <v>183.92788860403101</v>
      </c>
      <c r="C8">
        <f>$A$23+($B$23*$A8)</f>
        <v>184.47796689492816</v>
      </c>
      <c r="D8">
        <f>$A$23+($B$23*$A8) -(2*$B$20)</f>
        <v>128.25755517149452</v>
      </c>
      <c r="E8">
        <f>$A$23+($B$23*$A8) +(2*$B$20)</f>
        <v>240.6983786183618</v>
      </c>
    </row>
    <row r="9" spans="1:6">
      <c r="A9" s="1">
        <v>68.348515511587905</v>
      </c>
      <c r="B9" s="1">
        <v>167.97111048950899</v>
      </c>
      <c r="C9">
        <f>$A$23+($B$23*$A9)</f>
        <v>181.23938432135139</v>
      </c>
      <c r="D9">
        <f>$A$23+($B$23*$A9) -(2*$B$20)</f>
        <v>125.01897259791777</v>
      </c>
      <c r="E9">
        <f>$A$23+($B$23*$A9) +(2*$B$20)</f>
        <v>237.45979604478504</v>
      </c>
    </row>
    <row r="10" spans="1:6">
      <c r="A10" s="1">
        <v>67.018949662883003</v>
      </c>
      <c r="B10" s="1">
        <v>175.92944039571</v>
      </c>
      <c r="C10">
        <f>$A$23+($B$23*$A10)</f>
        <v>171.37624483791041</v>
      </c>
      <c r="D10">
        <f>$A$23+($B$23*$A10) -(2*$B$20)</f>
        <v>115.15583311447678</v>
      </c>
      <c r="E10">
        <f>$A$23+($B$23*$A10) +(2*$B$20)</f>
        <v>227.59665656134405</v>
      </c>
    </row>
    <row r="11" spans="1:6">
      <c r="A11" s="1">
        <v>63.456493978366403</v>
      </c>
      <c r="B11" s="1">
        <v>156.39967638711201</v>
      </c>
      <c r="C11">
        <f>$A$23+($B$23*$A11)</f>
        <v>144.94882316925765</v>
      </c>
      <c r="D11">
        <f>$A$23+($B$23*$A11) -(2*$B$20)</f>
        <v>88.728411445824023</v>
      </c>
      <c r="E11">
        <f>$A$23+($B$23*$A11) +(2*$B$20)</f>
        <v>201.16923489269129</v>
      </c>
    </row>
    <row r="12" spans="1:6">
      <c r="A12" s="1">
        <v>71.195382282974506</v>
      </c>
      <c r="B12" s="1">
        <v>186.604925560358</v>
      </c>
      <c r="C12">
        <f>$A$23+($B$23*$A12)</f>
        <v>202.35834137361815</v>
      </c>
      <c r="D12">
        <f>$A$23+($B$23*$A12) -(2*$B$20)</f>
        <v>146.1379296501845</v>
      </c>
      <c r="E12">
        <f>$A$23+($B$23*$A12) +(2*$B$20)</f>
        <v>258.57875309705179</v>
      </c>
    </row>
    <row r="13" spans="1:6">
      <c r="A13" s="1">
        <v>71.640805119220602</v>
      </c>
      <c r="B13" s="1">
        <v>213.74116948941099</v>
      </c>
      <c r="C13">
        <f>$A$23+($B$23*$A13)</f>
        <v>205.66262868461115</v>
      </c>
      <c r="D13">
        <f>$A$23+($B$23*$A13) -(2*$B$20)</f>
        <v>149.44221696117751</v>
      </c>
      <c r="E13">
        <f>$A$23+($B$23*$A13) +(2*$B$20)</f>
        <v>261.88304040804479</v>
      </c>
    </row>
    <row r="14" spans="1:6">
      <c r="A14" s="1">
        <v>64.766329133405506</v>
      </c>
      <c r="B14" s="1">
        <v>167.12746107347601</v>
      </c>
      <c r="C14">
        <f>$A$23+($B$23*$A14)</f>
        <v>154.66559413404246</v>
      </c>
      <c r="D14">
        <f>$A$23+($B$23*$A14) -(2*$B$20)</f>
        <v>98.445182410608837</v>
      </c>
      <c r="E14">
        <f>$A$23+($B$23*$A14) +(2*$B$20)</f>
        <v>210.88600585747611</v>
      </c>
    </row>
    <row r="15" spans="1:6">
      <c r="D15" t="s">
        <v>100</v>
      </c>
      <c r="E15" t="s">
        <v>151</v>
      </c>
      <c r="F15" t="s">
        <v>152</v>
      </c>
    </row>
    <row r="16" spans="1:6">
      <c r="A16" s="4" t="s">
        <v>97</v>
      </c>
      <c r="B16" s="4" t="s">
        <v>153</v>
      </c>
      <c r="D16">
        <f>_xlfn.STDEV.S(A2:A14)</f>
        <v>3.2231568601531952</v>
      </c>
      <c r="E16">
        <f>_xlfn.STDEV.S(B2:B14)</f>
        <v>28.110205861716814</v>
      </c>
      <c r="F16">
        <f>_xlfn.COVARIANCE.S(A2:A14,B2:B14)</f>
        <v>77.066956261453868</v>
      </c>
    </row>
    <row r="17" spans="1:18">
      <c r="A17" s="43">
        <f>AVERAGE(A2:A14)</f>
        <v>69.293567180580709</v>
      </c>
      <c r="B17" s="43">
        <f>AVERAGE(B2:B14)</f>
        <v>188.25007614937502</v>
      </c>
    </row>
    <row r="18" spans="1:18" ht="15.75">
      <c r="D18" s="3" t="s">
        <v>154</v>
      </c>
      <c r="J18" s="4" t="s">
        <v>155</v>
      </c>
      <c r="O18" s="4" t="s">
        <v>156</v>
      </c>
      <c r="Q18" s="4" t="s">
        <v>61</v>
      </c>
      <c r="R18" s="4" t="s">
        <v>157</v>
      </c>
    </row>
    <row r="19" spans="1:18">
      <c r="A19" s="4" t="s">
        <v>158</v>
      </c>
      <c r="B19" s="4" t="s">
        <v>159</v>
      </c>
      <c r="D19">
        <f>F16/(D16*E16)</f>
        <v>0.85059483095336297</v>
      </c>
      <c r="J19" s="4" t="s">
        <v>160</v>
      </c>
      <c r="L19" s="1">
        <v>64.766329133405506</v>
      </c>
      <c r="M19" s="1">
        <v>167.12746107347601</v>
      </c>
      <c r="N19" t="s">
        <v>109</v>
      </c>
      <c r="O19">
        <f>D19^2</f>
        <v>0.72351156644458015</v>
      </c>
      <c r="Q19" s="56" cm="1">
        <f t="array" ref="Q19">_xlfn.T.INV.2T(1-0.9,G24)*O22*SQRT(1+1/D26+((D26*(4-A17)^2)/(D26*SUM(A2:A14^2)-(SUM(A2:A14))^2)))</f>
        <v>164.66691402240986</v>
      </c>
      <c r="R19" s="54">
        <f>_xlfn.T.INV.2T(1-0.9,G24)</f>
        <v>1.7958848187040437</v>
      </c>
    </row>
    <row r="20" spans="1:18" ht="14.25">
      <c r="A20">
        <f>_xlfn.STDEV.S(A2:A14)</f>
        <v>3.2231568601531952</v>
      </c>
      <c r="B20">
        <f>_xlfn.STDEV.S(B2:B14)</f>
        <v>28.110205861716814</v>
      </c>
      <c r="G20" s="4" t="s">
        <v>161</v>
      </c>
      <c r="L20" s="1">
        <v>71.640805119220602</v>
      </c>
      <c r="M20" s="1">
        <v>213.74116948941099</v>
      </c>
      <c r="N20" t="s">
        <v>109</v>
      </c>
    </row>
    <row r="21" spans="1:18">
      <c r="G21">
        <f>D19*SQRT((D26-2)/(1-(D19^2)))</f>
        <v>5.3651343007969876</v>
      </c>
      <c r="L21" s="1">
        <v>73.847017017515</v>
      </c>
      <c r="M21" s="1">
        <v>241.89356318043701</v>
      </c>
      <c r="N21" t="s">
        <v>109</v>
      </c>
      <c r="O21" s="4" t="s">
        <v>162</v>
      </c>
      <c r="Q21" s="54" t="str">
        <f>(M26-Q19)&amp;"&lt;"&amp;(M26)&amp;"&lt;"&amp;(M26+Q19)</f>
        <v>-0,849559676015758&lt;163,817354346394&lt;328,484268368804</v>
      </c>
    </row>
    <row r="22" spans="1:18">
      <c r="A22" s="4" t="s">
        <v>43</v>
      </c>
      <c r="B22" s="4" t="s">
        <v>44</v>
      </c>
      <c r="D22" s="4" t="s">
        <v>103</v>
      </c>
      <c r="L22" s="1">
        <v>68.7819040458903</v>
      </c>
      <c r="M22" s="1">
        <v>162.3104725213</v>
      </c>
      <c r="N22" t="s">
        <v>109</v>
      </c>
      <c r="O22" s="54" cm="1">
        <f t="array" ref="O22">SQRT((SUM((B2:B14-C2:C14)^2))/G24)</f>
        <v>15.4382045399106</v>
      </c>
    </row>
    <row r="23" spans="1:18">
      <c r="A23">
        <f>B17-(B23*A17)</f>
        <v>-325.791495445588</v>
      </c>
      <c r="B23">
        <f>D19*(B20/A20)</f>
        <v>7.4183159059391226</v>
      </c>
      <c r="D23">
        <v>0.05</v>
      </c>
      <c r="G23" s="4" t="s">
        <v>163</v>
      </c>
    </row>
    <row r="24" spans="1:18">
      <c r="G24">
        <f>D26-2</f>
        <v>11</v>
      </c>
    </row>
    <row r="25" spans="1:18">
      <c r="A25" s="4" t="s">
        <v>164</v>
      </c>
      <c r="D25" s="4" t="s">
        <v>20</v>
      </c>
      <c r="F25" s="4" t="s">
        <v>165</v>
      </c>
      <c r="L25" t="s">
        <v>88</v>
      </c>
      <c r="M25" t="s">
        <v>89</v>
      </c>
    </row>
    <row r="26" spans="1:18">
      <c r="D26">
        <v>13</v>
      </c>
      <c r="F26">
        <f>_xlfn.T.DIST.2T(G21,G24)</f>
        <v>2.2847283752360168E-4</v>
      </c>
      <c r="J26" s="4" t="s">
        <v>90</v>
      </c>
      <c r="L26">
        <v>66</v>
      </c>
      <c r="M26">
        <f>$A$23+($B$23*L26)</f>
        <v>163.8173543463941</v>
      </c>
    </row>
    <row r="28" spans="1:18">
      <c r="J28" s="4" t="s">
        <v>91</v>
      </c>
      <c r="L28">
        <v>40</v>
      </c>
      <c r="M28" s="45">
        <f>$A$23+($B$23*L28)</f>
        <v>-29.05885920802308</v>
      </c>
    </row>
    <row r="29" spans="1:18">
      <c r="D29" t="s">
        <v>51</v>
      </c>
    </row>
    <row r="30" spans="1:18">
      <c r="D30" t="s">
        <v>52</v>
      </c>
    </row>
    <row r="31" spans="1:18">
      <c r="D31" s="4" t="s">
        <v>166</v>
      </c>
      <c r="E31" t="s">
        <v>54</v>
      </c>
    </row>
    <row r="35" spans="1:10">
      <c r="A35" t="s">
        <v>167</v>
      </c>
      <c r="B35" t="s">
        <v>168</v>
      </c>
      <c r="C35" t="s">
        <v>169</v>
      </c>
      <c r="D35" t="s">
        <v>170</v>
      </c>
    </row>
    <row r="36" spans="1:10">
      <c r="A36" s="43">
        <f>SUM(A2:A14)</f>
        <v>900.8163733475493</v>
      </c>
      <c r="B36" s="43">
        <f>SUM(B2:B14)</f>
        <v>2447.2509899418751</v>
      </c>
      <c r="C36" s="43" cm="1">
        <f t="array" ref="C36">SUM(A2:A14^2)</f>
        <v>62545.4447656673</v>
      </c>
      <c r="D36" cm="1">
        <f t="array" ref="D36">SUM(A2:A14*B2:B14)</f>
        <v>170503.55435441743</v>
      </c>
    </row>
    <row r="38" spans="1:10">
      <c r="A38" s="44" t="s">
        <v>171</v>
      </c>
    </row>
    <row r="39" spans="1:10">
      <c r="A39" s="44" t="s">
        <v>172</v>
      </c>
    </row>
    <row r="42" spans="1:10">
      <c r="J42" t="e" cm="1">
        <f t="array" ref="J42">_xlfn.T.INV.2T(1-0.9,I3)*O22*SQRT(1+1/D26+((D26*(4-A17)^2)/(D26*SUM(C22:C31^2)-(SUM(C22:C31))^2)))</f>
        <v>#NUM!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3F3D-B887-4276-9662-55E8B0E98CC3}">
  <dimension ref="A1:R71"/>
  <sheetViews>
    <sheetView topLeftCell="B1" workbookViewId="0">
      <selection activeCell="F48" sqref="F48"/>
    </sheetView>
  </sheetViews>
  <sheetFormatPr defaultRowHeight="15" outlineLevelRow="1"/>
  <cols>
    <col min="2" max="2" width="29.42578125" customWidth="1"/>
    <col min="3" max="3" width="39.28515625" customWidth="1"/>
    <col min="8" max="8" width="17" customWidth="1"/>
    <col min="14" max="14" width="9.140625" bestFit="1" customWidth="1"/>
  </cols>
  <sheetData>
    <row r="1" spans="1:18">
      <c r="A1" t="s">
        <v>173</v>
      </c>
      <c r="B1" t="s">
        <v>174</v>
      </c>
      <c r="C1" t="s">
        <v>175</v>
      </c>
      <c r="I1" t="s">
        <v>35</v>
      </c>
      <c r="J1" t="s">
        <v>36</v>
      </c>
      <c r="K1" s="46" t="s">
        <v>20</v>
      </c>
    </row>
    <row r="2" spans="1:18" outlineLevel="1">
      <c r="A2">
        <v>1994</v>
      </c>
      <c r="B2" s="9">
        <v>211.4</v>
      </c>
      <c r="C2" s="10">
        <v>8.8940000000000001</v>
      </c>
      <c r="D2">
        <f>N$6+(O$6*B2)</f>
        <v>142.07120733184669</v>
      </c>
      <c r="E2">
        <f>D2-2*J$2</f>
        <v>-269.15261112774692</v>
      </c>
      <c r="F2">
        <f>D2+2*J$2</f>
        <v>553.29502579144037</v>
      </c>
      <c r="I2">
        <f>_xlfn.STDEV.S(B2:B11)</f>
        <v>72.821657340229436</v>
      </c>
      <c r="J2">
        <f>_xlfn.STDEV.S(C2:C11)</f>
        <v>205.61190922979682</v>
      </c>
      <c r="K2" s="6">
        <v>10</v>
      </c>
      <c r="L2" t="s">
        <v>37</v>
      </c>
      <c r="N2" t="s">
        <v>38</v>
      </c>
      <c r="P2" t="s">
        <v>39</v>
      </c>
    </row>
    <row r="3" spans="1:18" outlineLevel="1">
      <c r="A3">
        <v>1996</v>
      </c>
      <c r="B3" s="9">
        <v>212.7</v>
      </c>
      <c r="C3" s="11">
        <v>17.207000000000001</v>
      </c>
      <c r="D3">
        <f>N$6+(O$6*B3)</f>
        <v>142.4172432366891</v>
      </c>
      <c r="E3">
        <f t="shared" ref="E3:E11" si="0">D3-2*J$2</f>
        <v>-268.80657522290454</v>
      </c>
      <c r="F3">
        <f t="shared" ref="F3:F11" si="1">D3+2*J$2</f>
        <v>553.6410616962828</v>
      </c>
      <c r="L3">
        <f>COUNT(B2:B11)-2</f>
        <v>8</v>
      </c>
      <c r="N3">
        <f>_xlfn.STDEV.S(B2:B11)</f>
        <v>72.821657340229436</v>
      </c>
      <c r="P3">
        <f>_xlfn.STDEV.S(C2:C11)</f>
        <v>205.61190922979682</v>
      </c>
    </row>
    <row r="4" spans="1:18" outlineLevel="1">
      <c r="A4">
        <v>1998</v>
      </c>
      <c r="B4" s="9">
        <v>258.2</v>
      </c>
      <c r="C4" s="11">
        <v>17.783999999999999</v>
      </c>
      <c r="D4">
        <f>N$6+(O$6*B4)</f>
        <v>154.52849990617312</v>
      </c>
      <c r="E4">
        <f t="shared" si="0"/>
        <v>-256.69531855342052</v>
      </c>
      <c r="F4">
        <f t="shared" si="1"/>
        <v>565.75231836576677</v>
      </c>
      <c r="I4" t="s">
        <v>40</v>
      </c>
      <c r="J4" t="s">
        <v>41</v>
      </c>
      <c r="L4" t="s">
        <v>42</v>
      </c>
    </row>
    <row r="5" spans="1:18" outlineLevel="1">
      <c r="A5">
        <v>2000</v>
      </c>
      <c r="B5" s="9">
        <v>359.1</v>
      </c>
      <c r="C5" s="11">
        <v>12.456</v>
      </c>
      <c r="D5">
        <f>N$6+(O$6*B5)</f>
        <v>181.38620975124874</v>
      </c>
      <c r="E5">
        <f t="shared" si="0"/>
        <v>-229.8376087083449</v>
      </c>
      <c r="F5">
        <f t="shared" si="1"/>
        <v>592.61002821084242</v>
      </c>
      <c r="I5">
        <f>AVERAGE(B2:B11)</f>
        <v>330.06</v>
      </c>
      <c r="J5">
        <f>AVERAGE(C2:C11)</f>
        <v>173.65630000000002</v>
      </c>
      <c r="L5">
        <f>I11*SQRT((K2-2)/(1-(I11^2)))</f>
        <v>1.6589182669481037</v>
      </c>
      <c r="N5" t="s">
        <v>43</v>
      </c>
      <c r="O5" t="s">
        <v>44</v>
      </c>
      <c r="R5" t="s">
        <v>176</v>
      </c>
    </row>
    <row r="6" spans="1:18" outlineLevel="1">
      <c r="A6">
        <v>2002</v>
      </c>
      <c r="B6" s="9">
        <v>383.5</v>
      </c>
      <c r="C6" s="11">
        <v>36.622</v>
      </c>
      <c r="D6">
        <f>N$6+(O$6*B6)</f>
        <v>187.88103750367534</v>
      </c>
      <c r="E6">
        <f t="shared" si="0"/>
        <v>-223.3427809559183</v>
      </c>
      <c r="F6">
        <f t="shared" si="1"/>
        <v>599.10485596326896</v>
      </c>
      <c r="N6">
        <f>J5-I5*O6</f>
        <v>85.800445575167004</v>
      </c>
      <c r="O6">
        <f>I11*(J5/I5)</f>
        <v>0.26618146526338549</v>
      </c>
    </row>
    <row r="7" spans="1:18" outlineLevel="1">
      <c r="A7">
        <v>2004</v>
      </c>
      <c r="B7" s="9">
        <v>373.6</v>
      </c>
      <c r="C7" s="11">
        <v>76.938000000000002</v>
      </c>
      <c r="D7">
        <f>N$6+(O$6*B7)</f>
        <v>185.24584099756783</v>
      </c>
      <c r="E7">
        <f t="shared" si="0"/>
        <v>-225.97797746202582</v>
      </c>
      <c r="F7">
        <f t="shared" si="1"/>
        <v>596.46965945716147</v>
      </c>
      <c r="I7" t="s">
        <v>23</v>
      </c>
      <c r="L7" t="s">
        <v>22</v>
      </c>
    </row>
    <row r="8" spans="1:18" outlineLevel="1">
      <c r="A8">
        <v>2006</v>
      </c>
      <c r="B8" s="9">
        <v>392.1</v>
      </c>
      <c r="C8" s="11">
        <v>182.24</v>
      </c>
      <c r="D8">
        <f>N$6+(O$6*B8)</f>
        <v>190.17019810494045</v>
      </c>
      <c r="E8">
        <f t="shared" si="0"/>
        <v>-221.05362035465319</v>
      </c>
      <c r="F8">
        <f t="shared" si="1"/>
        <v>601.39401656453413</v>
      </c>
      <c r="I8">
        <f>_xlfn.COVARIANCE.S(B2:B11,C2:C11)</f>
        <v>7575.110768888886</v>
      </c>
      <c r="L8" t="s">
        <v>45</v>
      </c>
    </row>
    <row r="9" spans="1:18" outlineLevel="1">
      <c r="A9">
        <v>2008</v>
      </c>
      <c r="B9" s="9">
        <v>387.4</v>
      </c>
      <c r="C9" s="11">
        <v>478.762</v>
      </c>
      <c r="D9">
        <f>N$6+(O$6*B9)</f>
        <v>188.91914521820252</v>
      </c>
      <c r="E9">
        <f t="shared" si="0"/>
        <v>-222.30467324139113</v>
      </c>
      <c r="F9">
        <f t="shared" si="1"/>
        <v>600.14296367779616</v>
      </c>
    </row>
    <row r="10" spans="1:18" outlineLevel="1">
      <c r="A10">
        <v>2010</v>
      </c>
      <c r="B10" s="9">
        <v>364.9</v>
      </c>
      <c r="C10" s="11">
        <v>426.28100000000001</v>
      </c>
      <c r="D10">
        <f>N$6+(O$6*B10)</f>
        <v>182.93006224977637</v>
      </c>
      <c r="E10">
        <f t="shared" si="0"/>
        <v>-228.29375620981727</v>
      </c>
      <c r="F10">
        <f t="shared" si="1"/>
        <v>594.15388070937001</v>
      </c>
      <c r="I10" t="s">
        <v>46</v>
      </c>
      <c r="L10" t="s">
        <v>47</v>
      </c>
    </row>
    <row r="11" spans="1:18" outlineLevel="1">
      <c r="A11">
        <v>2012</v>
      </c>
      <c r="B11" s="9">
        <v>357.7</v>
      </c>
      <c r="C11" s="11">
        <v>479.37900000000002</v>
      </c>
      <c r="D11">
        <f>N$6+(O$6*B11)</f>
        <v>181.01355569987999</v>
      </c>
      <c r="E11">
        <f t="shared" si="0"/>
        <v>-230.21026275971366</v>
      </c>
      <c r="F11">
        <f t="shared" si="1"/>
        <v>592.23737415947357</v>
      </c>
      <c r="I11">
        <f>I8 / (I2*J2)</f>
        <v>0.50591803709299921</v>
      </c>
      <c r="L11">
        <f>_xlfn.T.DIST.2T(L5,L3)</f>
        <v>0.13571636647542942</v>
      </c>
    </row>
    <row r="13" spans="1:18">
      <c r="I13" s="120" t="s">
        <v>177</v>
      </c>
      <c r="J13" s="120"/>
      <c r="K13" s="120"/>
      <c r="L13" s="120"/>
      <c r="M13" s="120"/>
      <c r="N13" s="120"/>
      <c r="O13" s="120"/>
      <c r="P13" s="120"/>
    </row>
    <row r="14" spans="1:18">
      <c r="I14" s="120"/>
      <c r="J14" s="120"/>
      <c r="K14" s="120"/>
      <c r="L14" s="120"/>
      <c r="M14" s="120"/>
      <c r="N14" s="120"/>
      <c r="O14" s="120"/>
      <c r="P14" s="120"/>
    </row>
    <row r="15" spans="1:18">
      <c r="I15" s="120"/>
      <c r="J15" s="120"/>
      <c r="K15" s="120"/>
      <c r="L15" s="120"/>
      <c r="M15" s="120"/>
      <c r="N15" s="120"/>
      <c r="O15" s="120"/>
      <c r="P15" s="120"/>
    </row>
    <row r="17" spans="4:15">
      <c r="G17" s="114" t="s">
        <v>50</v>
      </c>
      <c r="H17" s="114"/>
    </row>
    <row r="19" spans="4:15">
      <c r="E19" t="s">
        <v>51</v>
      </c>
    </row>
    <row r="20" spans="4:15">
      <c r="E20" t="s">
        <v>52</v>
      </c>
    </row>
    <row r="22" spans="4:15" ht="15" customHeight="1">
      <c r="E22" s="110" t="s">
        <v>178</v>
      </c>
      <c r="F22" s="110"/>
      <c r="G22" s="110"/>
      <c r="H22" s="110"/>
      <c r="I22" s="110"/>
      <c r="J22" s="110"/>
      <c r="K22" s="110"/>
      <c r="L22" s="110"/>
      <c r="M22" s="110"/>
    </row>
    <row r="23" spans="4:15">
      <c r="E23" s="110"/>
      <c r="F23" s="110"/>
      <c r="G23" s="110"/>
      <c r="H23" s="110"/>
      <c r="I23" s="110"/>
      <c r="J23" s="110"/>
      <c r="K23" s="110"/>
      <c r="L23" s="110"/>
      <c r="M23" s="110"/>
    </row>
    <row r="24" spans="4:15">
      <c r="E24" s="121" t="s">
        <v>179</v>
      </c>
      <c r="F24" s="121"/>
      <c r="G24" s="121"/>
      <c r="H24" s="121"/>
      <c r="I24" s="121"/>
      <c r="J24" s="121"/>
      <c r="K24" s="121"/>
      <c r="L24" s="121"/>
      <c r="M24" s="121"/>
    </row>
    <row r="25" spans="4:15">
      <c r="E25" s="121"/>
      <c r="F25" s="121"/>
      <c r="G25" s="121"/>
      <c r="H25" s="121"/>
      <c r="I25" s="121"/>
      <c r="J25" s="121"/>
      <c r="K25" s="121"/>
      <c r="L25" s="121"/>
      <c r="M25" s="121"/>
    </row>
    <row r="28" spans="4:15">
      <c r="E28" t="s">
        <v>180</v>
      </c>
      <c r="G28">
        <f>N6+(O6*F29)</f>
        <v>125.72766536467483</v>
      </c>
    </row>
    <row r="29" spans="4:15">
      <c r="F29">
        <v>150</v>
      </c>
    </row>
    <row r="30" spans="4:15">
      <c r="D30" s="114" t="s">
        <v>181</v>
      </c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</row>
    <row r="32" spans="4:15">
      <c r="E32" t="s">
        <v>182</v>
      </c>
      <c r="G32">
        <f>N6+(O6*F33)</f>
        <v>205.58210494369047</v>
      </c>
    </row>
    <row r="33" spans="4:16">
      <c r="F33">
        <v>450</v>
      </c>
    </row>
    <row r="34" spans="4:16">
      <c r="D34" s="114" t="s">
        <v>183</v>
      </c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</row>
    <row r="37" spans="4:16" ht="15" customHeight="1">
      <c r="E37" s="114" t="s">
        <v>184</v>
      </c>
      <c r="F37" s="114"/>
      <c r="G37">
        <f>I11*I11</f>
        <v>0.25595306025603332</v>
      </c>
    </row>
    <row r="39" spans="4:16">
      <c r="E39" s="119" t="s">
        <v>185</v>
      </c>
      <c r="F39" s="119"/>
      <c r="G39" cm="1">
        <f t="array" ref="G39">SQRT((SUM((B2:B11-C2:C11)^2))/L3)</f>
        <v>258.96004490340783</v>
      </c>
    </row>
    <row r="41" spans="4:16">
      <c r="E41" t="s">
        <v>186</v>
      </c>
      <c r="F41">
        <v>0.9</v>
      </c>
    </row>
    <row r="42" spans="4:16">
      <c r="E42" t="s">
        <v>74</v>
      </c>
      <c r="F42" s="54">
        <f>_xlfn.T.INV.2T(1-F41,L3)</f>
        <v>1.8595480375308981</v>
      </c>
    </row>
    <row r="43" spans="4:16">
      <c r="E43" t="s">
        <v>61</v>
      </c>
      <c r="F43" s="54" cm="1">
        <f t="array" ref="F43">_xlfn.T.INV.2T(1-F41,L3)*G39*SQRT(1+1/K2+((K2*(4-I5)^2)/(K2*SUM(B2:B11^2)-(SUM(B2:B11))^2)))</f>
        <v>878.4231732925706</v>
      </c>
    </row>
    <row r="45" spans="4:16">
      <c r="D45" s="102"/>
      <c r="E45" s="103"/>
      <c r="F45" s="103" t="s">
        <v>187</v>
      </c>
      <c r="G45" s="103"/>
      <c r="H45" s="104"/>
    </row>
    <row r="46" spans="4:16">
      <c r="D46" s="105">
        <f>G28-F43</f>
        <v>-752.69550792789573</v>
      </c>
      <c r="E46" s="106" t="s">
        <v>63</v>
      </c>
      <c r="F46" s="107">
        <f>G28</f>
        <v>125.72766536467483</v>
      </c>
      <c r="G46" s="106" t="s">
        <v>63</v>
      </c>
      <c r="H46" s="108">
        <f>G28+F43</f>
        <v>1004.1508386572455</v>
      </c>
    </row>
    <row r="71" spans="14:14">
      <c r="N71" t="e" cm="1">
        <f t="array" ref="N71">_xlfn.T.INV.2T(1-I71,T12)*N61*SQRT(1+1/K26+((K26*(4-P31)^Пестрецов!F432)/(K26*SUM(L12:L23^2)-(SUM(L12:L23))^2)))</f>
        <v>#NUM!</v>
      </c>
    </row>
  </sheetData>
  <mergeCells count="8">
    <mergeCell ref="E39:F39"/>
    <mergeCell ref="E37:F37"/>
    <mergeCell ref="D30:O30"/>
    <mergeCell ref="D34:P34"/>
    <mergeCell ref="I13:P15"/>
    <mergeCell ref="G17:H17"/>
    <mergeCell ref="E22:M23"/>
    <mergeCell ref="E24:M2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DEE-87EE-42D1-A8CE-EEFE9A9AE7EA}">
  <dimension ref="A1:X1048567"/>
  <sheetViews>
    <sheetView topLeftCell="C178" workbookViewId="0">
      <selection activeCell="I200" sqref="I200"/>
    </sheetView>
  </sheetViews>
  <sheetFormatPr defaultRowHeight="15"/>
  <cols>
    <col min="3" max="3" width="11.7109375" customWidth="1"/>
    <col min="4" max="4" width="28.42578125" customWidth="1"/>
    <col min="5" max="5" width="30" customWidth="1"/>
    <col min="6" max="6" width="23" customWidth="1"/>
    <col min="11" max="11" width="18.140625" bestFit="1" customWidth="1"/>
    <col min="12" max="12" width="28.28515625" bestFit="1" customWidth="1"/>
    <col min="13" max="13" width="26.42578125" bestFit="1" customWidth="1"/>
    <col min="14" max="14" width="31.140625" customWidth="1"/>
    <col min="15" max="15" width="19.85546875" customWidth="1"/>
    <col min="16" max="16" width="14.7109375" customWidth="1"/>
    <col min="17" max="17" width="11.5703125" customWidth="1"/>
    <col min="18" max="18" width="9.140625" bestFit="1" customWidth="1"/>
    <col min="19" max="19" width="11.28515625" customWidth="1"/>
    <col min="20" max="20" width="18.85546875" customWidth="1"/>
    <col min="22" max="22" width="15.28515625" bestFit="1" customWidth="1"/>
  </cols>
  <sheetData>
    <row r="1" spans="2:20">
      <c r="B1" s="4" t="s">
        <v>0</v>
      </c>
      <c r="D1" s="53" t="s">
        <v>188</v>
      </c>
    </row>
    <row r="2" spans="2:20">
      <c r="B2" t="s">
        <v>1</v>
      </c>
    </row>
    <row r="4" spans="2:20">
      <c r="B4" t="s">
        <v>2</v>
      </c>
      <c r="H4" t="s">
        <v>189</v>
      </c>
    </row>
    <row r="6" spans="2:20">
      <c r="B6" t="s">
        <v>3</v>
      </c>
      <c r="I6" t="s">
        <v>189</v>
      </c>
    </row>
    <row r="8" spans="2:20">
      <c r="B8" t="s">
        <v>4</v>
      </c>
      <c r="G8" t="s">
        <v>189</v>
      </c>
    </row>
    <row r="10" spans="2:20">
      <c r="K10" t="s">
        <v>190</v>
      </c>
      <c r="L10" t="s">
        <v>191</v>
      </c>
      <c r="M10" t="s">
        <v>95</v>
      </c>
      <c r="N10" t="s">
        <v>192</v>
      </c>
      <c r="O10" t="s">
        <v>193</v>
      </c>
      <c r="P10" t="s">
        <v>194</v>
      </c>
    </row>
    <row r="11" spans="2:20">
      <c r="K11" s="12" t="s">
        <v>195</v>
      </c>
      <c r="L11" s="12" t="s">
        <v>196</v>
      </c>
      <c r="M11" s="12" t="s">
        <v>197</v>
      </c>
      <c r="N11" s="50" t="s">
        <v>198</v>
      </c>
      <c r="O11" s="52" t="s">
        <v>199</v>
      </c>
      <c r="P11" s="51" t="s">
        <v>200</v>
      </c>
      <c r="Q11" s="47" t="s">
        <v>201</v>
      </c>
      <c r="R11" s="47" t="s">
        <v>36</v>
      </c>
      <c r="T11" s="47" t="s">
        <v>37</v>
      </c>
    </row>
    <row r="12" spans="2:20">
      <c r="K12" s="13" t="s">
        <v>202</v>
      </c>
      <c r="L12" s="13">
        <v>5546</v>
      </c>
      <c r="M12" s="13">
        <v>145214</v>
      </c>
      <c r="N12">
        <f>$R$35*L12+$P$35</f>
        <v>147746.74407402295</v>
      </c>
      <c r="O12">
        <f>N12-2*$R$12</f>
        <v>97063.728231644505</v>
      </c>
      <c r="P12">
        <f>N12+2*$R$12</f>
        <v>198429.75991640141</v>
      </c>
      <c r="Q12">
        <f>_xlfn.STDEV.S(L12:L23)</f>
        <v>1883.9462853437749</v>
      </c>
      <c r="R12">
        <f>_xlfn.STDEV.S(M12:M23)</f>
        <v>25341.507921189223</v>
      </c>
      <c r="T12">
        <f>K26-2</f>
        <v>10</v>
      </c>
    </row>
    <row r="13" spans="2:20">
      <c r="K13" s="13" t="s">
        <v>203</v>
      </c>
      <c r="L13" s="13">
        <v>6548</v>
      </c>
      <c r="M13" s="13">
        <v>151589</v>
      </c>
      <c r="N13">
        <f>$R$35*L13+$P$35</f>
        <v>158100.94953648769</v>
      </c>
      <c r="O13">
        <f t="shared" ref="O13:O23" si="0">N13-2*$R$12</f>
        <v>107417.93369410925</v>
      </c>
      <c r="P13">
        <f>N13+2*$R$12</f>
        <v>208783.96537886612</v>
      </c>
    </row>
    <row r="14" spans="2:20">
      <c r="K14" s="14" t="s">
        <v>204</v>
      </c>
      <c r="L14" s="14">
        <v>7585</v>
      </c>
      <c r="M14" s="14">
        <v>162986</v>
      </c>
      <c r="N14">
        <f t="shared" ref="N13:N23" si="1">$R$35*L14+$P$35</f>
        <v>168816.82884245174</v>
      </c>
      <c r="O14">
        <f t="shared" si="0"/>
        <v>118133.81300007329</v>
      </c>
      <c r="P14">
        <f>N14+2*$R$12</f>
        <v>219499.84468483017</v>
      </c>
      <c r="Q14" s="47" t="s">
        <v>23</v>
      </c>
      <c r="T14" s="47" t="s">
        <v>205</v>
      </c>
    </row>
    <row r="15" spans="2:20">
      <c r="K15" s="13" t="s">
        <v>206</v>
      </c>
      <c r="L15" s="13">
        <v>1452</v>
      </c>
      <c r="M15" s="13">
        <v>105289</v>
      </c>
      <c r="N15">
        <f t="shared" si="1"/>
        <v>105441.23792299433</v>
      </c>
      <c r="O15">
        <f t="shared" si="0"/>
        <v>54758.222080615888</v>
      </c>
      <c r="P15">
        <f>N15+2*$R$12</f>
        <v>156124.25376537279</v>
      </c>
      <c r="Q15">
        <f>_xlfn.COVARIANCE.S(L12:L23,M12:M23)</f>
        <v>36676348.378787883</v>
      </c>
      <c r="T15" t="s">
        <v>45</v>
      </c>
    </row>
    <row r="16" spans="2:20">
      <c r="K16" s="13" t="s">
        <v>207</v>
      </c>
      <c r="L16" s="13">
        <v>4852</v>
      </c>
      <c r="M16" s="13">
        <v>142458</v>
      </c>
      <c r="N16">
        <f t="shared" si="1"/>
        <v>140575.26843435178</v>
      </c>
      <c r="O16">
        <f t="shared" si="0"/>
        <v>89892.252591973331</v>
      </c>
      <c r="P16">
        <f>N16+2*$R$12</f>
        <v>191258.28427673021</v>
      </c>
    </row>
    <row r="17" spans="2:22">
      <c r="K17" s="15" t="s">
        <v>208</v>
      </c>
      <c r="L17" s="13">
        <v>8200</v>
      </c>
      <c r="M17" s="13">
        <v>179000</v>
      </c>
      <c r="N17">
        <f t="shared" si="1"/>
        <v>175171.95494965313</v>
      </c>
      <c r="O17">
        <f t="shared" si="0"/>
        <v>124488.93910727468</v>
      </c>
      <c r="P17">
        <f>N17+2*$R$12</f>
        <v>225854.97079203156</v>
      </c>
      <c r="Q17" s="47" t="s">
        <v>209</v>
      </c>
      <c r="T17" s="47" t="s">
        <v>210</v>
      </c>
      <c r="V17" s="47" t="s">
        <v>211</v>
      </c>
    </row>
    <row r="18" spans="2:22">
      <c r="K18" s="13" t="s">
        <v>212</v>
      </c>
      <c r="L18" s="13">
        <v>4603</v>
      </c>
      <c r="M18" s="13">
        <v>136782</v>
      </c>
      <c r="N18">
        <f t="shared" si="1"/>
        <v>138002.2173763141</v>
      </c>
      <c r="O18">
        <f t="shared" si="0"/>
        <v>87319.201533935659</v>
      </c>
      <c r="P18">
        <f>N18+2*$R$12</f>
        <v>188685.23321869253</v>
      </c>
      <c r="Q18">
        <f>AVERAGE(L12:L23)</f>
        <v>5845.833333333333</v>
      </c>
      <c r="T18">
        <f>AVERAGE(M12:M23)</f>
        <v>150845.08333333334</v>
      </c>
      <c r="V18" s="17">
        <f>Q21*SQRT(T12/(1-Q21*Q21))</f>
        <v>3.7947073257743824</v>
      </c>
    </row>
    <row r="19" spans="2:22">
      <c r="K19" s="13" t="s">
        <v>213</v>
      </c>
      <c r="L19" s="14">
        <v>6200</v>
      </c>
      <c r="M19" s="14">
        <v>125000</v>
      </c>
      <c r="N19">
        <f t="shared" si="1"/>
        <v>154504.8781782664</v>
      </c>
      <c r="O19">
        <f t="shared" si="0"/>
        <v>103821.86233588796</v>
      </c>
      <c r="P19">
        <f>N19+2*$R$12</f>
        <v>205187.89402064483</v>
      </c>
    </row>
    <row r="20" spans="2:22">
      <c r="K20" s="13" t="s">
        <v>214</v>
      </c>
      <c r="L20" s="13">
        <v>6780</v>
      </c>
      <c r="M20" s="13">
        <v>140000</v>
      </c>
      <c r="N20">
        <f t="shared" si="1"/>
        <v>160498.33044196857</v>
      </c>
      <c r="O20">
        <f t="shared" si="0"/>
        <v>109815.31459959013</v>
      </c>
      <c r="P20">
        <f>N20+2*$R$12</f>
        <v>211181.346284347</v>
      </c>
      <c r="Q20" s="47" t="s">
        <v>215</v>
      </c>
      <c r="T20" s="47" t="s">
        <v>216</v>
      </c>
    </row>
    <row r="21" spans="2:22">
      <c r="K21" s="13" t="s">
        <v>217</v>
      </c>
      <c r="L21" s="13">
        <v>5244</v>
      </c>
      <c r="M21" s="13">
        <v>174023</v>
      </c>
      <c r="N21">
        <f t="shared" si="1"/>
        <v>144626.01548154355</v>
      </c>
      <c r="O21">
        <f t="shared" si="0"/>
        <v>93942.999639165108</v>
      </c>
      <c r="P21">
        <f>N21+2*$R$12</f>
        <v>195309.03132392198</v>
      </c>
      <c r="Q21">
        <f>Q15/(Q12*R12)</f>
        <v>0.76821913347572945</v>
      </c>
      <c r="T21">
        <f>_xlfn.T.DIST.2T(V18,T12)</f>
        <v>3.5161584613274269E-3</v>
      </c>
    </row>
    <row r="22" spans="2:22">
      <c r="K22" s="13" t="s">
        <v>218</v>
      </c>
      <c r="L22" s="13">
        <v>4890</v>
      </c>
      <c r="M22" s="13">
        <v>147800</v>
      </c>
      <c r="N22">
        <f t="shared" si="1"/>
        <v>140967.94289300812</v>
      </c>
      <c r="O22">
        <f t="shared" si="0"/>
        <v>90284.927050629674</v>
      </c>
      <c r="P22">
        <f>N22+2*$R$12</f>
        <v>191650.95873538655</v>
      </c>
    </row>
    <row r="23" spans="2:22">
      <c r="K23" s="13" t="s">
        <v>219</v>
      </c>
      <c r="L23" s="13">
        <v>8250</v>
      </c>
      <c r="M23" s="13">
        <v>200000</v>
      </c>
      <c r="N23">
        <f t="shared" si="1"/>
        <v>175688.63186893781</v>
      </c>
      <c r="O23">
        <f t="shared" si="0"/>
        <v>125005.61602655936</v>
      </c>
      <c r="P23">
        <f>N23+2*$R$12</f>
        <v>226371.64771131624</v>
      </c>
    </row>
    <row r="24" spans="2:22">
      <c r="K24" t="e" cm="1">
        <f t="array" ref="K24">_xlfn.T.INV.2T(1-I24,H3)*G26*SQRT(Колонин!N711+1/G9+((G9*(4-F6)^2)/(G9*SUM(Таблица2[GDP]^2)-(SUM(Таблица2[GDP]))^2)))</f>
        <v>#NUM!</v>
      </c>
    </row>
    <row r="25" spans="2:22">
      <c r="K25" s="47" t="s">
        <v>220</v>
      </c>
    </row>
    <row r="26" spans="2:22">
      <c r="K26">
        <f>COUNT(L12:L23)</f>
        <v>12</v>
      </c>
    </row>
    <row r="27" spans="2:22">
      <c r="P27" s="16" t="s">
        <v>221</v>
      </c>
      <c r="Q27" s="16"/>
      <c r="R27" s="16"/>
      <c r="S27" s="16"/>
      <c r="T27" s="16"/>
    </row>
    <row r="28" spans="2:22">
      <c r="P28" s="16" t="s">
        <v>222</v>
      </c>
      <c r="Q28" s="16"/>
      <c r="R28" s="16"/>
      <c r="S28" s="16"/>
      <c r="T28" s="16"/>
    </row>
    <row r="30" spans="2:22">
      <c r="B30" s="4" t="s">
        <v>5</v>
      </c>
      <c r="D30" s="4" t="s">
        <v>223</v>
      </c>
      <c r="P30" s="47" t="s">
        <v>40</v>
      </c>
      <c r="Q30" s="47" t="s">
        <v>41</v>
      </c>
      <c r="S30" s="47" t="s">
        <v>224</v>
      </c>
      <c r="T30" s="47" t="s">
        <v>225</v>
      </c>
    </row>
    <row r="31" spans="2:22">
      <c r="D31" s="53" t="s">
        <v>226</v>
      </c>
      <c r="P31">
        <f>AVERAGE(L12:L23)</f>
        <v>5845.833333333333</v>
      </c>
      <c r="Q31">
        <f>AVERAGE(M12:M23)</f>
        <v>150845.08333333334</v>
      </c>
      <c r="S31">
        <f>_xlfn.STDEV.S(L12:L23)</f>
        <v>1883.9462853437749</v>
      </c>
      <c r="T31">
        <f>_xlfn.STDEV.S(M12:M23)</f>
        <v>25341.507921189223</v>
      </c>
    </row>
    <row r="32" spans="2:22">
      <c r="B32" t="s">
        <v>6</v>
      </c>
    </row>
    <row r="34" spans="2:22">
      <c r="P34" s="47" t="s">
        <v>43</v>
      </c>
      <c r="R34" s="47" t="s">
        <v>44</v>
      </c>
      <c r="T34" s="47" t="s">
        <v>227</v>
      </c>
    </row>
    <row r="35" spans="2:22">
      <c r="P35">
        <f>Q31-P31*R35</f>
        <v>90436.940186967564</v>
      </c>
      <c r="R35">
        <f>Q21*(T31/S31)</f>
        <v>10.333538385693362</v>
      </c>
    </row>
    <row r="36" spans="2:22">
      <c r="B36" t="s">
        <v>8</v>
      </c>
      <c r="L36" s="47" t="s">
        <v>228</v>
      </c>
    </row>
    <row r="37" spans="2:22">
      <c r="L37" t="s">
        <v>51</v>
      </c>
    </row>
    <row r="38" spans="2:22">
      <c r="B38" t="s">
        <v>9</v>
      </c>
      <c r="L38" t="s">
        <v>52</v>
      </c>
    </row>
    <row r="39" spans="2:22">
      <c r="M39" s="122" t="s">
        <v>229</v>
      </c>
      <c r="N39" s="122"/>
      <c r="O39" s="122"/>
      <c r="P39" s="122"/>
      <c r="Q39" s="122"/>
      <c r="R39" s="122"/>
      <c r="S39" s="122"/>
      <c r="T39" s="122"/>
      <c r="U39" s="122"/>
      <c r="V39" s="122"/>
    </row>
    <row r="40" spans="2:22" ht="15" customHeight="1">
      <c r="B40" t="s">
        <v>10</v>
      </c>
      <c r="M40" s="122"/>
      <c r="N40" s="122"/>
      <c r="O40" s="122"/>
      <c r="P40" s="122"/>
      <c r="Q40" s="122"/>
      <c r="R40" s="122"/>
      <c r="S40" s="122"/>
      <c r="T40" s="122"/>
      <c r="U40" s="122"/>
      <c r="V40" s="122"/>
    </row>
    <row r="43" spans="2:22">
      <c r="M43" s="122" t="s">
        <v>230</v>
      </c>
      <c r="N43" s="122"/>
      <c r="O43" s="122"/>
      <c r="P43" s="122"/>
      <c r="Q43" s="122"/>
      <c r="R43" s="122"/>
      <c r="S43" s="122"/>
      <c r="T43" s="122"/>
      <c r="U43" s="122"/>
      <c r="V43" s="122"/>
    </row>
    <row r="44" spans="2:22">
      <c r="M44" s="122"/>
      <c r="N44" s="122"/>
      <c r="O44" s="122"/>
      <c r="P44" s="122"/>
      <c r="Q44" s="122"/>
      <c r="R44" s="122"/>
      <c r="S44" s="122"/>
      <c r="T44" s="122"/>
      <c r="U44" s="122"/>
      <c r="V44" s="122"/>
    </row>
    <row r="46" spans="2:22">
      <c r="P46" s="47" t="s">
        <v>55</v>
      </c>
      <c r="Q46">
        <f>R35*P47+P35</f>
        <v>121437.55534404765</v>
      </c>
    </row>
    <row r="47" spans="2:22">
      <c r="O47" s="48" t="s">
        <v>231</v>
      </c>
      <c r="P47" s="49">
        <v>3000</v>
      </c>
    </row>
    <row r="48" spans="2:22">
      <c r="M48" s="122" t="s">
        <v>232</v>
      </c>
      <c r="N48" s="122"/>
      <c r="O48" s="122"/>
      <c r="P48" s="122"/>
      <c r="Q48" s="122"/>
      <c r="R48" s="122"/>
      <c r="S48" s="122"/>
      <c r="T48" s="122"/>
      <c r="U48" s="122"/>
      <c r="V48" s="122"/>
    </row>
    <row r="50" spans="2:22">
      <c r="P50" s="47" t="s">
        <v>57</v>
      </c>
      <c r="Q50">
        <f>R35*P51+P35</f>
        <v>95603.709379814245</v>
      </c>
    </row>
    <row r="51" spans="2:22">
      <c r="O51" s="48" t="s">
        <v>233</v>
      </c>
      <c r="P51" s="49">
        <v>500</v>
      </c>
    </row>
    <row r="52" spans="2:22" ht="15" customHeight="1">
      <c r="M52" s="122" t="s">
        <v>232</v>
      </c>
      <c r="N52" s="122"/>
      <c r="O52" s="122"/>
      <c r="P52" s="122"/>
      <c r="Q52" s="122"/>
      <c r="R52" s="122"/>
      <c r="S52" s="122"/>
      <c r="T52" s="122"/>
      <c r="U52" s="122"/>
      <c r="V52" s="122"/>
    </row>
    <row r="56" spans="2:22">
      <c r="E56" s="53" t="s">
        <v>234</v>
      </c>
    </row>
    <row r="57" spans="2:22">
      <c r="E57" s="53" t="s">
        <v>226</v>
      </c>
    </row>
    <row r="58" spans="2:22">
      <c r="B58" s="7" t="s">
        <v>11</v>
      </c>
      <c r="C58" s="55"/>
      <c r="D58" s="7" t="s">
        <v>235</v>
      </c>
      <c r="E58" s="55"/>
      <c r="F58" s="55"/>
      <c r="G58" s="55"/>
      <c r="H58" s="55"/>
      <c r="I58" s="55"/>
    </row>
    <row r="59" spans="2:22">
      <c r="B59" s="55"/>
      <c r="C59" s="55"/>
      <c r="D59" s="55"/>
      <c r="E59" s="55"/>
      <c r="F59" s="55"/>
      <c r="G59" s="55"/>
      <c r="H59" s="55"/>
      <c r="I59" s="55"/>
      <c r="L59" s="48" t="s">
        <v>236</v>
      </c>
    </row>
    <row r="60" spans="2:22">
      <c r="B60" s="55" t="s">
        <v>12</v>
      </c>
      <c r="C60" s="55"/>
      <c r="D60" s="55"/>
      <c r="E60" s="55"/>
      <c r="F60" s="55"/>
      <c r="G60" s="55"/>
      <c r="H60" s="55" t="s">
        <v>237</v>
      </c>
      <c r="I60" s="55"/>
      <c r="J60" t="s">
        <v>189</v>
      </c>
      <c r="K60" t="s">
        <v>238</v>
      </c>
      <c r="L60" s="47" t="s">
        <v>239</v>
      </c>
      <c r="M60" t="s">
        <v>240</v>
      </c>
      <c r="N60" s="47" t="s">
        <v>241</v>
      </c>
    </row>
    <row r="61" spans="2:22">
      <c r="B61" s="55"/>
      <c r="C61" s="55"/>
      <c r="D61" s="55"/>
      <c r="E61" s="55"/>
      <c r="F61" s="55"/>
      <c r="G61" s="55"/>
      <c r="H61" s="55"/>
      <c r="I61" s="55"/>
      <c r="L61">
        <f>Q21*Q21</f>
        <v>0.59016063703820065</v>
      </c>
      <c r="N61" cm="1">
        <f t="array" ref="N61">SQRT((SUM((M12:M23-N12:N23)^2))/T12)</f>
        <v>17015.144045539921</v>
      </c>
    </row>
    <row r="62" spans="2:22">
      <c r="B62" s="55" t="s">
        <v>13</v>
      </c>
      <c r="C62" s="55"/>
      <c r="D62" s="55"/>
      <c r="E62" s="55"/>
      <c r="F62" s="55"/>
      <c r="G62" s="55"/>
      <c r="H62" s="55" t="s">
        <v>242</v>
      </c>
      <c r="I62" s="55"/>
      <c r="J62" t="s">
        <v>189</v>
      </c>
    </row>
    <row r="63" spans="2:22">
      <c r="B63" s="55"/>
      <c r="C63" s="55"/>
      <c r="D63" s="55"/>
      <c r="E63" s="55"/>
      <c r="F63" s="55"/>
      <c r="G63" s="55"/>
      <c r="H63" s="55"/>
      <c r="I63" s="55"/>
    </row>
    <row r="64" spans="2:22">
      <c r="B64" s="55" t="s">
        <v>14</v>
      </c>
      <c r="C64" s="55"/>
      <c r="D64" s="55"/>
      <c r="E64" s="55"/>
      <c r="F64" s="55"/>
      <c r="G64" s="55"/>
      <c r="H64" s="55" t="s">
        <v>243</v>
      </c>
      <c r="I64" s="55"/>
    </row>
    <row r="69" spans="9:15">
      <c r="L69" t="s">
        <v>244</v>
      </c>
    </row>
    <row r="70" spans="9:15">
      <c r="I70" s="47" t="s">
        <v>245</v>
      </c>
      <c r="L70" s="47" t="s">
        <v>157</v>
      </c>
      <c r="N70" s="47" t="s">
        <v>61</v>
      </c>
    </row>
    <row r="71" spans="9:15">
      <c r="I71">
        <v>0.9</v>
      </c>
      <c r="L71">
        <f>_xlfn.T.INV.2T(1-I71,T12)</f>
        <v>1.812461122811676</v>
      </c>
      <c r="N71" cm="1">
        <f t="array" ref="N71">_xlfn.T.INV.2T(1-I71,T12)*N61*SQRT(1+1/K26+((K26*(4-P31)^2)/(K26*SUM(L12:L23^2)-(SUM(L12:L23))^2)))</f>
        <v>43146.889393068566</v>
      </c>
    </row>
    <row r="73" spans="9:15">
      <c r="M73" s="48" t="s">
        <v>246</v>
      </c>
    </row>
    <row r="74" spans="9:15">
      <c r="L74" s="47" t="s">
        <v>247</v>
      </c>
    </row>
    <row r="78" spans="9:15">
      <c r="M78" s="56"/>
      <c r="N78" s="54"/>
    </row>
    <row r="79" spans="9:15">
      <c r="K79" s="6">
        <f>(Q46-N71)</f>
        <v>78290.665950979077</v>
      </c>
      <c r="L79" s="6" t="s">
        <v>63</v>
      </c>
      <c r="M79" s="57">
        <f>Q46</f>
        <v>121437.55534404765</v>
      </c>
      <c r="N79" s="6" t="s">
        <v>63</v>
      </c>
      <c r="O79" s="6">
        <f>(Q46+N71)</f>
        <v>164584.44473711622</v>
      </c>
    </row>
    <row r="88" spans="17:17">
      <c r="Q88" t="s">
        <v>248</v>
      </c>
    </row>
    <row r="90" spans="17:17">
      <c r="Q90" t="s">
        <v>249</v>
      </c>
    </row>
    <row r="91" spans="17:17">
      <c r="Q91" t="s">
        <v>250</v>
      </c>
    </row>
    <row r="93" spans="17:17">
      <c r="Q93" t="s">
        <v>251</v>
      </c>
    </row>
    <row r="94" spans="17:17">
      <c r="Q94" t="s">
        <v>252</v>
      </c>
    </row>
    <row r="96" spans="17:17">
      <c r="Q96" t="s">
        <v>253</v>
      </c>
    </row>
    <row r="97" spans="13:24">
      <c r="Q97" t="s">
        <v>254</v>
      </c>
    </row>
    <row r="99" spans="13:24">
      <c r="Q99" s="44" t="s">
        <v>255</v>
      </c>
    </row>
    <row r="100" spans="13:24">
      <c r="Q100" t="s">
        <v>256</v>
      </c>
    </row>
    <row r="101" spans="13:24">
      <c r="Q101" t="s">
        <v>257</v>
      </c>
    </row>
    <row r="102" spans="13:24">
      <c r="U102" t="s">
        <v>258</v>
      </c>
      <c r="X102" t="s">
        <v>259</v>
      </c>
    </row>
    <row r="103" spans="13:24">
      <c r="U103" t="s">
        <v>260</v>
      </c>
    </row>
    <row r="107" spans="13:24">
      <c r="M107" s="47" t="s">
        <v>261</v>
      </c>
      <c r="N107" s="47" t="s">
        <v>262</v>
      </c>
      <c r="U107" t="s">
        <v>263</v>
      </c>
    </row>
    <row r="108" spans="13:24">
      <c r="M108">
        <f>SUM(L12:L23)</f>
        <v>70150</v>
      </c>
      <c r="N108">
        <f>SUM(M12:M23)</f>
        <v>1810141</v>
      </c>
    </row>
    <row r="110" spans="13:24">
      <c r="M110" s="47" t="s">
        <v>264</v>
      </c>
      <c r="N110" s="47" t="s">
        <v>265</v>
      </c>
    </row>
    <row r="111" spans="13:24">
      <c r="M111" cm="1">
        <f t="array" ref="M111">SUM(L12:L23^2)</f>
        <v>449126998</v>
      </c>
      <c r="N111" cm="1">
        <f t="array" ref="N111">SUM(L12:L23*M12:M23)</f>
        <v>10985222428</v>
      </c>
    </row>
    <row r="113" spans="9:15">
      <c r="I113" s="47" t="s">
        <v>266</v>
      </c>
      <c r="M113" s="47" t="s">
        <v>267</v>
      </c>
      <c r="O113" s="4" t="s">
        <v>268</v>
      </c>
    </row>
    <row r="114" spans="9:15">
      <c r="I114" t="s">
        <v>269</v>
      </c>
      <c r="M114" t="str">
        <f>K26&amp;" a + "&amp;M108&amp;" b = "&amp;N108</f>
        <v>12 a + 70150 b = 1810141</v>
      </c>
    </row>
    <row r="115" spans="9:15">
      <c r="I115" t="s">
        <v>270</v>
      </c>
      <c r="M115" t="str">
        <f>M108&amp;" a + "&amp;M111&amp;" b = "&amp;N111</f>
        <v>70150 a + 449126998 b = 10985222428</v>
      </c>
    </row>
    <row r="118" spans="9:15">
      <c r="K118" s="47" t="s">
        <v>271</v>
      </c>
      <c r="N118" s="47" t="s">
        <v>272</v>
      </c>
    </row>
    <row r="119" spans="9:15">
      <c r="K119">
        <f>K26</f>
        <v>12</v>
      </c>
      <c r="L119">
        <f>M108</f>
        <v>70150</v>
      </c>
      <c r="N119">
        <f>N108</f>
        <v>1810141</v>
      </c>
    </row>
    <row r="120" spans="9:15">
      <c r="K120">
        <f>M108</f>
        <v>70150</v>
      </c>
      <c r="L120">
        <f>M111</f>
        <v>449126998</v>
      </c>
      <c r="N120">
        <f>N111</f>
        <v>10985222428</v>
      </c>
    </row>
    <row r="122" spans="9:15">
      <c r="K122" s="47" t="s">
        <v>273</v>
      </c>
    </row>
    <row r="124" spans="9:15">
      <c r="K124">
        <f>K119*L120-L119*K120</f>
        <v>468501476</v>
      </c>
    </row>
    <row r="126" spans="9:15">
      <c r="K126" s="47" t="s">
        <v>274</v>
      </c>
      <c r="N126" s="47" t="s">
        <v>275</v>
      </c>
    </row>
    <row r="127" spans="9:15">
      <c r="K127" cm="1">
        <f t="array" ref="K127:L128">MINVERSE(K119:L120)</f>
        <v>0.95864585493856491</v>
      </c>
      <c r="L127">
        <v>-1.4973271930524278E-4</v>
      </c>
      <c r="N127" cm="1">
        <f t="array" ref="N127:N128">MMULT(_xlfn.ANCHORARRAY(K127),N119:N120)</f>
        <v>90436.940186967375</v>
      </c>
    </row>
    <row r="128" spans="9:15">
      <c r="K128">
        <v>-1.4973271930524278E-4</v>
      </c>
      <c r="L128">
        <v>2.5613579923918937E-8</v>
      </c>
      <c r="N128">
        <v>10.333538385693373</v>
      </c>
    </row>
    <row r="140" spans="1:12" ht="30.75" customHeight="1">
      <c r="A140" s="123" t="s">
        <v>276</v>
      </c>
      <c r="B140" s="123"/>
      <c r="C140" s="123"/>
      <c r="D140" s="123"/>
      <c r="E140" s="123"/>
      <c r="F140" s="123"/>
      <c r="G140" s="123"/>
      <c r="H140" s="123"/>
      <c r="I140" s="123"/>
      <c r="J140" s="78" t="s">
        <v>277</v>
      </c>
      <c r="L140" s="53" t="s">
        <v>278</v>
      </c>
    </row>
    <row r="141" spans="1:12" ht="15.75" customHeight="1">
      <c r="A141" s="123"/>
      <c r="B141" s="123"/>
      <c r="C141" s="123"/>
      <c r="D141" s="123"/>
      <c r="E141" s="123"/>
      <c r="F141" s="123"/>
      <c r="G141" s="123"/>
      <c r="H141" s="123"/>
      <c r="I141" s="123"/>
    </row>
    <row r="142" spans="1:12" ht="15.75" customHeight="1">
      <c r="A142" s="123"/>
      <c r="B142" s="123"/>
      <c r="C142" s="123"/>
      <c r="D142" s="123"/>
      <c r="E142" s="123"/>
      <c r="F142" s="123"/>
      <c r="G142" s="123"/>
      <c r="H142" s="123"/>
      <c r="I142" s="123"/>
      <c r="J142" s="4" t="s">
        <v>279</v>
      </c>
      <c r="L142" s="53" t="s">
        <v>280</v>
      </c>
    </row>
    <row r="143" spans="1:12" ht="15.75" customHeight="1">
      <c r="A143" s="123"/>
      <c r="B143" s="123"/>
      <c r="C143" s="123"/>
      <c r="D143" s="123"/>
      <c r="E143" s="123"/>
      <c r="F143" s="123"/>
      <c r="G143" s="123"/>
      <c r="H143" s="123"/>
      <c r="I143" s="123"/>
      <c r="J143" t="s">
        <v>281</v>
      </c>
    </row>
    <row r="144" spans="1:12" ht="15.75" customHeight="1">
      <c r="A144" s="123"/>
      <c r="B144" s="123"/>
      <c r="C144" s="123"/>
      <c r="D144" s="123"/>
      <c r="E144" s="123"/>
      <c r="F144" s="123"/>
      <c r="G144" s="123"/>
      <c r="H144" s="123"/>
      <c r="I144" s="123"/>
      <c r="J144" t="s">
        <v>282</v>
      </c>
    </row>
    <row r="145" spans="1:18" ht="15.75" customHeight="1">
      <c r="A145" s="123"/>
      <c r="B145" s="123"/>
      <c r="C145" s="123"/>
      <c r="D145" s="123"/>
      <c r="E145" s="123"/>
      <c r="F145" s="123"/>
      <c r="G145" s="123"/>
      <c r="H145" s="123"/>
      <c r="I145" s="123"/>
      <c r="J145" t="s">
        <v>283</v>
      </c>
    </row>
    <row r="146" spans="1:18" ht="15.75" customHeight="1"/>
    <row r="147" spans="1:18" ht="15.75" customHeight="1"/>
    <row r="148" spans="1:18" ht="15.75" customHeight="1"/>
    <row r="149" spans="1:18" ht="15.75" customHeight="1"/>
    <row r="150" spans="1:18" ht="15.75" customHeight="1"/>
    <row r="151" spans="1:18" ht="15" customHeight="1"/>
    <row r="152" spans="1:18" ht="15" customHeight="1"/>
    <row r="153" spans="1:18" ht="15" customHeight="1"/>
    <row r="159" spans="1:18">
      <c r="D159" t="s">
        <v>284</v>
      </c>
      <c r="E159" t="s">
        <v>285</v>
      </c>
      <c r="F159" t="s">
        <v>286</v>
      </c>
      <c r="K159" t="s">
        <v>190</v>
      </c>
      <c r="L159" t="s">
        <v>95</v>
      </c>
      <c r="M159" t="s">
        <v>128</v>
      </c>
      <c r="N159" t="s">
        <v>129</v>
      </c>
      <c r="P159" t="s">
        <v>287</v>
      </c>
      <c r="Q159" t="s">
        <v>288</v>
      </c>
      <c r="R159" t="s">
        <v>289</v>
      </c>
    </row>
    <row r="160" spans="1:18">
      <c r="D160" s="74" t="s">
        <v>290</v>
      </c>
      <c r="E160" s="74" t="s">
        <v>291</v>
      </c>
      <c r="F160" s="74" t="s">
        <v>292</v>
      </c>
      <c r="K160" s="12" t="s">
        <v>195</v>
      </c>
      <c r="L160" s="12" t="s">
        <v>197</v>
      </c>
      <c r="M160" s="12" t="s">
        <v>196</v>
      </c>
      <c r="N160" s="74" t="s">
        <v>293</v>
      </c>
      <c r="P160" t="s">
        <v>294</v>
      </c>
      <c r="Q160" t="s">
        <v>294</v>
      </c>
      <c r="R160" t="s">
        <v>294</v>
      </c>
    </row>
    <row r="161" spans="3:18">
      <c r="D161" s="13">
        <f>L161^2</f>
        <v>21087105796</v>
      </c>
      <c r="E161" s="13">
        <f>M161^2</f>
        <v>30758116</v>
      </c>
      <c r="F161" s="73">
        <f>N161^2</f>
        <v>1</v>
      </c>
      <c r="K161" s="13" t="s">
        <v>202</v>
      </c>
      <c r="L161" s="73">
        <v>145214</v>
      </c>
      <c r="M161" s="72">
        <v>5546</v>
      </c>
      <c r="N161" s="13">
        <v>1</v>
      </c>
      <c r="P161">
        <f>L161*M161</f>
        <v>805356844</v>
      </c>
      <c r="Q161">
        <f>L161*N161</f>
        <v>145214</v>
      </c>
      <c r="R161">
        <f>M161*N161</f>
        <v>5546</v>
      </c>
    </row>
    <row r="162" spans="3:18">
      <c r="D162" s="13">
        <f t="shared" ref="D162:D172" si="2">L162^2</f>
        <v>22979224921</v>
      </c>
      <c r="E162" s="13">
        <f t="shared" ref="E162:E172" si="3">M162^2</f>
        <v>42876304</v>
      </c>
      <c r="F162" s="73">
        <f t="shared" ref="F162:F172" si="4">N162^2</f>
        <v>1</v>
      </c>
      <c r="K162" s="13" t="s">
        <v>203</v>
      </c>
      <c r="L162" s="73">
        <v>151589</v>
      </c>
      <c r="M162" s="72">
        <v>6548</v>
      </c>
      <c r="N162" s="13">
        <v>1</v>
      </c>
      <c r="P162">
        <f>L162*M162</f>
        <v>992604772</v>
      </c>
      <c r="Q162">
        <f>L162*N162</f>
        <v>151589</v>
      </c>
      <c r="R162">
        <f>M162*N162</f>
        <v>6548</v>
      </c>
    </row>
    <row r="163" spans="3:18">
      <c r="D163" s="13">
        <f t="shared" si="2"/>
        <v>26564436196</v>
      </c>
      <c r="E163" s="13">
        <f t="shared" si="3"/>
        <v>57532225</v>
      </c>
      <c r="F163" s="73">
        <f t="shared" si="4"/>
        <v>4</v>
      </c>
      <c r="K163" s="14" t="s">
        <v>204</v>
      </c>
      <c r="L163" s="60">
        <v>162986</v>
      </c>
      <c r="M163" s="58">
        <v>7585</v>
      </c>
      <c r="N163" s="13">
        <v>2</v>
      </c>
      <c r="P163">
        <f>L163*M163</f>
        <v>1236248810</v>
      </c>
      <c r="Q163">
        <f>L163*N163</f>
        <v>325972</v>
      </c>
      <c r="R163">
        <f>M163*N163</f>
        <v>15170</v>
      </c>
    </row>
    <row r="164" spans="3:18">
      <c r="D164" s="13">
        <f t="shared" si="2"/>
        <v>11085773521</v>
      </c>
      <c r="E164" s="13">
        <f t="shared" si="3"/>
        <v>2108304</v>
      </c>
      <c r="F164" s="73">
        <f t="shared" si="4"/>
        <v>1</v>
      </c>
      <c r="K164" s="13" t="s">
        <v>206</v>
      </c>
      <c r="L164" s="73">
        <v>105289</v>
      </c>
      <c r="M164" s="72">
        <v>1452</v>
      </c>
      <c r="N164" s="13">
        <v>1</v>
      </c>
      <c r="P164">
        <f>L164*M164</f>
        <v>152879628</v>
      </c>
      <c r="Q164">
        <f>L164*N164</f>
        <v>105289</v>
      </c>
      <c r="R164">
        <f>M164*N164</f>
        <v>1452</v>
      </c>
    </row>
    <row r="165" spans="3:18">
      <c r="D165" s="13">
        <f t="shared" si="2"/>
        <v>20294281764</v>
      </c>
      <c r="E165" s="13">
        <f t="shared" si="3"/>
        <v>23541904</v>
      </c>
      <c r="F165" s="73">
        <f t="shared" si="4"/>
        <v>1</v>
      </c>
      <c r="K165" s="13" t="s">
        <v>207</v>
      </c>
      <c r="L165" s="73">
        <v>142458</v>
      </c>
      <c r="M165" s="72">
        <v>4852</v>
      </c>
      <c r="N165" s="13">
        <v>1</v>
      </c>
      <c r="P165">
        <f>L165*M165</f>
        <v>691206216</v>
      </c>
      <c r="Q165">
        <f>L165*N165</f>
        <v>142458</v>
      </c>
      <c r="R165">
        <f>M165*N165</f>
        <v>4852</v>
      </c>
    </row>
    <row r="166" spans="3:18">
      <c r="D166" s="13">
        <f t="shared" si="2"/>
        <v>32041000000</v>
      </c>
      <c r="E166" s="13">
        <f t="shared" si="3"/>
        <v>67240000</v>
      </c>
      <c r="F166" s="73">
        <f t="shared" si="4"/>
        <v>16</v>
      </c>
      <c r="K166" s="15" t="s">
        <v>208</v>
      </c>
      <c r="L166" s="73">
        <v>179000</v>
      </c>
      <c r="M166" s="72">
        <v>8200</v>
      </c>
      <c r="N166" s="13">
        <v>4</v>
      </c>
      <c r="P166">
        <f>L166*M166</f>
        <v>1467800000</v>
      </c>
      <c r="Q166">
        <f>L166*N166</f>
        <v>716000</v>
      </c>
      <c r="R166">
        <f>M166*N166</f>
        <v>32800</v>
      </c>
    </row>
    <row r="167" spans="3:18">
      <c r="D167" s="13">
        <f t="shared" si="2"/>
        <v>18709315524</v>
      </c>
      <c r="E167" s="13">
        <f t="shared" si="3"/>
        <v>21187609</v>
      </c>
      <c r="F167" s="73">
        <f t="shared" si="4"/>
        <v>9</v>
      </c>
      <c r="K167" s="13" t="s">
        <v>212</v>
      </c>
      <c r="L167" s="73">
        <v>136782</v>
      </c>
      <c r="M167" s="72">
        <v>4603</v>
      </c>
      <c r="N167" s="13">
        <v>3</v>
      </c>
      <c r="P167">
        <f>L167*M167</f>
        <v>629607546</v>
      </c>
      <c r="Q167">
        <f>L167*N167</f>
        <v>410346</v>
      </c>
      <c r="R167">
        <f>M167*N167</f>
        <v>13809</v>
      </c>
    </row>
    <row r="168" spans="3:18">
      <c r="D168" s="13">
        <f t="shared" si="2"/>
        <v>15625000000</v>
      </c>
      <c r="E168" s="13">
        <f t="shared" si="3"/>
        <v>38440000</v>
      </c>
      <c r="F168" s="73">
        <f t="shared" si="4"/>
        <v>9</v>
      </c>
      <c r="K168" s="13" t="s">
        <v>213</v>
      </c>
      <c r="L168" s="60">
        <v>125000</v>
      </c>
      <c r="M168" s="58">
        <v>6200</v>
      </c>
      <c r="N168" s="13">
        <v>3</v>
      </c>
      <c r="P168">
        <f>L168*M168</f>
        <v>775000000</v>
      </c>
      <c r="Q168">
        <f>L168*N168</f>
        <v>375000</v>
      </c>
      <c r="R168">
        <f>M168*N168</f>
        <v>18600</v>
      </c>
    </row>
    <row r="169" spans="3:18">
      <c r="D169" s="13">
        <f t="shared" si="2"/>
        <v>19600000000</v>
      </c>
      <c r="E169" s="13">
        <f t="shared" si="3"/>
        <v>45968400</v>
      </c>
      <c r="F169" s="73">
        <f t="shared" si="4"/>
        <v>25</v>
      </c>
      <c r="K169" s="13" t="s">
        <v>214</v>
      </c>
      <c r="L169" s="73">
        <v>140000</v>
      </c>
      <c r="M169" s="72">
        <v>6780</v>
      </c>
      <c r="N169" s="13">
        <v>5</v>
      </c>
      <c r="P169">
        <f>L169*M169</f>
        <v>949200000</v>
      </c>
      <c r="Q169">
        <f>L169*N169</f>
        <v>700000</v>
      </c>
      <c r="R169">
        <f>M169*N169</f>
        <v>33900</v>
      </c>
    </row>
    <row r="170" spans="3:18">
      <c r="D170" s="13">
        <f t="shared" si="2"/>
        <v>30284004529</v>
      </c>
      <c r="E170" s="13">
        <f t="shared" si="3"/>
        <v>27499536</v>
      </c>
      <c r="F170" s="73">
        <f t="shared" si="4"/>
        <v>16</v>
      </c>
      <c r="K170" s="13" t="s">
        <v>217</v>
      </c>
      <c r="L170" s="73">
        <v>174023</v>
      </c>
      <c r="M170" s="72">
        <v>5244</v>
      </c>
      <c r="N170" s="13">
        <v>4</v>
      </c>
      <c r="P170">
        <f>L170*M170</f>
        <v>912576612</v>
      </c>
      <c r="Q170">
        <f>L170*N170</f>
        <v>696092</v>
      </c>
      <c r="R170">
        <f>M170*N170</f>
        <v>20976</v>
      </c>
    </row>
    <row r="171" spans="3:18">
      <c r="D171" s="13">
        <f t="shared" si="2"/>
        <v>21844840000</v>
      </c>
      <c r="E171" s="13">
        <f t="shared" si="3"/>
        <v>23912100</v>
      </c>
      <c r="F171" s="73">
        <f t="shared" si="4"/>
        <v>16</v>
      </c>
      <c r="K171" s="13" t="s">
        <v>218</v>
      </c>
      <c r="L171" s="73">
        <v>147800</v>
      </c>
      <c r="M171" s="72">
        <v>4890</v>
      </c>
      <c r="N171" s="13">
        <v>4</v>
      </c>
      <c r="P171">
        <f>L171*M171</f>
        <v>722742000</v>
      </c>
      <c r="Q171">
        <f>L171*N171</f>
        <v>591200</v>
      </c>
      <c r="R171">
        <f>M171*N171</f>
        <v>19560</v>
      </c>
    </row>
    <row r="172" spans="3:18">
      <c r="D172" s="13">
        <f t="shared" si="2"/>
        <v>40000000000</v>
      </c>
      <c r="E172" s="13">
        <f t="shared" si="3"/>
        <v>68062500</v>
      </c>
      <c r="F172" s="73">
        <f t="shared" si="4"/>
        <v>36</v>
      </c>
      <c r="K172" s="13" t="s">
        <v>219</v>
      </c>
      <c r="L172" s="73">
        <v>200000</v>
      </c>
      <c r="M172" s="72">
        <v>8250</v>
      </c>
      <c r="N172" s="13">
        <v>6</v>
      </c>
      <c r="P172">
        <f>L172*M172</f>
        <v>1650000000</v>
      </c>
      <c r="Q172">
        <f>L172*N172</f>
        <v>1200000</v>
      </c>
      <c r="R172">
        <f>M172*N172</f>
        <v>49500</v>
      </c>
    </row>
    <row r="173" spans="3:18">
      <c r="C173" s="4" t="s">
        <v>295</v>
      </c>
      <c r="D173">
        <f>SUM(D161:D172)</f>
        <v>280114982251</v>
      </c>
      <c r="E173">
        <f t="shared" ref="E173:F173" si="5">SUM(E161:E172)</f>
        <v>449126998</v>
      </c>
      <c r="F173">
        <f t="shared" si="5"/>
        <v>135</v>
      </c>
      <c r="K173" s="4" t="s">
        <v>295</v>
      </c>
      <c r="L173">
        <f>SUM(L161:L172)</f>
        <v>1810141</v>
      </c>
      <c r="M173">
        <f>SUM(M161:M172)</f>
        <v>70150</v>
      </c>
      <c r="N173">
        <f t="shared" ref="N173" si="6">SUM(N161:N172)</f>
        <v>35</v>
      </c>
    </row>
    <row r="174" spans="3:18">
      <c r="C174" s="4" t="s">
        <v>296</v>
      </c>
      <c r="D174">
        <f>D173/COUNT(D161:D172)</f>
        <v>23342915187.583332</v>
      </c>
      <c r="E174">
        <f t="shared" ref="E174:F174" si="7">E173/COUNT(E161:E172)</f>
        <v>37427249.833333336</v>
      </c>
      <c r="F174">
        <f t="shared" si="7"/>
        <v>11.25</v>
      </c>
      <c r="K174" s="4" t="s">
        <v>296</v>
      </c>
      <c r="L174">
        <f>L173/COUNT(L161:L172)</f>
        <v>150845.08333333334</v>
      </c>
      <c r="M174">
        <f>M173/COUNT(M161:M172)</f>
        <v>5845.833333333333</v>
      </c>
      <c r="N174">
        <f t="shared" ref="N174" si="8">N173/COUNT(N161:N172)</f>
        <v>2.9166666666666665</v>
      </c>
    </row>
    <row r="175" spans="3:18" ht="76.5">
      <c r="K175" s="81" t="s">
        <v>297</v>
      </c>
      <c r="L175" s="18">
        <f>SQRT(D174-L174^2)</f>
        <v>24262.646635168425</v>
      </c>
      <c r="M175" s="18">
        <f>SQRT(E174-M174^2)</f>
        <v>1803.7412431449893</v>
      </c>
      <c r="N175" s="82">
        <f>SQRT(F174-N174^2)</f>
        <v>1.6562172428626496</v>
      </c>
    </row>
    <row r="177" spans="11:15">
      <c r="K177" t="s">
        <v>298</v>
      </c>
      <c r="L177" t="s">
        <v>298</v>
      </c>
      <c r="M177" t="s">
        <v>298</v>
      </c>
      <c r="N177" t="s">
        <v>298</v>
      </c>
    </row>
    <row r="187" spans="11:15">
      <c r="K187" t="s">
        <v>299</v>
      </c>
      <c r="L187">
        <f>_xlfn.COVARIANCE.S(L161:L172,M161:M172)</f>
        <v>36676348.378787883</v>
      </c>
      <c r="N187" s="85" t="s">
        <v>147</v>
      </c>
      <c r="O187" s="85">
        <f>L175/M175*((L188-L191*L194)/1-L194^2)</f>
        <v>36676282.365183555</v>
      </c>
    </row>
    <row r="188" spans="11:15">
      <c r="K188" s="18" t="s">
        <v>300</v>
      </c>
      <c r="L188" s="18">
        <f>L187/L175*M175</f>
        <v>2726604.5297335032</v>
      </c>
    </row>
    <row r="190" spans="11:15">
      <c r="K190" t="s">
        <v>301</v>
      </c>
      <c r="L190">
        <f>_xlfn.COVARIANCE.S(L161:L172,N161:N172)</f>
        <v>25416.553030303035</v>
      </c>
      <c r="N190" s="85" t="s">
        <v>148</v>
      </c>
      <c r="O190" s="85">
        <f>L175/N175*((L191-L188*L194)/1-L194^2)</f>
        <v>-60378724426.762505</v>
      </c>
    </row>
    <row r="191" spans="11:15">
      <c r="K191" s="18" t="s">
        <v>302</v>
      </c>
      <c r="L191" s="18">
        <f>L190/L175*N175</f>
        <v>1.7349852230013572</v>
      </c>
    </row>
    <row r="193" spans="11:17">
      <c r="K193" t="s">
        <v>303</v>
      </c>
      <c r="L193">
        <f>_xlfn.COVARIANCE.S(M161:M172,N161:N172)</f>
        <v>1646.2575757575758</v>
      </c>
      <c r="N193" s="85" t="s">
        <v>43</v>
      </c>
      <c r="O193" s="85">
        <f>L174-O187*M174-O190*N174</f>
        <v>-38298670236.66156</v>
      </c>
    </row>
    <row r="194" spans="11:17">
      <c r="K194" s="18" t="s">
        <v>304</v>
      </c>
      <c r="L194" s="18">
        <f>L193/M175*N175</f>
        <v>1.5116138157427461</v>
      </c>
    </row>
    <row r="195" spans="11:17">
      <c r="N195" t="s">
        <v>305</v>
      </c>
    </row>
    <row r="196" spans="11:17">
      <c r="N196" s="44" t="s">
        <v>306</v>
      </c>
      <c r="P196" s="48" t="s">
        <v>307</v>
      </c>
    </row>
    <row r="208" spans="11:17">
      <c r="N208" s="124" t="s">
        <v>143</v>
      </c>
      <c r="O208" s="13">
        <v>1</v>
      </c>
      <c r="P208" s="13">
        <f>L188</f>
        <v>2726604.5297335032</v>
      </c>
      <c r="Q208" s="13">
        <f>L191</f>
        <v>1.7349852230013572</v>
      </c>
    </row>
    <row r="209" spans="13:17">
      <c r="M209" t="s">
        <v>308</v>
      </c>
      <c r="N209">
        <f>MDETERM(O208:Q210)</f>
        <v>-7434357959830.7842</v>
      </c>
      <c r="O209" s="13">
        <f>L188</f>
        <v>2726604.5297335032</v>
      </c>
      <c r="P209" s="13">
        <v>1</v>
      </c>
      <c r="Q209" s="13">
        <f>L194</f>
        <v>1.5116138157427461</v>
      </c>
    </row>
    <row r="210" spans="13:17">
      <c r="O210" s="13">
        <f>L191</f>
        <v>1.7349852230013572</v>
      </c>
      <c r="P210" s="13">
        <f>L194</f>
        <v>1.5116138157427461</v>
      </c>
      <c r="Q210" s="13">
        <v>1</v>
      </c>
    </row>
    <row r="212" spans="13:17">
      <c r="N212" s="124" t="s">
        <v>309</v>
      </c>
      <c r="O212" s="13">
        <v>1</v>
      </c>
      <c r="P212" s="13">
        <f>L194</f>
        <v>1.5116138157427461</v>
      </c>
    </row>
    <row r="213" spans="13:17">
      <c r="M213" t="s">
        <v>310</v>
      </c>
      <c r="N213">
        <f>MDETERM(O212:P213)</f>
        <v>-1.2849763279443449</v>
      </c>
      <c r="O213" s="13">
        <f>L194</f>
        <v>1.5116138157427461</v>
      </c>
      <c r="P213" s="13">
        <v>1</v>
      </c>
    </row>
    <row r="216" spans="13:17">
      <c r="N216" s="124" t="s">
        <v>150</v>
      </c>
    </row>
    <row r="217" spans="13:17">
      <c r="N217" t="e">
        <f>(1-N209/N213)^0.5</f>
        <v>#NUM!</v>
      </c>
    </row>
    <row r="1048567" spans="12:12">
      <c r="L1048567" s="44" t="str">
        <f>(Q46-N71)&amp;"&lt;"&amp;(Q46)&amp;"&lt;"&amp;(Q46+N71)</f>
        <v>78290,6659509791&lt;121437,555344048&lt;164584,444737116</v>
      </c>
    </row>
  </sheetData>
  <mergeCells count="5">
    <mergeCell ref="M39:V40"/>
    <mergeCell ref="M43:V44"/>
    <mergeCell ref="M48:V48"/>
    <mergeCell ref="M52:V52"/>
    <mergeCell ref="A140:I145"/>
  </mergeCells>
  <hyperlinks>
    <hyperlink ref="D31" r:id="rId1" xr:uid="{1F15F070-F9ED-4C5D-8CDC-354098F54E76}"/>
    <hyperlink ref="D1" r:id="rId2" xr:uid="{2491075C-9774-43FF-966F-216D5277EB4A}"/>
    <hyperlink ref="E57" r:id="rId3" xr:uid="{61CB171C-396F-4993-A209-AA57A4FEAAD5}"/>
    <hyperlink ref="E56" r:id="rId4" xr:uid="{0BEE7487-EBF7-4858-8517-A93DB89E9228}"/>
    <hyperlink ref="L140" r:id="rId5" xr:uid="{4868027F-DB2F-4E2F-8896-195FB6947A88}"/>
    <hyperlink ref="L142" r:id="rId6" xr:uid="{DF68CB7B-1F57-465C-B10B-53266C6FE623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2022-09-21T14:52:41Z</dcterms:created>
  <dcterms:modified xsi:type="dcterms:W3CDTF">2022-11-24T04:25:11Z</dcterms:modified>
  <cp:category/>
  <cp:contentStatus/>
</cp:coreProperties>
</file>