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lpachkov\Desktop\"/>
    </mc:Choice>
  </mc:AlternateContent>
  <xr:revisionPtr revIDLastSave="0" documentId="13_ncr:1_{6577FDC5-3A27-448A-B808-D7F710F7AAD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Биномиальное распределение" sheetId="1" r:id="rId1"/>
    <sheet name="Показательное распределение" sheetId="2" r:id="rId2"/>
  </sheets>
  <definedNames>
    <definedName name="_xlnm._FilterDatabase" localSheetId="0" hidden="1">'Биномиальное распределение'!$C$6:$C$105</definedName>
    <definedName name="_xlnm.Extract" localSheetId="0">'Биномиальное распределение'!$E$6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2" i="1" l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 s="1"/>
  <c r="P30" i="1"/>
  <c r="P32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6" i="1"/>
  <c r="M7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L6" i="1" a="1"/>
  <c r="L6" i="1" s="1"/>
  <c r="F6" i="1"/>
  <c r="G6" i="2" l="1"/>
  <c r="G7" i="2"/>
  <c r="G8" i="2"/>
  <c r="G9" i="2"/>
  <c r="G10" i="2"/>
  <c r="G11" i="2"/>
  <c r="G12" i="2"/>
  <c r="G13" i="2"/>
  <c r="B6" i="2"/>
  <c r="B7" i="2"/>
  <c r="B8" i="2"/>
  <c r="B9" i="2"/>
  <c r="B10" i="2"/>
  <c r="B11" i="2"/>
  <c r="B12" i="2"/>
  <c r="B13" i="2"/>
  <c r="B14" i="2"/>
  <c r="B15" i="2"/>
  <c r="B16" i="2"/>
  <c r="B17" i="2"/>
  <c r="C5" i="2" s="1" a="1"/>
  <c r="C5" i="2" s="1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5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Q32" i="1" l="1"/>
  <c r="X36" i="1"/>
  <c r="G2" i="2"/>
  <c r="U38" i="1"/>
  <c r="U36" i="1"/>
  <c r="O7" i="2" l="1"/>
  <c r="O8" i="2"/>
  <c r="S8" i="2" s="1"/>
  <c r="O9" i="2"/>
  <c r="S9" i="2" s="1"/>
  <c r="O10" i="2"/>
  <c r="O11" i="2"/>
  <c r="S11" i="2" s="1"/>
  <c r="P2" i="2"/>
  <c r="M2" i="2"/>
  <c r="G5" i="2" s="1"/>
  <c r="J2" i="2"/>
  <c r="AA23" i="2" a="1"/>
  <c r="AA23" i="2" s="1"/>
  <c r="X48" i="1"/>
  <c r="Q34" i="1"/>
  <c r="Q30" i="1"/>
  <c r="U34" i="1" s="1" a="1"/>
  <c r="U34" i="1" s="1"/>
  <c r="C6" i="1" a="1"/>
  <c r="C6" i="1" s="1"/>
  <c r="E6" i="1" s="1" a="1"/>
  <c r="Q48" i="1"/>
  <c r="Q46" i="1"/>
  <c r="Q44" i="1"/>
  <c r="Q42" i="1"/>
  <c r="Q40" i="1"/>
  <c r="Q38" i="1"/>
  <c r="Q36" i="1"/>
  <c r="J5" i="2" l="1"/>
  <c r="O5" i="2" s="1"/>
  <c r="AA25" i="2" a="1"/>
  <c r="AA25" i="2" s="1"/>
  <c r="AA21" i="2" a="1"/>
  <c r="AA21" i="2" s="1"/>
  <c r="U30" i="1" a="1"/>
  <c r="U30" i="1" s="1"/>
  <c r="X38" i="1" s="1"/>
  <c r="U32" i="1" a="1"/>
  <c r="U32" i="1" s="1"/>
  <c r="U44" i="1" a="1"/>
  <c r="U44" i="1" s="1"/>
  <c r="U42" i="1" a="1"/>
  <c r="U42" i="1" s="1"/>
  <c r="U46" i="1" a="1"/>
  <c r="U46" i="1" s="1"/>
  <c r="S10" i="2"/>
  <c r="E6" i="1"/>
  <c r="G15" i="1"/>
  <c r="I15" i="1" s="1"/>
  <c r="F10" i="1"/>
  <c r="F22" i="1"/>
  <c r="G16" i="1"/>
  <c r="I16" i="1" s="1"/>
  <c r="F11" i="1"/>
  <c r="G18" i="1"/>
  <c r="I18" i="1" s="1"/>
  <c r="F13" i="1"/>
  <c r="G17" i="1"/>
  <c r="I17" i="1" s="1"/>
  <c r="F12" i="1"/>
  <c r="G7" i="1"/>
  <c r="I7" i="1" s="1"/>
  <c r="G19" i="1"/>
  <c r="I19" i="1" s="1"/>
  <c r="F14" i="1"/>
  <c r="G9" i="1"/>
  <c r="I9" i="1" s="1"/>
  <c r="G21" i="1"/>
  <c r="I21" i="1" s="1"/>
  <c r="F16" i="1"/>
  <c r="G11" i="1"/>
  <c r="I11" i="1" s="1"/>
  <c r="G12" i="1"/>
  <c r="I12" i="1" s="1"/>
  <c r="F7" i="1"/>
  <c r="F19" i="1"/>
  <c r="G13" i="1"/>
  <c r="I13" i="1" s="1"/>
  <c r="F8" i="1"/>
  <c r="G14" i="1"/>
  <c r="I14" i="1" s="1"/>
  <c r="F9" i="1"/>
  <c r="F21" i="1"/>
  <c r="G8" i="1"/>
  <c r="I8" i="1" s="1"/>
  <c r="G20" i="1"/>
  <c r="I20" i="1" s="1"/>
  <c r="F15" i="1"/>
  <c r="G10" i="1"/>
  <c r="I10" i="1" s="1"/>
  <c r="G22" i="1"/>
  <c r="I22" i="1" s="1"/>
  <c r="F17" i="1"/>
  <c r="F18" i="1"/>
  <c r="F20" i="1"/>
  <c r="AA5" i="2" l="1"/>
  <c r="AG9" i="2"/>
  <c r="U40" i="1"/>
  <c r="J6" i="2"/>
  <c r="O6" i="2" s="1"/>
  <c r="G6" i="1"/>
  <c r="I6" i="1" s="1"/>
  <c r="AA11" i="2" l="1" a="1"/>
  <c r="AA11" i="2" s="1"/>
  <c r="AA13" i="2" a="1"/>
  <c r="AA13" i="2" s="1"/>
  <c r="AA9" i="2" a="1"/>
  <c r="AA9" i="2" s="1"/>
  <c r="AA19" i="2" s="1"/>
  <c r="AA7" i="2" a="1"/>
  <c r="AA7" i="2" s="1"/>
  <c r="I5" i="2" a="1"/>
  <c r="I5" i="2" s="1"/>
  <c r="K6" i="2" s="1"/>
  <c r="H6" i="1"/>
  <c r="J6" i="1" s="1"/>
  <c r="U48" i="1"/>
  <c r="Q7" i="2"/>
  <c r="S7" i="2"/>
  <c r="Q8" i="2"/>
  <c r="Q6" i="2"/>
  <c r="S6" i="2"/>
  <c r="Q10" i="2"/>
  <c r="Q9" i="2"/>
  <c r="Q11" i="2"/>
  <c r="H10" i="1"/>
  <c r="H17" i="1"/>
  <c r="H9" i="1"/>
  <c r="H18" i="1"/>
  <c r="H11" i="1"/>
  <c r="H12" i="1"/>
  <c r="H20" i="1"/>
  <c r="H22" i="1"/>
  <c r="H14" i="1"/>
  <c r="H15" i="1"/>
  <c r="H21" i="1"/>
  <c r="H19" i="1"/>
  <c r="H16" i="1"/>
  <c r="H7" i="1"/>
  <c r="H13" i="1"/>
  <c r="H8" i="1"/>
  <c r="AA17" i="2" l="1"/>
  <c r="AA15" i="2"/>
  <c r="AA27" i="2"/>
  <c r="AC27" i="2"/>
  <c r="L10" i="2"/>
  <c r="R10" i="2" s="1"/>
  <c r="L8" i="2"/>
  <c r="R8" i="2" s="1"/>
  <c r="L9" i="2"/>
  <c r="R9" i="2" s="1"/>
  <c r="L6" i="2"/>
  <c r="R6" i="2" s="1"/>
  <c r="L7" i="2"/>
  <c r="R7" i="2" s="1"/>
  <c r="L11" i="2"/>
  <c r="R11" i="2" s="1"/>
  <c r="H23" i="1"/>
  <c r="M23" i="1"/>
  <c r="AA29" i="2" l="1" a="1"/>
  <c r="AA29" i="2" s="1"/>
  <c r="M6" i="2"/>
  <c r="M7" i="2" s="1"/>
  <c r="M8" i="2" s="1"/>
  <c r="M9" i="2" s="1"/>
  <c r="M10" i="2" s="1"/>
  <c r="M1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<sst xmlns="http://schemas.openxmlformats.org/spreadsheetml/2006/main" count="71" uniqueCount="49">
  <si>
    <t>Вариант 3.</t>
  </si>
  <si>
    <t>Биномиальное распределение</t>
  </si>
  <si>
    <t>Вариационный ряд</t>
  </si>
  <si>
    <t>Ряд с абсолютными частотами</t>
  </si>
  <si>
    <t>Ряд с относительными частотами</t>
  </si>
  <si>
    <t>Ряд с накопленными частотами</t>
  </si>
  <si>
    <t>Выборочное среднее</t>
  </si>
  <si>
    <t>Дисперсия</t>
  </si>
  <si>
    <t>Несмещенная выб. дисперс.</t>
  </si>
  <si>
    <t>Выбор. коэфф. эксцесса</t>
  </si>
  <si>
    <t>Коэффициент вариации</t>
  </si>
  <si>
    <t>Квантиль 0,25</t>
  </si>
  <si>
    <t>Квантиль 0,5</t>
  </si>
  <si>
    <t>Квантиль 0,75</t>
  </si>
  <si>
    <t>Выборочная мода</t>
  </si>
  <si>
    <t>Выбор. коэфф. асимметрии</t>
  </si>
  <si>
    <t>Несмещанная выб. дисп.</t>
  </si>
  <si>
    <t>Центр. момент μ</t>
  </si>
  <si>
    <t>Теор. распр.</t>
  </si>
  <si>
    <t>Отн. частоты</t>
  </si>
  <si>
    <t>Квантиль</t>
  </si>
  <si>
    <t>Теоретическая мода</t>
  </si>
  <si>
    <t>Теор. коэфф. асимметрии</t>
  </si>
  <si>
    <t>Теор. коэфф. эксцесса</t>
  </si>
  <si>
    <t>λ</t>
  </si>
  <si>
    <t>Выборка</t>
  </si>
  <si>
    <t>Вар. ряд</t>
  </si>
  <si>
    <t>Кол-во интервалов</t>
  </si>
  <si>
    <t>Шаг</t>
  </si>
  <si>
    <t>Мин. зн.</t>
  </si>
  <si>
    <t>Макс. зн.</t>
  </si>
  <si>
    <t>Абс. част.</t>
  </si>
  <si>
    <t>Отн. част.</t>
  </si>
  <si>
    <t>Накоп. ч.</t>
  </si>
  <si>
    <t>Граница интервала</t>
  </si>
  <si>
    <t>Теор. пл.</t>
  </si>
  <si>
    <t>Эмп. пл.</t>
  </si>
  <si>
    <t>Несмещенная дисперсия</t>
  </si>
  <si>
    <t>Теор. коэфф. асимметри</t>
  </si>
  <si>
    <t>Корект. интервала</t>
  </si>
  <si>
    <t>Теор. мода</t>
  </si>
  <si>
    <t>Модальный интервал</t>
  </si>
  <si>
    <t>форм</t>
  </si>
  <si>
    <t xml:space="preserve"> распред</t>
  </si>
  <si>
    <t>1) F - биномиальное распределение с n = 50 и p = 0,42.</t>
  </si>
  <si>
    <t>2) F - показательный закон с параметром ЛЯМБДА = 0,04.</t>
  </si>
  <si>
    <t>Интегральная</t>
  </si>
  <si>
    <t>Т.сред</t>
  </si>
  <si>
    <t>Т.дис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</si>
</sst>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6" formatCode="0.0000E+00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rgb="FF3333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1" applyNumberFormat="1" applyFont="1" applyAlignment="1"/>
    <xf numFmtId="0" fontId="0" fillId="0" borderId="9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2" borderId="1" xfId="0" applyFont="1" applyFill="1" applyBorder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4" fontId="0" fillId="3" borderId="1" xfId="0" applyNumberFormat="1" applyFill="1" applyBorder="1"/>
    <xf numFmtId="0" fontId="3" fillId="0" borderId="1" xfId="0" applyFon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1" fontId="0" fillId="3" borderId="1" xfId="0" applyNumberFormat="1" applyFill="1" applyBorder="1"/>
    <xf numFmtId="0" fontId="0" fillId="0" borderId="1" xfId="0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</a:t>
            </a:r>
            <a:r>
              <a:rPr lang="ru-RU" baseline="0"/>
              <a:t> с абсолютными частотами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4357830271216095E-2"/>
          <c:y val="0.1902314814814815"/>
          <c:w val="0.90286351706036749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C00000"/>
                </a:solidFill>
              </a:ln>
              <a:effectLst/>
            </c:spPr>
          </c:marker>
          <c:cat>
            <c:numRef>
              <c:f>'Биномиальное распределение'!$E$6:$E$22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распределение'!$F$6:$F$22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7</c:v>
                </c:pt>
                <c:pt idx="8">
                  <c:v>10</c:v>
                </c:pt>
                <c:pt idx="9">
                  <c:v>19</c:v>
                </c:pt>
                <c:pt idx="10">
                  <c:v>6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7</c:v>
                </c:pt>
                <c:pt idx="15">
                  <c:v>6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5-4706-BC5B-E4A76A7AD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37936"/>
        <c:axId val="1150839568"/>
      </c:lineChart>
      <c:catAx>
        <c:axId val="115083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9568"/>
        <c:crosses val="autoZero"/>
        <c:auto val="1"/>
        <c:lblAlgn val="ctr"/>
        <c:lblOffset val="100"/>
        <c:noMultiLvlLbl val="0"/>
      </c:catAx>
      <c:valAx>
        <c:axId val="11508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7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с относительными частотами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'Биномиальное распределение'!$G$6:$G$22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распределение'!$H$6:$H$22</c:f>
              <c:numCache>
                <c:formatCode>General</c:formatCode>
                <c:ptCount val="1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0.04</c:v>
                </c:pt>
                <c:pt idx="4">
                  <c:v>0.05</c:v>
                </c:pt>
                <c:pt idx="5">
                  <c:v>0.04</c:v>
                </c:pt>
                <c:pt idx="6">
                  <c:v>0.03</c:v>
                </c:pt>
                <c:pt idx="7">
                  <c:v>7.0000000000000007E-2</c:v>
                </c:pt>
                <c:pt idx="8">
                  <c:v>0.1</c:v>
                </c:pt>
                <c:pt idx="9">
                  <c:v>0.19</c:v>
                </c:pt>
                <c:pt idx="10">
                  <c:v>0.06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0.06</c:v>
                </c:pt>
                <c:pt idx="1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F6-40D1-946B-B57C6E90A2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30320"/>
        <c:axId val="1150838480"/>
      </c:lineChart>
      <c:catAx>
        <c:axId val="11508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8480"/>
        <c:crosses val="autoZero"/>
        <c:auto val="1"/>
        <c:lblAlgn val="ctr"/>
        <c:lblOffset val="100"/>
        <c:noMultiLvlLbl val="0"/>
      </c:catAx>
      <c:valAx>
        <c:axId val="11508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Ряд с накопленными частотами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'Биномиальное распределение'!$I$6:$I$22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распределение'!$J$6:$J$22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7.0000000000000007E-2</c:v>
                </c:pt>
                <c:pt idx="4">
                  <c:v>0.12000000000000001</c:v>
                </c:pt>
                <c:pt idx="5">
                  <c:v>0.16</c:v>
                </c:pt>
                <c:pt idx="6">
                  <c:v>0.19</c:v>
                </c:pt>
                <c:pt idx="7">
                  <c:v>0.26</c:v>
                </c:pt>
                <c:pt idx="8">
                  <c:v>0.36</c:v>
                </c:pt>
                <c:pt idx="9">
                  <c:v>0.55000000000000004</c:v>
                </c:pt>
                <c:pt idx="10">
                  <c:v>0.6100000000000001</c:v>
                </c:pt>
                <c:pt idx="11">
                  <c:v>0.70000000000000007</c:v>
                </c:pt>
                <c:pt idx="12">
                  <c:v>0.78</c:v>
                </c:pt>
                <c:pt idx="13">
                  <c:v>0.85000000000000009</c:v>
                </c:pt>
                <c:pt idx="14">
                  <c:v>0.92000000000000015</c:v>
                </c:pt>
                <c:pt idx="15">
                  <c:v>0.9800000000000002</c:v>
                </c:pt>
                <c:pt idx="16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00-433E-BC8B-E0D28CEC3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41200"/>
        <c:axId val="1150833584"/>
      </c:lineChart>
      <c:catAx>
        <c:axId val="1150841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3584"/>
        <c:crosses val="autoZero"/>
        <c:auto val="1"/>
        <c:lblAlgn val="ctr"/>
        <c:lblOffset val="100"/>
        <c:noMultiLvlLbl val="0"/>
      </c:catAx>
      <c:valAx>
        <c:axId val="1150833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41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распределений</a:t>
            </a:r>
            <a:endParaRPr lang="ru-RU"/>
          </a:p>
        </c:rich>
      </c:tx>
      <c:layout>
        <c:manualLayout>
          <c:xMode val="edge"/>
          <c:yMode val="edge"/>
          <c:x val="0.2626585669089182"/>
          <c:y val="4.4444444444444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31485730522452"/>
          <c:y val="0.16484444444444446"/>
          <c:w val="0.8351899209004523"/>
          <c:h val="0.61260717410323717"/>
        </c:manualLayout>
      </c:layout>
      <c:lineChart>
        <c:grouping val="standard"/>
        <c:varyColors val="0"/>
        <c:ser>
          <c:idx val="0"/>
          <c:order val="0"/>
          <c:tx>
            <c:v>Эмпирическое распределение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'Биномиальное распределение'!$L$6:$L$22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распределение'!$H$6:$H$22</c:f>
              <c:numCache>
                <c:formatCode>General</c:formatCode>
                <c:ptCount val="17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0.04</c:v>
                </c:pt>
                <c:pt idx="4">
                  <c:v>0.05</c:v>
                </c:pt>
                <c:pt idx="5">
                  <c:v>0.04</c:v>
                </c:pt>
                <c:pt idx="6">
                  <c:v>0.03</c:v>
                </c:pt>
                <c:pt idx="7">
                  <c:v>7.0000000000000007E-2</c:v>
                </c:pt>
                <c:pt idx="8">
                  <c:v>0.1</c:v>
                </c:pt>
                <c:pt idx="9">
                  <c:v>0.19</c:v>
                </c:pt>
                <c:pt idx="10">
                  <c:v>0.06</c:v>
                </c:pt>
                <c:pt idx="11">
                  <c:v>0.09</c:v>
                </c:pt>
                <c:pt idx="12">
                  <c:v>0.08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0.06</c:v>
                </c:pt>
                <c:pt idx="1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2C-448C-847D-2E9BB1AD0B3B}"/>
            </c:ext>
          </c:extLst>
        </c:ser>
        <c:ser>
          <c:idx val="1"/>
          <c:order val="1"/>
          <c:tx>
            <c:v>Теоретическое распределение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'Биномиальное распределение'!$L$6:$L$22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распределение'!$M$6:$M$22</c:f>
              <c:numCache>
                <c:formatCode>General</c:formatCode>
                <c:ptCount val="17"/>
                <c:pt idx="0">
                  <c:v>1.9607480068467093E-5</c:v>
                </c:pt>
                <c:pt idx="1">
                  <c:v>2.459481900066912E-3</c:v>
                </c:pt>
                <c:pt idx="2">
                  <c:v>3.7451798555846335E-3</c:v>
                </c:pt>
                <c:pt idx="3">
                  <c:v>2.3098986814408414E-2</c:v>
                </c:pt>
                <c:pt idx="4">
                  <c:v>2.6367062198434273E-2</c:v>
                </c:pt>
                <c:pt idx="5">
                  <c:v>4.1766790335881918E-2</c:v>
                </c:pt>
                <c:pt idx="6">
                  <c:v>6.048983427955297E-2</c:v>
                </c:pt>
                <c:pt idx="7">
                  <c:v>8.0305469646992839E-2</c:v>
                </c:pt>
                <c:pt idx="8">
                  <c:v>9.7940609079453844E-2</c:v>
                </c:pt>
                <c:pt idx="9">
                  <c:v>0.10992989053573188</c:v>
                </c:pt>
                <c:pt idx="10">
                  <c:v>0.11372057641627448</c:v>
                </c:pt>
                <c:pt idx="11">
                  <c:v>0.1085514593064435</c:v>
                </c:pt>
                <c:pt idx="12">
                  <c:v>9.569453983836318E-2</c:v>
                </c:pt>
                <c:pt idx="13">
                  <c:v>7.7958051851081178E-2</c:v>
                </c:pt>
                <c:pt idx="14">
                  <c:v>5.8710477669917438E-2</c:v>
                </c:pt>
                <c:pt idx="15">
                  <c:v>4.0879311374942606E-2</c:v>
                </c:pt>
                <c:pt idx="16">
                  <c:v>2.6313119965480247E-2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2C-448C-847D-2E9BB1AD0B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30320"/>
        <c:axId val="1150838480"/>
      </c:lineChart>
      <c:catAx>
        <c:axId val="11508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8480"/>
        <c:crosses val="autoZero"/>
        <c:auto val="1"/>
        <c:lblAlgn val="ctr"/>
        <c:lblOffset val="100"/>
        <c:noMultiLvlLbl val="0"/>
      </c:catAx>
      <c:valAx>
        <c:axId val="11508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134105348513095E-2"/>
          <c:y val="0.88499947506561683"/>
          <c:w val="0.89999988769054717"/>
          <c:h val="7.5000524934383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распределений</a:t>
            </a:r>
            <a:endParaRPr lang="ru-RU"/>
          </a:p>
        </c:rich>
      </c:tx>
      <c:layout>
        <c:manualLayout>
          <c:xMode val="edge"/>
          <c:yMode val="edge"/>
          <c:x val="0.2626585669089182"/>
          <c:y val="4.44444444444444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1631485730522452"/>
          <c:y val="0.16484444444444446"/>
          <c:w val="0.8351899209004523"/>
          <c:h val="0.61260717410323717"/>
        </c:manualLayout>
      </c:layout>
      <c:lineChart>
        <c:grouping val="standard"/>
        <c:varyColors val="0"/>
        <c:ser>
          <c:idx val="0"/>
          <c:order val="0"/>
          <c:tx>
            <c:v>Эмпирическое распределение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Ref>
              <c:f>'Биномиальное распределение'!$L$6:$L$22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распределение'!$J$6:$J$22</c:f>
              <c:numCache>
                <c:formatCode>General</c:formatCode>
                <c:ptCount val="17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7.0000000000000007E-2</c:v>
                </c:pt>
                <c:pt idx="4">
                  <c:v>0.12000000000000001</c:v>
                </c:pt>
                <c:pt idx="5">
                  <c:v>0.16</c:v>
                </c:pt>
                <c:pt idx="6">
                  <c:v>0.19</c:v>
                </c:pt>
                <c:pt idx="7">
                  <c:v>0.26</c:v>
                </c:pt>
                <c:pt idx="8">
                  <c:v>0.36</c:v>
                </c:pt>
                <c:pt idx="9">
                  <c:v>0.55000000000000004</c:v>
                </c:pt>
                <c:pt idx="10">
                  <c:v>0.6100000000000001</c:v>
                </c:pt>
                <c:pt idx="11">
                  <c:v>0.70000000000000007</c:v>
                </c:pt>
                <c:pt idx="12">
                  <c:v>0.78</c:v>
                </c:pt>
                <c:pt idx="13">
                  <c:v>0.85000000000000009</c:v>
                </c:pt>
                <c:pt idx="14">
                  <c:v>0.92000000000000015</c:v>
                </c:pt>
                <c:pt idx="15">
                  <c:v>0.9800000000000002</c:v>
                </c:pt>
                <c:pt idx="16">
                  <c:v>1.0000000000000002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9-4E66-B3B6-6058D4767B1E}"/>
            </c:ext>
          </c:extLst>
        </c:ser>
        <c:ser>
          <c:idx val="1"/>
          <c:order val="1"/>
          <c:tx>
            <c:v>Теоретическое распределение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f>'Биномиальное распределение'!$L$6:$L$22</c:f>
              <c:numCache>
                <c:formatCode>General</c:formatCode>
                <c:ptCount val="17"/>
                <c:pt idx="0">
                  <c:v>7</c:v>
                </c:pt>
                <c:pt idx="1">
                  <c:v>11</c:v>
                </c:pt>
                <c:pt idx="2">
                  <c:v>12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24</c:v>
                </c:pt>
                <c:pt idx="14">
                  <c:v>25</c:v>
                </c:pt>
                <c:pt idx="15">
                  <c:v>26</c:v>
                </c:pt>
                <c:pt idx="16">
                  <c:v>27</c:v>
                </c:pt>
              </c:numCache>
            </c:numRef>
          </c:cat>
          <c:val>
            <c:numRef>
              <c:f>'Биномиальное распределение'!$Q$6:$Q$22</c:f>
              <c:numCache>
                <c:formatCode>General</c:formatCode>
                <c:ptCount val="17"/>
                <c:pt idx="0">
                  <c:v>1.9607535279150754E-5</c:v>
                </c:pt>
                <c:pt idx="1">
                  <c:v>2.4790894353460629E-3</c:v>
                </c:pt>
                <c:pt idx="2">
                  <c:v>6.2242692909306964E-3</c:v>
                </c:pt>
                <c:pt idx="3">
                  <c:v>2.9323256105339111E-2</c:v>
                </c:pt>
                <c:pt idx="4">
                  <c:v>5.5690318303773384E-2</c:v>
                </c:pt>
                <c:pt idx="5">
                  <c:v>9.7457108639655302E-2</c:v>
                </c:pt>
                <c:pt idx="6">
                  <c:v>0.15794694291920827</c:v>
                </c:pt>
                <c:pt idx="7">
                  <c:v>0.23825241256620111</c:v>
                </c:pt>
                <c:pt idx="8">
                  <c:v>0.33619302164565495</c:v>
                </c:pt>
                <c:pt idx="9">
                  <c:v>0.44612291218138683</c:v>
                </c:pt>
                <c:pt idx="10">
                  <c:v>0.55984348859766131</c:v>
                </c:pt>
                <c:pt idx="11">
                  <c:v>0.66839494790410481</c:v>
                </c:pt>
                <c:pt idx="12">
                  <c:v>0.76408948774246799</c:v>
                </c:pt>
                <c:pt idx="13">
                  <c:v>0.84204753959354917</c:v>
                </c:pt>
                <c:pt idx="14">
                  <c:v>0.9007580172634666</c:v>
                </c:pt>
                <c:pt idx="15">
                  <c:v>0.94163732863840921</c:v>
                </c:pt>
                <c:pt idx="16">
                  <c:v>0.96795044860388946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9-4E66-B3B6-6058D47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0830320"/>
        <c:axId val="1150838480"/>
      </c:lineChart>
      <c:catAx>
        <c:axId val="115083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8480"/>
        <c:crosses val="autoZero"/>
        <c:auto val="1"/>
        <c:lblAlgn val="ctr"/>
        <c:lblOffset val="100"/>
        <c:noMultiLvlLbl val="0"/>
      </c:catAx>
      <c:valAx>
        <c:axId val="1150838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5083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9134105348513095E-2"/>
          <c:y val="0.88499947506561683"/>
          <c:w val="0.88455284552845526"/>
          <c:h val="7.50005249343832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025371828521435E-2"/>
          <c:y val="0.17171296296296296"/>
          <c:w val="0.88341907261592301"/>
          <c:h val="0.59041119860017499"/>
        </c:manualLayout>
      </c:layout>
      <c:barChart>
        <c:barDir val="col"/>
        <c:grouping val="clustered"/>
        <c:varyColors val="0"/>
        <c:ser>
          <c:idx val="0"/>
          <c:order val="0"/>
          <c:tx>
            <c:v>Абсолютные частоты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'Показательное распределение'!$J$6:$J$11</c:f>
              <c:numCache>
                <c:formatCode>0.00000</c:formatCode>
                <c:ptCount val="6"/>
                <c:pt idx="0">
                  <c:v>13.883601353685542</c:v>
                </c:pt>
                <c:pt idx="1">
                  <c:v>59.645005474690066</c:v>
                </c:pt>
                <c:pt idx="2">
                  <c:v>89.359972659980656</c:v>
                </c:pt>
                <c:pt idx="3">
                  <c:v>119.07493984527125</c:v>
                </c:pt>
                <c:pt idx="4">
                  <c:v>148.78990703056184</c:v>
                </c:pt>
                <c:pt idx="5">
                  <c:v>237.93480858643358</c:v>
                </c:pt>
              </c:numCache>
            </c:numRef>
          </c:cat>
          <c:val>
            <c:numRef>
              <c:f>'Показательное распределение'!$K$6:$K$11</c:f>
              <c:numCache>
                <c:formatCode>General</c:formatCode>
                <c:ptCount val="6"/>
                <c:pt idx="0" formatCode="0">
                  <c:v>38</c:v>
                </c:pt>
                <c:pt idx="1">
                  <c:v>19</c:v>
                </c:pt>
                <c:pt idx="2">
                  <c:v>4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85-4FAB-95FF-82680B95A0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578752"/>
        <c:axId val="749582080"/>
      </c:barChart>
      <c:catAx>
        <c:axId val="749578752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82080"/>
        <c:crosses val="autoZero"/>
        <c:auto val="1"/>
        <c:lblAlgn val="ctr"/>
        <c:lblOffset val="100"/>
        <c:noMultiLvlLbl val="0"/>
      </c:catAx>
      <c:valAx>
        <c:axId val="7495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374766012757012"/>
          <c:y val="4.4296773032403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025371828521435E-2"/>
          <c:y val="0.17171296296296296"/>
          <c:w val="0.88341907261592301"/>
          <c:h val="0.59041119860017499"/>
        </c:manualLayout>
      </c:layout>
      <c:barChart>
        <c:barDir val="col"/>
        <c:grouping val="clustered"/>
        <c:varyColors val="0"/>
        <c:ser>
          <c:idx val="0"/>
          <c:order val="0"/>
          <c:tx>
            <c:v>Относительные частоты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'Показательное распределение'!$J$6:$J$11</c:f>
              <c:numCache>
                <c:formatCode>0.00000</c:formatCode>
                <c:ptCount val="6"/>
                <c:pt idx="0">
                  <c:v>13.883601353685542</c:v>
                </c:pt>
                <c:pt idx="1">
                  <c:v>59.645005474690066</c:v>
                </c:pt>
                <c:pt idx="2">
                  <c:v>89.359972659980656</c:v>
                </c:pt>
                <c:pt idx="3">
                  <c:v>119.07493984527125</c:v>
                </c:pt>
                <c:pt idx="4">
                  <c:v>148.78990703056184</c:v>
                </c:pt>
                <c:pt idx="5">
                  <c:v>237.93480858643358</c:v>
                </c:pt>
              </c:numCache>
            </c:numRef>
          </c:cat>
          <c:val>
            <c:numRef>
              <c:f>'Показательное распределение'!$L$6:$L$11</c:f>
              <c:numCache>
                <c:formatCode>General</c:formatCode>
                <c:ptCount val="6"/>
                <c:pt idx="0">
                  <c:v>0.5757575757575758</c:v>
                </c:pt>
                <c:pt idx="1">
                  <c:v>0.2878787878787879</c:v>
                </c:pt>
                <c:pt idx="2">
                  <c:v>6.0606060606060608E-2</c:v>
                </c:pt>
                <c:pt idx="3">
                  <c:v>4.5454545454545456E-2</c:v>
                </c:pt>
                <c:pt idx="4">
                  <c:v>1.5151515151515152E-2</c:v>
                </c:pt>
                <c:pt idx="5">
                  <c:v>1.5151515151515152E-2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6-4F80-9946-B2DEBCDEF0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578752"/>
        <c:axId val="749582080"/>
      </c:barChart>
      <c:catAx>
        <c:axId val="749578752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82080"/>
        <c:crosses val="autoZero"/>
        <c:auto val="1"/>
        <c:lblAlgn val="ctr"/>
        <c:lblOffset val="100"/>
        <c:noMultiLvlLbl val="0"/>
      </c:catAx>
      <c:valAx>
        <c:axId val="7495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374766012757012"/>
          <c:y val="4.42967730324036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8.6025371828521435E-2"/>
          <c:y val="0.17171296296296296"/>
          <c:w val="0.88341907261592301"/>
          <c:h val="0.59041119860017499"/>
        </c:manualLayout>
      </c:layout>
      <c:barChart>
        <c:barDir val="col"/>
        <c:grouping val="clustered"/>
        <c:varyColors val="0"/>
        <c:ser>
          <c:idx val="0"/>
          <c:order val="0"/>
          <c:tx>
            <c:v>Накопленные частоты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numRef>
              <c:f>'Показательное распределение'!$J$6:$J$11</c:f>
              <c:numCache>
                <c:formatCode>0.00000</c:formatCode>
                <c:ptCount val="6"/>
                <c:pt idx="0">
                  <c:v>13.883601353685542</c:v>
                </c:pt>
                <c:pt idx="1">
                  <c:v>59.645005474690066</c:v>
                </c:pt>
                <c:pt idx="2">
                  <c:v>89.359972659980656</c:v>
                </c:pt>
                <c:pt idx="3">
                  <c:v>119.07493984527125</c:v>
                </c:pt>
                <c:pt idx="4">
                  <c:v>148.78990703056184</c:v>
                </c:pt>
                <c:pt idx="5">
                  <c:v>237.93480858643358</c:v>
                </c:pt>
              </c:numCache>
            </c:numRef>
          </c:cat>
          <c:val>
            <c:numRef>
              <c:f>'Показательное распределение'!$M$6:$M$11</c:f>
              <c:numCache>
                <c:formatCode>General</c:formatCode>
                <c:ptCount val="6"/>
                <c:pt idx="0">
                  <c:v>0.5757575757575758</c:v>
                </c:pt>
                <c:pt idx="1">
                  <c:v>0.86363636363636376</c:v>
                </c:pt>
                <c:pt idx="2">
                  <c:v>0.92424242424242431</c:v>
                </c:pt>
                <c:pt idx="3">
                  <c:v>0.96969696969696972</c:v>
                </c:pt>
                <c:pt idx="4">
                  <c:v>0.98484848484848486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0A-4840-9ED1-1130E05746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9578752"/>
        <c:axId val="749582080"/>
      </c:barChart>
      <c:catAx>
        <c:axId val="749578752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82080"/>
        <c:crosses val="autoZero"/>
        <c:auto val="1"/>
        <c:lblAlgn val="ctr"/>
        <c:lblOffset val="100"/>
        <c:noMultiLvlLbl val="0"/>
      </c:catAx>
      <c:valAx>
        <c:axId val="74958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9578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плотностей вероятности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637983844252478"/>
          <c:y val="0.16484444444444443"/>
          <c:w val="0.59202792854776654"/>
          <c:h val="0.62465091863517064"/>
        </c:manualLayout>
      </c:layout>
      <c:lineChart>
        <c:grouping val="standard"/>
        <c:varyColors val="0"/>
        <c:ser>
          <c:idx val="0"/>
          <c:order val="0"/>
          <c:tx>
            <c:v>Теоретическая плотность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'Показательное распределение'!$O$6:$P$11</c:f>
              <c:strCache>
                <c:ptCount val="6"/>
                <c:pt idx="0">
                  <c:v>13,88360</c:v>
                </c:pt>
                <c:pt idx="1">
                  <c:v>59,64501</c:v>
                </c:pt>
                <c:pt idx="2">
                  <c:v>89,35997</c:v>
                </c:pt>
                <c:pt idx="3">
                  <c:v>119,07494</c:v>
                </c:pt>
                <c:pt idx="4">
                  <c:v>148,78991</c:v>
                </c:pt>
                <c:pt idx="5">
                  <c:v>237,93481</c:v>
                </c:pt>
              </c:strCache>
            </c:strRef>
          </c:cat>
          <c:val>
            <c:numRef>
              <c:f>'Показательное распределение'!$Q$6:$Q$11</c:f>
              <c:numCache>
                <c:formatCode>0.000000</c:formatCode>
                <c:ptCount val="6"/>
                <c:pt idx="0">
                  <c:v>3.0163240041549303E-2</c:v>
                </c:pt>
                <c:pt idx="1">
                  <c:v>9.1917589613441115E-3</c:v>
                </c:pt>
                <c:pt idx="2">
                  <c:v>5.0733836106972149E-3</c:v>
                </c:pt>
                <c:pt idx="3">
                  <c:v>2.8002498074130608E-3</c:v>
                </c:pt>
                <c:pt idx="4">
                  <c:v>1.5455955207848496E-3</c:v>
                </c:pt>
                <c:pt idx="5">
                  <c:v>2.5989209724891076E-4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8D-46F5-BFF1-AE24C01AE785}"/>
            </c:ext>
          </c:extLst>
        </c:ser>
        <c:ser>
          <c:idx val="1"/>
          <c:order val="1"/>
          <c:tx>
            <c:v>Эмпирическая плотность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'Показательное распределение'!$O$6:$P$11</c:f>
              <c:strCache>
                <c:ptCount val="6"/>
                <c:pt idx="0">
                  <c:v>13,88360</c:v>
                </c:pt>
                <c:pt idx="1">
                  <c:v>59,64501</c:v>
                </c:pt>
                <c:pt idx="2">
                  <c:v>89,35997</c:v>
                </c:pt>
                <c:pt idx="3">
                  <c:v>119,07494</c:v>
                </c:pt>
                <c:pt idx="4">
                  <c:v>148,78991</c:v>
                </c:pt>
                <c:pt idx="5">
                  <c:v>237,93481</c:v>
                </c:pt>
              </c:strCache>
            </c:strRef>
          </c:cat>
          <c:val>
            <c:numRef>
              <c:f>'Показательное распределение'!$R$6:$R$11</c:f>
              <c:numCache>
                <c:formatCode>General</c:formatCode>
                <c:ptCount val="6"/>
                <c:pt idx="0">
                  <c:v>4.2166362695842494E-2</c:v>
                </c:pt>
                <c:pt idx="1">
                  <c:v>2.1083181347921247E-2</c:v>
                </c:pt>
                <c:pt idx="2">
                  <c:v>4.4385644942992099E-3</c:v>
                </c:pt>
                <c:pt idx="3">
                  <c:v>3.3289233707244075E-3</c:v>
                </c:pt>
                <c:pt idx="4">
                  <c:v>1.1096411235748025E-3</c:v>
                </c:pt>
                <c:pt idx="5">
                  <c:v>1.1096411235748025E-3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8D-46F5-BFF1-AE24C01AE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535008"/>
        <c:axId val="2005533344"/>
      </c:lineChart>
      <c:catAx>
        <c:axId val="20055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533344"/>
        <c:crosses val="autoZero"/>
        <c:auto val="1"/>
        <c:lblAlgn val="ctr"/>
        <c:lblOffset val="100"/>
        <c:noMultiLvlLbl val="0"/>
      </c:catAx>
      <c:valAx>
        <c:axId val="20055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Плотность</a:t>
                </a:r>
                <a:r>
                  <a:rPr lang="ru-RU" baseline="0"/>
                  <a:t> вероятности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53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29773462783168"/>
          <c:y val="0.36742152230971131"/>
          <c:w val="0.22016828478964401"/>
          <c:h val="0.310001049868766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Сравнение</a:t>
            </a:r>
            <a:r>
              <a:rPr lang="ru-RU" baseline="0"/>
              <a:t> распределений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4637983844252478"/>
          <c:y val="0.16484444444444443"/>
          <c:w val="0.59202792854776654"/>
          <c:h val="0.62465091863517064"/>
        </c:manualLayout>
      </c:layout>
      <c:lineChart>
        <c:grouping val="standard"/>
        <c:varyColors val="0"/>
        <c:ser>
          <c:idx val="0"/>
          <c:order val="0"/>
          <c:tx>
            <c:v>Теоретическое распределение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'Показательное распределение'!$O$6:$P$11</c:f>
              <c:strCache>
                <c:ptCount val="6"/>
                <c:pt idx="0">
                  <c:v>13,88360</c:v>
                </c:pt>
                <c:pt idx="1">
                  <c:v>59,64501</c:v>
                </c:pt>
                <c:pt idx="2">
                  <c:v>89,35997</c:v>
                </c:pt>
                <c:pt idx="3">
                  <c:v>119,07494</c:v>
                </c:pt>
                <c:pt idx="4">
                  <c:v>148,78991</c:v>
                </c:pt>
                <c:pt idx="5">
                  <c:v>237,93481</c:v>
                </c:pt>
              </c:strCache>
            </c:strRef>
          </c:cat>
          <c:val>
            <c:numRef>
              <c:f>'Показательное распределение'!$S$6:$S$11</c:f>
              <c:numCache>
                <c:formatCode>General</c:formatCode>
                <c:ptCount val="6"/>
                <c:pt idx="0">
                  <c:v>0.24591899896126745</c:v>
                </c:pt>
                <c:pt idx="1">
                  <c:v>0.7702060259663972</c:v>
                </c:pt>
                <c:pt idx="2">
                  <c:v>0.94921222295470775</c:v>
                </c:pt>
                <c:pt idx="3">
                  <c:v>0.98452761180007919</c:v>
                </c:pt>
                <c:pt idx="4">
                  <c:v>0.99528636986030006</c:v>
                </c:pt>
                <c:pt idx="5">
                  <c:v>0.99956252645052623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D2-486A-AEE0-113A7FC81BEE}"/>
            </c:ext>
          </c:extLst>
        </c:ser>
        <c:ser>
          <c:idx val="1"/>
          <c:order val="1"/>
          <c:tx>
            <c:v>Эмпирическое распределение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'Показательное распределение'!$O$6:$P$11</c:f>
              <c:strCache>
                <c:ptCount val="6"/>
                <c:pt idx="0">
                  <c:v>13,88360</c:v>
                </c:pt>
                <c:pt idx="1">
                  <c:v>59,64501</c:v>
                </c:pt>
                <c:pt idx="2">
                  <c:v>89,35997</c:v>
                </c:pt>
                <c:pt idx="3">
                  <c:v>119,07494</c:v>
                </c:pt>
                <c:pt idx="4">
                  <c:v>148,78991</c:v>
                </c:pt>
                <c:pt idx="5">
                  <c:v>237,93481</c:v>
                </c:pt>
              </c:strCache>
            </c:strRef>
          </c:cat>
          <c:val>
            <c:numRef>
              <c:f>'Показательное распределение'!$M$6:$M$11</c:f>
              <c:numCache>
                <c:formatCode>General</c:formatCode>
                <c:ptCount val="6"/>
                <c:pt idx="0">
                  <c:v>0.5757575757575758</c:v>
                </c:pt>
                <c:pt idx="1">
                  <c:v>0.86363636363636376</c:v>
                </c:pt>
                <c:pt idx="2">
                  <c:v>0.92424242424242431</c:v>
                </c:pt>
                <c:pt idx="3">
                  <c:v>0.96969696969696972</c:v>
                </c:pt>
                <c:pt idx="4">
                  <c:v>0.98484848484848486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D2-486A-AEE0-113A7FC81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5535008"/>
        <c:axId val="2005533344"/>
      </c:lineChart>
      <c:catAx>
        <c:axId val="2005535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533344"/>
        <c:crosses val="autoZero"/>
        <c:auto val="1"/>
        <c:lblAlgn val="ctr"/>
        <c:lblOffset val="100"/>
        <c:noMultiLvlLbl val="0"/>
      </c:catAx>
      <c:valAx>
        <c:axId val="200553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Вероятность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0553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429773462783168"/>
          <c:y val="0.36742152230971131"/>
          <c:w val="0.23163754045307444"/>
          <c:h val="0.2466687664041994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1413510</xdr:colOff>
      <xdr:row>28</xdr:row>
      <xdr:rowOff>3810</xdr:rowOff>
    </xdr:from>
    <xdr:to>
      <xdr:col>8</xdr:col>
      <xdr:colOff>201930</xdr:colOff>
      <xdr:row>43</xdr:row>
      <xdr:rowOff>3810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422910</xdr:colOff>
      <xdr:row>28</xdr:row>
      <xdr:rowOff>26670</xdr:rowOff>
    </xdr:from>
    <xdr:to>
      <xdr:col>14</xdr:col>
      <xdr:colOff>560070</xdr:colOff>
      <xdr:row>43</xdr:row>
      <xdr:rowOff>26670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1451610</xdr:colOff>
      <xdr:row>44</xdr:row>
      <xdr:rowOff>87630</xdr:rowOff>
    </xdr:from>
    <xdr:to>
      <xdr:col>8</xdr:col>
      <xdr:colOff>240030</xdr:colOff>
      <xdr:row>59</xdr:row>
      <xdr:rowOff>87630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381000</xdr:colOff>
      <xdr:row>44</xdr:row>
      <xdr:rowOff>85725</xdr:rowOff>
    </xdr:from>
    <xdr:to>
      <xdr:col>14</xdr:col>
      <xdr:colOff>518160</xdr:colOff>
      <xdr:row>59</xdr:row>
      <xdr:rowOff>85725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36023A3-E2C3-4B76-9766-4382B65756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1409700</xdr:colOff>
      <xdr:row>60</xdr:row>
      <xdr:rowOff>152400</xdr:rowOff>
    </xdr:from>
    <xdr:to>
      <xdr:col>8</xdr:col>
      <xdr:colOff>241935</xdr:colOff>
      <xdr:row>75</xdr:row>
      <xdr:rowOff>152400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DF6B763-A272-4588-A7BA-A5FCC6D77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628649</xdr:colOff>
      <xdr:row>14</xdr:row>
      <xdr:rowOff>190499</xdr:rowOff>
    </xdr:from>
    <xdr:to>
      <xdr:col>14</xdr:col>
      <xdr:colOff>9524</xdr:colOff>
      <xdr:row>30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8108D1F-5D5A-4847-AFB0-F7014B9E8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31</xdr:row>
      <xdr:rowOff>0</xdr:rowOff>
    </xdr:from>
    <xdr:to>
      <xdr:col>14</xdr:col>
      <xdr:colOff>9525</xdr:colOff>
      <xdr:row>46</xdr:row>
      <xdr:rowOff>9526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D2F4697-E101-4313-8B9E-C4B8DE839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47</xdr:row>
      <xdr:rowOff>0</xdr:rowOff>
    </xdr:from>
    <xdr:to>
      <xdr:col>14</xdr:col>
      <xdr:colOff>9525</xdr:colOff>
      <xdr:row>62</xdr:row>
      <xdr:rowOff>9526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AEDE584-EED6-4063-8770-37C64D69B5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638174</xdr:colOff>
      <xdr:row>15</xdr:row>
      <xdr:rowOff>0</xdr:rowOff>
    </xdr:from>
    <xdr:to>
      <xdr:col>22</xdr:col>
      <xdr:colOff>609599</xdr:colOff>
      <xdr:row>30</xdr:row>
      <xdr:rowOff>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79099DAA-2FC1-4E35-A026-4F7E0149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31</xdr:row>
      <xdr:rowOff>0</xdr:rowOff>
    </xdr:from>
    <xdr:to>
      <xdr:col>23</xdr:col>
      <xdr:colOff>0</xdr:colOff>
      <xdr:row>46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4695E2B-03FA-4692-A362-2AEED343F2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"/>
  <sheetViews>
    <sheetView tabSelected="1" topLeftCell="D7" zoomScale="70" zoomScaleNormal="70" workbookViewId="0">
      <selection activeCell="V19" sqref="V19"/>
    </sheetView>
  </sheetViews>
  <sheetFormatPr defaultRowHeight="14.4" x14ac:dyDescent="0.3"/>
  <cols>
    <col min="2" max="2" width="30.5546875" customWidth="1"/>
    <col min="3" max="3" width="22.21875" customWidth="1"/>
    <col min="4" max="4" width="21.5546875" customWidth="1"/>
    <col min="5" max="5" width="15.6640625" customWidth="1"/>
    <col min="6" max="6" width="16.6640625" customWidth="1"/>
    <col min="7" max="7" width="14.6640625" customWidth="1"/>
    <col min="8" max="8" width="15.5546875" customWidth="1"/>
    <col min="9" max="9" width="13.21875" customWidth="1"/>
    <col min="10" max="10" width="15.6640625" customWidth="1"/>
    <col min="12" max="12" width="8.21875" customWidth="1"/>
    <col min="16" max="16" width="9.5546875" customWidth="1"/>
    <col min="19" max="19" width="18.21875" customWidth="1"/>
  </cols>
  <sheetData>
    <row r="1" spans="1:20" x14ac:dyDescent="0.3">
      <c r="A1" t="s">
        <v>0</v>
      </c>
    </row>
    <row r="2" spans="1:20" x14ac:dyDescent="0.3">
      <c r="A2" t="s">
        <v>44</v>
      </c>
    </row>
    <row r="3" spans="1:20" x14ac:dyDescent="0.3">
      <c r="A3" t="s">
        <v>45</v>
      </c>
    </row>
    <row r="5" spans="1:20" x14ac:dyDescent="0.3">
      <c r="B5" t="s">
        <v>1</v>
      </c>
      <c r="C5" t="s">
        <v>2</v>
      </c>
      <c r="E5" s="10" t="s">
        <v>3</v>
      </c>
      <c r="F5" s="10"/>
      <c r="G5" s="28" t="s">
        <v>4</v>
      </c>
      <c r="H5" s="28"/>
      <c r="I5" s="30" t="s">
        <v>5</v>
      </c>
      <c r="J5" s="30"/>
      <c r="L5">
        <v>1</v>
      </c>
      <c r="M5" s="22" t="s">
        <v>18</v>
      </c>
      <c r="N5" s="22"/>
      <c r="O5" s="27" t="s">
        <v>19</v>
      </c>
      <c r="P5" s="27"/>
      <c r="Q5" s="22" t="s">
        <v>46</v>
      </c>
      <c r="R5" s="22"/>
      <c r="S5" s="22" t="s">
        <v>46</v>
      </c>
      <c r="T5" s="22"/>
    </row>
    <row r="6" spans="1:20" x14ac:dyDescent="0.3">
      <c r="B6">
        <v>22</v>
      </c>
      <c r="C6" cm="1">
        <f t="array" ref="C6:C105">_xlfn._xlws.SORT($B$6:$B$105)</f>
        <v>7</v>
      </c>
      <c r="E6" s="10" cm="1">
        <f t="array" ref="E6:E22">_xlfn.UNIQUE($C$6:$C$105,FALSE)</f>
        <v>7</v>
      </c>
      <c r="F6" s="10">
        <f>COUNTIF(C$6:C$105, $E6)</f>
        <v>1</v>
      </c>
      <c r="G6" s="11">
        <f>$E6</f>
        <v>7</v>
      </c>
      <c r="H6" s="11">
        <f>$F6/SUM(F$6:F$22)</f>
        <v>0.01</v>
      </c>
      <c r="I6" s="12">
        <f>$G6</f>
        <v>7</v>
      </c>
      <c r="J6" s="12">
        <f>$H6</f>
        <v>0.01</v>
      </c>
      <c r="L6" cm="1">
        <f t="array" ref="L6:L22">_xlfn.UNIQUE($C$6:$C$105,FALSE)</f>
        <v>7</v>
      </c>
      <c r="M6" s="22">
        <f>_xlfn.BINOM.DIST($L6,50,0.42,TRUE)-_xlfn.BINOM.DIST($L5,50,0.42,TRUE)</f>
        <v>1.9607480068467093E-5</v>
      </c>
      <c r="N6" s="22"/>
      <c r="O6" s="25">
        <v>0.01</v>
      </c>
      <c r="P6" s="26"/>
      <c r="Q6" s="22">
        <f>_xlfn.BINOM.DIST($L6,50,0.42,TRUE)</f>
        <v>1.9607535279150754E-5</v>
      </c>
      <c r="R6" s="22"/>
      <c r="S6" s="12">
        <f>$H6</f>
        <v>0.01</v>
      </c>
    </row>
    <row r="7" spans="1:20" x14ac:dyDescent="0.3">
      <c r="B7">
        <v>15</v>
      </c>
      <c r="C7">
        <v>11</v>
      </c>
      <c r="E7" s="10">
        <v>11</v>
      </c>
      <c r="F7" s="10">
        <f t="shared" ref="F7:F22" si="0">COUNTIF(C$6:C$105, $E7)</f>
        <v>1</v>
      </c>
      <c r="G7" s="11">
        <f t="shared" ref="G7:G22" si="1">$E7</f>
        <v>11</v>
      </c>
      <c r="H7" s="11">
        <f t="shared" ref="H7:H22" si="2">$F7/SUM(F$6:F$22)</f>
        <v>0.01</v>
      </c>
      <c r="I7" s="12">
        <f t="shared" ref="I7:I22" si="3">$G7</f>
        <v>11</v>
      </c>
      <c r="J7" s="12">
        <f>$J6+$H7</f>
        <v>0.02</v>
      </c>
      <c r="L7">
        <v>11</v>
      </c>
      <c r="M7" s="22">
        <f>_xlfn.BINOM.DIST($L7,50,0.42,TRUE)-_xlfn.BINOM.DIST($L6,50,0.42,TRUE)</f>
        <v>2.459481900066912E-3</v>
      </c>
      <c r="N7" s="22"/>
      <c r="O7" s="25">
        <v>0.01</v>
      </c>
      <c r="P7" s="26"/>
      <c r="Q7" s="22">
        <f t="shared" ref="Q7:Q22" si="4">_xlfn.BINOM.DIST($L7,50,0.42,TRUE)</f>
        <v>2.4790894353460629E-3</v>
      </c>
      <c r="R7" s="22"/>
      <c r="S7" s="12">
        <f>$J6+$H7</f>
        <v>0.02</v>
      </c>
    </row>
    <row r="8" spans="1:20" x14ac:dyDescent="0.3">
      <c r="B8">
        <v>26</v>
      </c>
      <c r="C8">
        <v>12</v>
      </c>
      <c r="E8" s="10">
        <v>12</v>
      </c>
      <c r="F8" s="10">
        <f t="shared" si="0"/>
        <v>1</v>
      </c>
      <c r="G8" s="11">
        <f t="shared" si="1"/>
        <v>12</v>
      </c>
      <c r="H8" s="11">
        <f t="shared" si="2"/>
        <v>0.01</v>
      </c>
      <c r="I8" s="12">
        <f t="shared" si="3"/>
        <v>12</v>
      </c>
      <c r="J8" s="12">
        <f t="shared" ref="J8:J22" si="5">$J7+$H8</f>
        <v>0.03</v>
      </c>
      <c r="L8">
        <v>12</v>
      </c>
      <c r="M8" s="22">
        <f t="shared" ref="M8:M22" si="6">_xlfn.BINOM.DIST($L8,50,0.42,TRUE)-_xlfn.BINOM.DIST($L7,50,0.42,TRUE)</f>
        <v>3.7451798555846335E-3</v>
      </c>
      <c r="N8" s="22"/>
      <c r="O8" s="25">
        <v>0.01</v>
      </c>
      <c r="P8" s="26"/>
      <c r="Q8" s="22">
        <f t="shared" si="4"/>
        <v>6.2242692909306964E-3</v>
      </c>
      <c r="R8" s="22"/>
      <c r="S8" s="12">
        <f t="shared" ref="S8:S22" si="7">$J7+$H8</f>
        <v>0.03</v>
      </c>
    </row>
    <row r="9" spans="1:20" x14ac:dyDescent="0.3">
      <c r="B9">
        <v>23</v>
      </c>
      <c r="C9">
        <v>14</v>
      </c>
      <c r="E9" s="10">
        <v>14</v>
      </c>
      <c r="F9" s="10">
        <f t="shared" si="0"/>
        <v>4</v>
      </c>
      <c r="G9" s="11">
        <f t="shared" si="1"/>
        <v>14</v>
      </c>
      <c r="H9" s="11">
        <f t="shared" si="2"/>
        <v>0.04</v>
      </c>
      <c r="I9" s="12">
        <f t="shared" si="3"/>
        <v>14</v>
      </c>
      <c r="J9" s="12">
        <f t="shared" si="5"/>
        <v>7.0000000000000007E-2</v>
      </c>
      <c r="L9">
        <v>14</v>
      </c>
      <c r="M9" s="22">
        <f t="shared" si="6"/>
        <v>2.3098986814408414E-2</v>
      </c>
      <c r="N9" s="22"/>
      <c r="O9" s="25">
        <v>0.04</v>
      </c>
      <c r="P9" s="26"/>
      <c r="Q9" s="22">
        <f t="shared" si="4"/>
        <v>2.9323256105339111E-2</v>
      </c>
      <c r="R9" s="22"/>
      <c r="S9" s="12">
        <f t="shared" si="7"/>
        <v>7.0000000000000007E-2</v>
      </c>
    </row>
    <row r="10" spans="1:20" x14ac:dyDescent="0.3">
      <c r="B10">
        <v>17</v>
      </c>
      <c r="C10">
        <v>14</v>
      </c>
      <c r="E10" s="10">
        <v>15</v>
      </c>
      <c r="F10" s="10">
        <f t="shared" si="0"/>
        <v>5</v>
      </c>
      <c r="G10" s="11">
        <f t="shared" si="1"/>
        <v>15</v>
      </c>
      <c r="H10" s="11">
        <f t="shared" si="2"/>
        <v>0.05</v>
      </c>
      <c r="I10" s="12">
        <f t="shared" si="3"/>
        <v>15</v>
      </c>
      <c r="J10" s="12">
        <f t="shared" si="5"/>
        <v>0.12000000000000001</v>
      </c>
      <c r="L10">
        <v>15</v>
      </c>
      <c r="M10" s="22">
        <f t="shared" si="6"/>
        <v>2.6367062198434273E-2</v>
      </c>
      <c r="N10" s="22"/>
      <c r="O10" s="25">
        <v>0.05</v>
      </c>
      <c r="P10" s="26"/>
      <c r="Q10" s="22">
        <f t="shared" si="4"/>
        <v>5.5690318303773384E-2</v>
      </c>
      <c r="R10" s="22"/>
      <c r="S10" s="12">
        <f t="shared" si="7"/>
        <v>0.12000000000000001</v>
      </c>
    </row>
    <row r="11" spans="1:20" x14ac:dyDescent="0.3">
      <c r="B11">
        <v>20</v>
      </c>
      <c r="C11">
        <v>14</v>
      </c>
      <c r="E11" s="10">
        <v>16</v>
      </c>
      <c r="F11" s="10">
        <f t="shared" si="0"/>
        <v>4</v>
      </c>
      <c r="G11" s="11">
        <f t="shared" si="1"/>
        <v>16</v>
      </c>
      <c r="H11" s="11">
        <f t="shared" si="2"/>
        <v>0.04</v>
      </c>
      <c r="I11" s="12">
        <f t="shared" si="3"/>
        <v>16</v>
      </c>
      <c r="J11" s="12">
        <f t="shared" si="5"/>
        <v>0.16</v>
      </c>
      <c r="L11">
        <v>16</v>
      </c>
      <c r="M11" s="22">
        <f t="shared" si="6"/>
        <v>4.1766790335881918E-2</v>
      </c>
      <c r="N11" s="22"/>
      <c r="O11" s="25">
        <v>0.04</v>
      </c>
      <c r="P11" s="26"/>
      <c r="Q11" s="22">
        <f t="shared" si="4"/>
        <v>9.7457108639655302E-2</v>
      </c>
      <c r="R11" s="22"/>
      <c r="S11" s="12">
        <f t="shared" si="7"/>
        <v>0.16</v>
      </c>
    </row>
    <row r="12" spans="1:20" x14ac:dyDescent="0.3">
      <c r="B12">
        <v>15</v>
      </c>
      <c r="C12">
        <v>14</v>
      </c>
      <c r="E12" s="10">
        <v>17</v>
      </c>
      <c r="F12" s="10">
        <f t="shared" si="0"/>
        <v>3</v>
      </c>
      <c r="G12" s="11">
        <f t="shared" si="1"/>
        <v>17</v>
      </c>
      <c r="H12" s="11">
        <f t="shared" si="2"/>
        <v>0.03</v>
      </c>
      <c r="I12" s="12">
        <f t="shared" si="3"/>
        <v>17</v>
      </c>
      <c r="J12" s="12">
        <f t="shared" si="5"/>
        <v>0.19</v>
      </c>
      <c r="L12">
        <v>17</v>
      </c>
      <c r="M12" s="22">
        <f t="shared" si="6"/>
        <v>6.048983427955297E-2</v>
      </c>
      <c r="N12" s="22"/>
      <c r="O12" s="25">
        <v>0.03</v>
      </c>
      <c r="P12" s="26"/>
      <c r="Q12" s="22">
        <f t="shared" si="4"/>
        <v>0.15794694291920827</v>
      </c>
      <c r="R12" s="22"/>
      <c r="S12" s="12">
        <f t="shared" si="7"/>
        <v>0.19</v>
      </c>
    </row>
    <row r="13" spans="1:20" x14ac:dyDescent="0.3">
      <c r="B13">
        <v>18</v>
      </c>
      <c r="C13">
        <v>15</v>
      </c>
      <c r="E13" s="10">
        <v>18</v>
      </c>
      <c r="F13" s="10">
        <f t="shared" si="0"/>
        <v>7</v>
      </c>
      <c r="G13" s="11">
        <f t="shared" si="1"/>
        <v>18</v>
      </c>
      <c r="H13" s="11">
        <f t="shared" si="2"/>
        <v>7.0000000000000007E-2</v>
      </c>
      <c r="I13" s="12">
        <f t="shared" si="3"/>
        <v>18</v>
      </c>
      <c r="J13" s="12">
        <f t="shared" si="5"/>
        <v>0.26</v>
      </c>
      <c r="L13">
        <v>18</v>
      </c>
      <c r="M13" s="22">
        <f t="shared" si="6"/>
        <v>8.0305469646992839E-2</v>
      </c>
      <c r="N13" s="22"/>
      <c r="O13" s="25">
        <v>7.0000000000000007E-2</v>
      </c>
      <c r="P13" s="26"/>
      <c r="Q13" s="22">
        <f t="shared" si="4"/>
        <v>0.23825241256620111</v>
      </c>
      <c r="R13" s="22"/>
      <c r="S13" s="12">
        <f t="shared" si="7"/>
        <v>0.26</v>
      </c>
    </row>
    <row r="14" spans="1:20" x14ac:dyDescent="0.3">
      <c r="B14">
        <v>19</v>
      </c>
      <c r="C14">
        <v>15</v>
      </c>
      <c r="E14" s="10">
        <v>19</v>
      </c>
      <c r="F14" s="10">
        <f t="shared" si="0"/>
        <v>10</v>
      </c>
      <c r="G14" s="11">
        <f t="shared" si="1"/>
        <v>19</v>
      </c>
      <c r="H14" s="11">
        <f t="shared" si="2"/>
        <v>0.1</v>
      </c>
      <c r="I14" s="12">
        <f t="shared" si="3"/>
        <v>19</v>
      </c>
      <c r="J14" s="12">
        <f t="shared" si="5"/>
        <v>0.36</v>
      </c>
      <c r="L14">
        <v>19</v>
      </c>
      <c r="M14" s="22">
        <f t="shared" si="6"/>
        <v>9.7940609079453844E-2</v>
      </c>
      <c r="N14" s="22"/>
      <c r="O14" s="25">
        <v>0.1</v>
      </c>
      <c r="P14" s="26"/>
      <c r="Q14" s="22">
        <f t="shared" si="4"/>
        <v>0.33619302164565495</v>
      </c>
      <c r="R14" s="22"/>
      <c r="S14" s="12">
        <f t="shared" si="7"/>
        <v>0.36</v>
      </c>
    </row>
    <row r="15" spans="1:20" x14ac:dyDescent="0.3">
      <c r="B15">
        <v>21</v>
      </c>
      <c r="C15">
        <v>15</v>
      </c>
      <c r="E15" s="10">
        <v>20</v>
      </c>
      <c r="F15" s="10">
        <f t="shared" si="0"/>
        <v>19</v>
      </c>
      <c r="G15" s="11">
        <f t="shared" si="1"/>
        <v>20</v>
      </c>
      <c r="H15" s="11">
        <f t="shared" si="2"/>
        <v>0.19</v>
      </c>
      <c r="I15" s="12">
        <f t="shared" si="3"/>
        <v>20</v>
      </c>
      <c r="J15" s="12">
        <f t="shared" si="5"/>
        <v>0.55000000000000004</v>
      </c>
      <c r="L15">
        <v>20</v>
      </c>
      <c r="M15" s="22">
        <f t="shared" si="6"/>
        <v>0.10992989053573188</v>
      </c>
      <c r="N15" s="22"/>
      <c r="O15" s="25">
        <v>0.19</v>
      </c>
      <c r="P15" s="26"/>
      <c r="Q15" s="22">
        <f t="shared" si="4"/>
        <v>0.44612291218138683</v>
      </c>
      <c r="R15" s="22"/>
      <c r="S15" s="12">
        <f t="shared" si="7"/>
        <v>0.55000000000000004</v>
      </c>
    </row>
    <row r="16" spans="1:20" x14ac:dyDescent="0.3">
      <c r="B16">
        <v>24</v>
      </c>
      <c r="C16">
        <v>15</v>
      </c>
      <c r="E16" s="10">
        <v>21</v>
      </c>
      <c r="F16" s="10">
        <f t="shared" si="0"/>
        <v>6</v>
      </c>
      <c r="G16" s="11">
        <f t="shared" si="1"/>
        <v>21</v>
      </c>
      <c r="H16" s="11">
        <f t="shared" si="2"/>
        <v>0.06</v>
      </c>
      <c r="I16" s="12">
        <f t="shared" si="3"/>
        <v>21</v>
      </c>
      <c r="J16" s="12">
        <f t="shared" si="5"/>
        <v>0.6100000000000001</v>
      </c>
      <c r="L16">
        <v>21</v>
      </c>
      <c r="M16" s="22">
        <f t="shared" si="6"/>
        <v>0.11372057641627448</v>
      </c>
      <c r="N16" s="22"/>
      <c r="O16" s="25">
        <v>0.06</v>
      </c>
      <c r="P16" s="26"/>
      <c r="Q16" s="22">
        <f t="shared" si="4"/>
        <v>0.55984348859766131</v>
      </c>
      <c r="R16" s="22"/>
      <c r="S16" s="12">
        <f t="shared" si="7"/>
        <v>0.6100000000000001</v>
      </c>
    </row>
    <row r="17" spans="2:26" x14ac:dyDescent="0.3">
      <c r="B17">
        <v>22</v>
      </c>
      <c r="C17">
        <v>15</v>
      </c>
      <c r="E17" s="10">
        <v>22</v>
      </c>
      <c r="F17" s="10">
        <f t="shared" si="0"/>
        <v>9</v>
      </c>
      <c r="G17" s="11">
        <f t="shared" si="1"/>
        <v>22</v>
      </c>
      <c r="H17" s="11">
        <f t="shared" si="2"/>
        <v>0.09</v>
      </c>
      <c r="I17" s="12">
        <f t="shared" si="3"/>
        <v>22</v>
      </c>
      <c r="J17" s="12">
        <f t="shared" si="5"/>
        <v>0.70000000000000007</v>
      </c>
      <c r="L17">
        <v>22</v>
      </c>
      <c r="M17" s="22">
        <f t="shared" si="6"/>
        <v>0.1085514593064435</v>
      </c>
      <c r="N17" s="22"/>
      <c r="O17" s="25">
        <v>0.09</v>
      </c>
      <c r="P17" s="26"/>
      <c r="Q17" s="22">
        <f t="shared" si="4"/>
        <v>0.66839494790410481</v>
      </c>
      <c r="R17" s="22"/>
      <c r="S17" s="12">
        <f t="shared" si="7"/>
        <v>0.70000000000000007</v>
      </c>
    </row>
    <row r="18" spans="2:26" x14ac:dyDescent="0.3">
      <c r="B18">
        <v>14</v>
      </c>
      <c r="C18">
        <v>16</v>
      </c>
      <c r="E18" s="10">
        <v>23</v>
      </c>
      <c r="F18" s="10">
        <f t="shared" si="0"/>
        <v>8</v>
      </c>
      <c r="G18" s="11">
        <f t="shared" si="1"/>
        <v>23</v>
      </c>
      <c r="H18" s="11">
        <f t="shared" si="2"/>
        <v>0.08</v>
      </c>
      <c r="I18" s="12">
        <f t="shared" si="3"/>
        <v>23</v>
      </c>
      <c r="J18" s="12">
        <f t="shared" si="5"/>
        <v>0.78</v>
      </c>
      <c r="L18">
        <v>23</v>
      </c>
      <c r="M18" s="22">
        <f t="shared" si="6"/>
        <v>9.569453983836318E-2</v>
      </c>
      <c r="N18" s="22"/>
      <c r="O18" s="25">
        <v>0.08</v>
      </c>
      <c r="P18" s="26"/>
      <c r="Q18" s="22">
        <f t="shared" si="4"/>
        <v>0.76408948774246799</v>
      </c>
      <c r="R18" s="22"/>
      <c r="S18" s="12">
        <f t="shared" si="7"/>
        <v>0.78</v>
      </c>
    </row>
    <row r="19" spans="2:26" x14ac:dyDescent="0.3">
      <c r="B19">
        <v>26</v>
      </c>
      <c r="C19">
        <v>16</v>
      </c>
      <c r="E19" s="10">
        <v>24</v>
      </c>
      <c r="F19" s="10">
        <f t="shared" si="0"/>
        <v>7</v>
      </c>
      <c r="G19" s="11">
        <f t="shared" si="1"/>
        <v>24</v>
      </c>
      <c r="H19" s="11">
        <f t="shared" si="2"/>
        <v>7.0000000000000007E-2</v>
      </c>
      <c r="I19" s="12">
        <f t="shared" si="3"/>
        <v>24</v>
      </c>
      <c r="J19" s="12">
        <f t="shared" si="5"/>
        <v>0.85000000000000009</v>
      </c>
      <c r="L19">
        <v>24</v>
      </c>
      <c r="M19" s="22">
        <f t="shared" si="6"/>
        <v>7.7958051851081178E-2</v>
      </c>
      <c r="N19" s="22"/>
      <c r="O19" s="25">
        <v>7.0000000000000007E-2</v>
      </c>
      <c r="P19" s="26"/>
      <c r="Q19" s="22">
        <f t="shared" si="4"/>
        <v>0.84204753959354917</v>
      </c>
      <c r="R19" s="22"/>
      <c r="S19" s="12">
        <f t="shared" si="7"/>
        <v>0.85000000000000009</v>
      </c>
    </row>
    <row r="20" spans="2:26" x14ac:dyDescent="0.3">
      <c r="B20">
        <v>22</v>
      </c>
      <c r="C20">
        <v>16</v>
      </c>
      <c r="E20" s="10">
        <v>25</v>
      </c>
      <c r="F20" s="10">
        <f t="shared" si="0"/>
        <v>7</v>
      </c>
      <c r="G20" s="11">
        <f t="shared" si="1"/>
        <v>25</v>
      </c>
      <c r="H20" s="11">
        <f t="shared" si="2"/>
        <v>7.0000000000000007E-2</v>
      </c>
      <c r="I20" s="12">
        <f t="shared" si="3"/>
        <v>25</v>
      </c>
      <c r="J20" s="12">
        <f t="shared" si="5"/>
        <v>0.92000000000000015</v>
      </c>
      <c r="L20">
        <v>25</v>
      </c>
      <c r="M20" s="22">
        <f t="shared" si="6"/>
        <v>5.8710477669917438E-2</v>
      </c>
      <c r="N20" s="22"/>
      <c r="O20" s="25">
        <v>7.0000000000000007E-2</v>
      </c>
      <c r="P20" s="26"/>
      <c r="Q20" s="22">
        <f t="shared" si="4"/>
        <v>0.9007580172634666</v>
      </c>
      <c r="R20" s="22"/>
      <c r="S20" s="12">
        <f t="shared" si="7"/>
        <v>0.92000000000000015</v>
      </c>
    </row>
    <row r="21" spans="2:26" x14ac:dyDescent="0.3">
      <c r="B21">
        <v>20</v>
      </c>
      <c r="C21">
        <v>16</v>
      </c>
      <c r="E21" s="10">
        <v>26</v>
      </c>
      <c r="F21" s="10">
        <f t="shared" si="0"/>
        <v>6</v>
      </c>
      <c r="G21" s="11">
        <f t="shared" si="1"/>
        <v>26</v>
      </c>
      <c r="H21" s="11">
        <f t="shared" si="2"/>
        <v>0.06</v>
      </c>
      <c r="I21" s="12">
        <f t="shared" si="3"/>
        <v>26</v>
      </c>
      <c r="J21" s="12">
        <f t="shared" si="5"/>
        <v>0.9800000000000002</v>
      </c>
      <c r="L21">
        <v>26</v>
      </c>
      <c r="M21" s="22">
        <f t="shared" si="6"/>
        <v>4.0879311374942606E-2</v>
      </c>
      <c r="N21" s="22"/>
      <c r="O21" s="25">
        <v>0.06</v>
      </c>
      <c r="P21" s="26"/>
      <c r="Q21" s="22">
        <f t="shared" si="4"/>
        <v>0.94163732863840921</v>
      </c>
      <c r="R21" s="22"/>
      <c r="S21" s="12">
        <f t="shared" si="7"/>
        <v>0.9800000000000002</v>
      </c>
    </row>
    <row r="22" spans="2:26" x14ac:dyDescent="0.3">
      <c r="B22">
        <v>20</v>
      </c>
      <c r="C22">
        <v>17</v>
      </c>
      <c r="E22" s="10">
        <v>27</v>
      </c>
      <c r="F22" s="10">
        <f t="shared" si="0"/>
        <v>2</v>
      </c>
      <c r="G22" s="11">
        <f t="shared" si="1"/>
        <v>27</v>
      </c>
      <c r="H22" s="11">
        <f t="shared" si="2"/>
        <v>0.02</v>
      </c>
      <c r="I22" s="12">
        <f t="shared" si="3"/>
        <v>27</v>
      </c>
      <c r="J22" s="12">
        <f t="shared" si="5"/>
        <v>1.0000000000000002</v>
      </c>
      <c r="L22">
        <v>27</v>
      </c>
      <c r="M22" s="22">
        <f t="shared" si="6"/>
        <v>2.6313119965480247E-2</v>
      </c>
      <c r="N22" s="22"/>
      <c r="O22" s="25">
        <v>0.02</v>
      </c>
      <c r="P22" s="26"/>
      <c r="Q22" s="22">
        <f t="shared" si="4"/>
        <v>0.96795044860388946</v>
      </c>
      <c r="R22" s="22"/>
      <c r="S22" s="12">
        <f t="shared" si="7"/>
        <v>1.0000000000000002</v>
      </c>
    </row>
    <row r="23" spans="2:26" x14ac:dyDescent="0.3">
      <c r="B23">
        <v>24</v>
      </c>
      <c r="C23">
        <v>17</v>
      </c>
      <c r="H23">
        <f>SUM($H$6:$H$22)</f>
        <v>1.0000000000000002</v>
      </c>
      <c r="M23">
        <f>SUM($M$6:$N$22)</f>
        <v>0.96795044854867873</v>
      </c>
    </row>
    <row r="24" spans="2:26" x14ac:dyDescent="0.3">
      <c r="B24">
        <v>23</v>
      </c>
      <c r="C24">
        <v>17</v>
      </c>
    </row>
    <row r="25" spans="2:26" x14ac:dyDescent="0.3">
      <c r="B25">
        <v>16</v>
      </c>
      <c r="C25">
        <v>18</v>
      </c>
    </row>
    <row r="26" spans="2:26" x14ac:dyDescent="0.3">
      <c r="B26">
        <v>25</v>
      </c>
      <c r="C26">
        <v>18</v>
      </c>
    </row>
    <row r="27" spans="2:26" x14ac:dyDescent="0.3">
      <c r="B27">
        <v>15</v>
      </c>
      <c r="C27">
        <v>18</v>
      </c>
    </row>
    <row r="28" spans="2:26" x14ac:dyDescent="0.3">
      <c r="B28">
        <v>23</v>
      </c>
      <c r="C28">
        <v>18</v>
      </c>
    </row>
    <row r="29" spans="2:26" x14ac:dyDescent="0.3">
      <c r="B29">
        <v>22</v>
      </c>
      <c r="C29">
        <v>18</v>
      </c>
      <c r="P29" t="s">
        <v>47</v>
      </c>
      <c r="Q29" s="27" t="s">
        <v>6</v>
      </c>
      <c r="R29" s="27"/>
      <c r="S29" s="27"/>
      <c r="U29" s="22" t="s">
        <v>16</v>
      </c>
      <c r="V29" s="22"/>
      <c r="W29" s="22"/>
      <c r="X29" s="4"/>
      <c r="Y29" s="5"/>
      <c r="Z29" s="6"/>
    </row>
    <row r="30" spans="2:26" x14ac:dyDescent="0.3">
      <c r="B30">
        <v>16</v>
      </c>
      <c r="C30">
        <v>18</v>
      </c>
      <c r="P30">
        <f>50*0.42</f>
        <v>21</v>
      </c>
      <c r="Q30" s="25">
        <f>SUM($B$6:$B$105)/COUNT($B$6:$B$105)</f>
        <v>20.329999999999998</v>
      </c>
      <c r="R30" s="31"/>
      <c r="S30" s="26"/>
      <c r="U30" s="22" cm="1">
        <f t="array" ref="U30">1/(COUNT($B$6:$B$105)-1)*SUM(POWER($B$6:$B$105-$Q$30,2))</f>
        <v>14.30414141414141</v>
      </c>
      <c r="V30" s="22"/>
      <c r="W30" s="22"/>
      <c r="X30" s="3"/>
      <c r="Z30" s="2"/>
    </row>
    <row r="31" spans="2:26" x14ac:dyDescent="0.3">
      <c r="B31">
        <v>14</v>
      </c>
      <c r="C31">
        <v>18</v>
      </c>
      <c r="P31" t="s">
        <v>48</v>
      </c>
      <c r="Q31" s="28" t="s">
        <v>7</v>
      </c>
      <c r="R31" s="28"/>
      <c r="S31" s="28"/>
      <c r="U31" s="27" t="s">
        <v>17</v>
      </c>
      <c r="V31" s="27"/>
      <c r="W31" s="13">
        <v>3</v>
      </c>
      <c r="X31" s="3"/>
      <c r="Z31" s="2"/>
    </row>
    <row r="32" spans="2:26" x14ac:dyDescent="0.3">
      <c r="B32">
        <v>15</v>
      </c>
      <c r="C32">
        <v>19</v>
      </c>
      <c r="P32">
        <f>0.42*50*(1-0.42)</f>
        <v>12.180000000000001</v>
      </c>
      <c r="Q32" s="32">
        <f>_xlfn.VAR.P($B$6:$B$105)</f>
        <v>14.161099999999999</v>
      </c>
      <c r="R32" s="33"/>
      <c r="S32" s="34"/>
      <c r="U32" s="27" cm="1">
        <f t="array" ref="U32">1/COUNT($B$6:$B$105)*SUM(POWER($B$6:$B$105-$Q$30,$W31))</f>
        <v>-31.365425999999932</v>
      </c>
      <c r="V32" s="27"/>
      <c r="W32" s="27"/>
      <c r="X32" s="3"/>
      <c r="Z32" s="2"/>
    </row>
    <row r="33" spans="2:26" x14ac:dyDescent="0.3">
      <c r="B33">
        <v>20</v>
      </c>
      <c r="C33">
        <v>19</v>
      </c>
      <c r="Q33" s="27" t="s">
        <v>8</v>
      </c>
      <c r="R33" s="27"/>
      <c r="S33" s="27"/>
      <c r="U33" s="27" t="s">
        <v>17</v>
      </c>
      <c r="V33" s="27"/>
      <c r="W33" s="13">
        <v>4</v>
      </c>
      <c r="X33" s="3"/>
      <c r="Z33" s="2"/>
    </row>
    <row r="34" spans="2:26" x14ac:dyDescent="0.3">
      <c r="B34">
        <v>16</v>
      </c>
      <c r="C34">
        <v>19</v>
      </c>
      <c r="Q34" s="27">
        <f>_xlfn.VAR.S($B$6:$B$105)</f>
        <v>14.304141414141419</v>
      </c>
      <c r="R34" s="27"/>
      <c r="S34" s="27"/>
      <c r="U34" s="27" cm="1">
        <f t="array" ref="U34">1/COUNT($B$6:$B$105)*SUM(POWER($B$6:$B$105-$Q$30,$W33))</f>
        <v>716.72764037000002</v>
      </c>
      <c r="V34" s="27"/>
      <c r="W34" s="27"/>
      <c r="X34" s="3"/>
      <c r="Z34" s="2"/>
    </row>
    <row r="35" spans="2:26" x14ac:dyDescent="0.3">
      <c r="B35">
        <v>22</v>
      </c>
      <c r="C35">
        <v>19</v>
      </c>
      <c r="Q35" s="28" t="s">
        <v>15</v>
      </c>
      <c r="R35" s="28"/>
      <c r="S35" s="28"/>
      <c r="U35" s="22" t="s">
        <v>15</v>
      </c>
      <c r="V35" s="22"/>
      <c r="W35" s="22"/>
      <c r="X35" s="22" t="s">
        <v>22</v>
      </c>
      <c r="Y35" s="22"/>
      <c r="Z35" s="22"/>
    </row>
    <row r="36" spans="2:26" x14ac:dyDescent="0.3">
      <c r="B36">
        <v>23</v>
      </c>
      <c r="C36">
        <v>19</v>
      </c>
      <c r="Q36" s="28">
        <f>SKEW(B6:B105)</f>
        <v>-0.5975816149590587</v>
      </c>
      <c r="R36" s="28"/>
      <c r="S36" s="28"/>
      <c r="U36" s="24">
        <f>$U32/POWER(SQRT($U$30),$W31)</f>
        <v>-0.5797736828332789</v>
      </c>
      <c r="V36" s="24"/>
      <c r="W36" s="24"/>
      <c r="X36" s="22">
        <f>(1-2*0.42)/SQRT($U$30)</f>
        <v>4.2304745345756498E-2</v>
      </c>
      <c r="Y36" s="22"/>
      <c r="Z36" s="22"/>
    </row>
    <row r="37" spans="2:26" x14ac:dyDescent="0.3">
      <c r="B37">
        <v>22</v>
      </c>
      <c r="C37">
        <v>19</v>
      </c>
      <c r="Q37" s="27" t="s">
        <v>9</v>
      </c>
      <c r="R37" s="27"/>
      <c r="S37" s="27"/>
      <c r="U37" s="22" t="s">
        <v>9</v>
      </c>
      <c r="V37" s="22"/>
      <c r="W37" s="22"/>
      <c r="X37" s="22" t="s">
        <v>23</v>
      </c>
      <c r="Y37" s="22"/>
      <c r="Z37" s="22"/>
    </row>
    <row r="38" spans="2:26" x14ac:dyDescent="0.3">
      <c r="B38">
        <v>19</v>
      </c>
      <c r="C38">
        <v>19</v>
      </c>
      <c r="Q38" s="27">
        <f>KURT(B6:B105)</f>
        <v>0.66630432685171481</v>
      </c>
      <c r="R38" s="27"/>
      <c r="S38" s="27"/>
      <c r="U38" s="24">
        <f>$U34/POWER(SQRT($U$30),$W33)-3</f>
        <v>0.50292277641008543</v>
      </c>
      <c r="V38" s="24"/>
      <c r="W38" s="24"/>
      <c r="X38" s="22">
        <f>(1-6*0.42*(1-0.42))/$U$30</f>
        <v>-3.2270374476559047E-2</v>
      </c>
      <c r="Y38" s="22"/>
      <c r="Z38" s="22"/>
    </row>
    <row r="39" spans="2:26" x14ac:dyDescent="0.3">
      <c r="B39">
        <v>21</v>
      </c>
      <c r="C39">
        <v>19</v>
      </c>
      <c r="Q39" s="28" t="s">
        <v>10</v>
      </c>
      <c r="R39" s="28"/>
      <c r="S39" s="28"/>
      <c r="U39" s="22" t="s">
        <v>10</v>
      </c>
      <c r="V39" s="22"/>
      <c r="W39" s="22"/>
      <c r="X39" s="3"/>
      <c r="Z39" s="2"/>
    </row>
    <row r="40" spans="2:26" x14ac:dyDescent="0.3">
      <c r="B40">
        <v>15</v>
      </c>
      <c r="C40">
        <v>19</v>
      </c>
      <c r="Q40" s="29">
        <f>_xlfn.STDEV.S(B6:B105)/AVERAGE(B6:B105)</f>
        <v>0.18603451177906472</v>
      </c>
      <c r="R40" s="29"/>
      <c r="S40" s="29"/>
      <c r="T40" s="1"/>
      <c r="U40" s="23">
        <f>SQRT($U$30)/ABS($Q$30)</f>
        <v>0.18603451177906463</v>
      </c>
      <c r="V40" s="23"/>
      <c r="W40" s="23"/>
      <c r="X40" s="3"/>
      <c r="Z40" s="2"/>
    </row>
    <row r="41" spans="2:26" x14ac:dyDescent="0.3">
      <c r="B41">
        <v>14</v>
      </c>
      <c r="C41">
        <v>19</v>
      </c>
      <c r="Q41" s="27" t="s">
        <v>11</v>
      </c>
      <c r="R41" s="27"/>
      <c r="S41" s="27"/>
      <c r="U41" s="22" t="s">
        <v>20</v>
      </c>
      <c r="V41" s="22"/>
      <c r="W41" s="13">
        <v>0.25</v>
      </c>
      <c r="X41" s="3"/>
      <c r="Z41" s="2"/>
    </row>
    <row r="42" spans="2:26" x14ac:dyDescent="0.3">
      <c r="B42">
        <v>23</v>
      </c>
      <c r="C42">
        <v>20</v>
      </c>
      <c r="Q42" s="27">
        <f>_xlfn.QUARTILE.EXC(B6:B105,1)</f>
        <v>18</v>
      </c>
      <c r="R42" s="27"/>
      <c r="S42" s="27"/>
      <c r="U42" s="22" cm="1">
        <f t="array" ref="U42">INDEX($C$6:$C$105,ROUND(100*$W41,0)+1+5)</f>
        <v>19</v>
      </c>
      <c r="V42" s="22"/>
      <c r="W42" s="22"/>
      <c r="X42" s="3"/>
      <c r="Z42" s="2"/>
    </row>
    <row r="43" spans="2:26" x14ac:dyDescent="0.3">
      <c r="B43">
        <v>25</v>
      </c>
      <c r="C43">
        <v>20</v>
      </c>
      <c r="Q43" s="28" t="s">
        <v>12</v>
      </c>
      <c r="R43" s="28"/>
      <c r="S43" s="28"/>
      <c r="U43" s="22" t="s">
        <v>20</v>
      </c>
      <c r="V43" s="22"/>
      <c r="W43" s="13">
        <v>0.5</v>
      </c>
      <c r="X43" s="3"/>
      <c r="Z43" s="2"/>
    </row>
    <row r="44" spans="2:26" x14ac:dyDescent="0.3">
      <c r="B44">
        <v>18</v>
      </c>
      <c r="C44">
        <v>20</v>
      </c>
      <c r="Q44" s="28">
        <f>_xlfn.QUARTILE.EXC(B6:B105,2)</f>
        <v>20</v>
      </c>
      <c r="R44" s="28"/>
      <c r="S44" s="28"/>
      <c r="U44" s="22" cm="1">
        <f t="array" ref="U44">INDEX($C$6:$C$105,ROUND(100*$W43,0)+1+5)</f>
        <v>21</v>
      </c>
      <c r="V44" s="22"/>
      <c r="W44" s="22"/>
      <c r="X44" s="3"/>
      <c r="Z44" s="2"/>
    </row>
    <row r="45" spans="2:26" x14ac:dyDescent="0.3">
      <c r="B45">
        <v>23</v>
      </c>
      <c r="C45">
        <v>20</v>
      </c>
      <c r="Q45" s="27" t="s">
        <v>13</v>
      </c>
      <c r="R45" s="27"/>
      <c r="S45" s="27"/>
      <c r="U45" s="22" t="s">
        <v>20</v>
      </c>
      <c r="V45" s="22"/>
      <c r="W45" s="13">
        <v>0.75</v>
      </c>
      <c r="X45" s="3"/>
      <c r="Z45" s="2"/>
    </row>
    <row r="46" spans="2:26" x14ac:dyDescent="0.3">
      <c r="B46">
        <v>22</v>
      </c>
      <c r="C46">
        <v>20</v>
      </c>
      <c r="Q46" s="27">
        <f>_xlfn.QUARTILE.EXC(B5:B106, 3)</f>
        <v>23</v>
      </c>
      <c r="R46" s="27"/>
      <c r="S46" s="27"/>
      <c r="U46" s="22" cm="1">
        <f t="array" ref="U46">INDEX($C$6:$C$105,ROUND(100*$W45,0)+1+5)</f>
        <v>24</v>
      </c>
      <c r="V46" s="22"/>
      <c r="W46" s="22"/>
      <c r="X46" s="3"/>
      <c r="Z46" s="2"/>
    </row>
    <row r="47" spans="2:26" x14ac:dyDescent="0.3">
      <c r="B47">
        <v>20</v>
      </c>
      <c r="C47">
        <v>20</v>
      </c>
      <c r="Q47" s="28" t="s">
        <v>14</v>
      </c>
      <c r="R47" s="28"/>
      <c r="S47" s="28"/>
      <c r="U47" s="22" t="s">
        <v>14</v>
      </c>
      <c r="V47" s="22"/>
      <c r="W47" s="22"/>
      <c r="X47" s="22" t="s">
        <v>21</v>
      </c>
      <c r="Y47" s="22"/>
      <c r="Z47" s="22"/>
    </row>
    <row r="48" spans="2:26" x14ac:dyDescent="0.3">
      <c r="B48">
        <v>17</v>
      </c>
      <c r="C48">
        <v>20</v>
      </c>
      <c r="Q48" s="28">
        <f>_xlfn.MODE.SNGL(B5:B106)</f>
        <v>20</v>
      </c>
      <c r="R48" s="28"/>
      <c r="S48" s="28"/>
      <c r="U48" s="22">
        <f>INDEX(E6:E22,MATCH(MAX(F6:F22),F6:F22,0))</f>
        <v>20</v>
      </c>
      <c r="V48" s="22"/>
      <c r="W48" s="22"/>
      <c r="X48" s="22">
        <f>ROUNDDOWN((50+1)*0.42,0)</f>
        <v>21</v>
      </c>
      <c r="Y48" s="22"/>
      <c r="Z48" s="22"/>
    </row>
    <row r="49" spans="2:3" x14ac:dyDescent="0.3">
      <c r="B49">
        <v>19</v>
      </c>
      <c r="C49">
        <v>20</v>
      </c>
    </row>
    <row r="50" spans="2:3" x14ac:dyDescent="0.3">
      <c r="B50">
        <v>22</v>
      </c>
      <c r="C50">
        <v>20</v>
      </c>
    </row>
    <row r="51" spans="2:3" x14ac:dyDescent="0.3">
      <c r="B51">
        <v>25</v>
      </c>
      <c r="C51">
        <v>20</v>
      </c>
    </row>
    <row r="52" spans="2:3" x14ac:dyDescent="0.3">
      <c r="B52">
        <v>11</v>
      </c>
      <c r="C52">
        <v>20</v>
      </c>
    </row>
    <row r="53" spans="2:3" x14ac:dyDescent="0.3">
      <c r="B53">
        <v>25</v>
      </c>
      <c r="C53">
        <v>20</v>
      </c>
    </row>
    <row r="54" spans="2:3" x14ac:dyDescent="0.3">
      <c r="B54">
        <v>19</v>
      </c>
      <c r="C54">
        <v>20</v>
      </c>
    </row>
    <row r="55" spans="2:3" x14ac:dyDescent="0.3">
      <c r="B55">
        <v>20</v>
      </c>
      <c r="C55">
        <v>20</v>
      </c>
    </row>
    <row r="56" spans="2:3" x14ac:dyDescent="0.3">
      <c r="B56">
        <v>26</v>
      </c>
      <c r="C56">
        <v>20</v>
      </c>
    </row>
    <row r="57" spans="2:3" x14ac:dyDescent="0.3">
      <c r="B57">
        <v>24</v>
      </c>
      <c r="C57">
        <v>20</v>
      </c>
    </row>
    <row r="58" spans="2:3" x14ac:dyDescent="0.3">
      <c r="B58">
        <v>20</v>
      </c>
      <c r="C58">
        <v>20</v>
      </c>
    </row>
    <row r="59" spans="2:3" x14ac:dyDescent="0.3">
      <c r="B59">
        <v>19</v>
      </c>
      <c r="C59">
        <v>20</v>
      </c>
    </row>
    <row r="60" spans="2:3" x14ac:dyDescent="0.3">
      <c r="B60">
        <v>7</v>
      </c>
      <c r="C60">
        <v>20</v>
      </c>
    </row>
    <row r="61" spans="2:3" x14ac:dyDescent="0.3">
      <c r="B61">
        <v>25</v>
      </c>
      <c r="C61">
        <v>21</v>
      </c>
    </row>
    <row r="62" spans="2:3" x14ac:dyDescent="0.3">
      <c r="B62">
        <v>21</v>
      </c>
      <c r="C62">
        <v>21</v>
      </c>
    </row>
    <row r="63" spans="2:3" x14ac:dyDescent="0.3">
      <c r="B63">
        <v>20</v>
      </c>
      <c r="C63">
        <v>21</v>
      </c>
    </row>
    <row r="64" spans="2:3" x14ac:dyDescent="0.3">
      <c r="B64">
        <v>18</v>
      </c>
      <c r="C64">
        <v>21</v>
      </c>
    </row>
    <row r="65" spans="2:3" x14ac:dyDescent="0.3">
      <c r="B65">
        <v>19</v>
      </c>
      <c r="C65">
        <v>21</v>
      </c>
    </row>
    <row r="66" spans="2:3" x14ac:dyDescent="0.3">
      <c r="B66">
        <v>20</v>
      </c>
      <c r="C66">
        <v>21</v>
      </c>
    </row>
    <row r="67" spans="2:3" x14ac:dyDescent="0.3">
      <c r="B67">
        <v>18</v>
      </c>
      <c r="C67">
        <v>22</v>
      </c>
    </row>
    <row r="68" spans="2:3" x14ac:dyDescent="0.3">
      <c r="B68">
        <v>20</v>
      </c>
      <c r="C68">
        <v>22</v>
      </c>
    </row>
    <row r="69" spans="2:3" x14ac:dyDescent="0.3">
      <c r="B69">
        <v>20</v>
      </c>
      <c r="C69">
        <v>22</v>
      </c>
    </row>
    <row r="70" spans="2:3" x14ac:dyDescent="0.3">
      <c r="B70">
        <v>14</v>
      </c>
      <c r="C70">
        <v>22</v>
      </c>
    </row>
    <row r="71" spans="2:3" x14ac:dyDescent="0.3">
      <c r="B71">
        <v>19</v>
      </c>
      <c r="C71">
        <v>22</v>
      </c>
    </row>
    <row r="72" spans="2:3" x14ac:dyDescent="0.3">
      <c r="B72">
        <v>18</v>
      </c>
      <c r="C72">
        <v>22</v>
      </c>
    </row>
    <row r="73" spans="2:3" x14ac:dyDescent="0.3">
      <c r="B73">
        <v>26</v>
      </c>
      <c r="C73">
        <v>22</v>
      </c>
    </row>
    <row r="74" spans="2:3" x14ac:dyDescent="0.3">
      <c r="B74">
        <v>22</v>
      </c>
      <c r="C74">
        <v>22</v>
      </c>
    </row>
    <row r="75" spans="2:3" x14ac:dyDescent="0.3">
      <c r="B75">
        <v>23</v>
      </c>
      <c r="C75">
        <v>22</v>
      </c>
    </row>
    <row r="76" spans="2:3" x14ac:dyDescent="0.3">
      <c r="B76">
        <v>25</v>
      </c>
      <c r="C76">
        <v>23</v>
      </c>
    </row>
    <row r="77" spans="2:3" x14ac:dyDescent="0.3">
      <c r="B77">
        <v>23</v>
      </c>
      <c r="C77">
        <v>23</v>
      </c>
    </row>
    <row r="78" spans="2:3" x14ac:dyDescent="0.3">
      <c r="B78">
        <v>19</v>
      </c>
      <c r="C78">
        <v>23</v>
      </c>
    </row>
    <row r="79" spans="2:3" x14ac:dyDescent="0.3">
      <c r="B79">
        <v>20</v>
      </c>
      <c r="C79">
        <v>23</v>
      </c>
    </row>
    <row r="80" spans="2:3" x14ac:dyDescent="0.3">
      <c r="B80">
        <v>20</v>
      </c>
      <c r="C80">
        <v>23</v>
      </c>
    </row>
    <row r="81" spans="2:3" x14ac:dyDescent="0.3">
      <c r="B81">
        <v>24</v>
      </c>
      <c r="C81">
        <v>23</v>
      </c>
    </row>
    <row r="82" spans="2:3" x14ac:dyDescent="0.3">
      <c r="B82">
        <v>27</v>
      </c>
      <c r="C82">
        <v>23</v>
      </c>
    </row>
    <row r="83" spans="2:3" x14ac:dyDescent="0.3">
      <c r="B83">
        <v>20</v>
      </c>
      <c r="C83">
        <v>23</v>
      </c>
    </row>
    <row r="84" spans="2:3" x14ac:dyDescent="0.3">
      <c r="B84">
        <v>24</v>
      </c>
      <c r="C84">
        <v>24</v>
      </c>
    </row>
    <row r="85" spans="2:3" x14ac:dyDescent="0.3">
      <c r="B85">
        <v>20</v>
      </c>
      <c r="C85">
        <v>24</v>
      </c>
    </row>
    <row r="86" spans="2:3" x14ac:dyDescent="0.3">
      <c r="B86">
        <v>26</v>
      </c>
      <c r="C86">
        <v>24</v>
      </c>
    </row>
    <row r="87" spans="2:3" x14ac:dyDescent="0.3">
      <c r="B87">
        <v>20</v>
      </c>
      <c r="C87">
        <v>24</v>
      </c>
    </row>
    <row r="88" spans="2:3" x14ac:dyDescent="0.3">
      <c r="B88">
        <v>18</v>
      </c>
      <c r="C88">
        <v>24</v>
      </c>
    </row>
    <row r="89" spans="2:3" x14ac:dyDescent="0.3">
      <c r="B89">
        <v>21</v>
      </c>
      <c r="C89">
        <v>24</v>
      </c>
    </row>
    <row r="90" spans="2:3" x14ac:dyDescent="0.3">
      <c r="B90">
        <v>20</v>
      </c>
      <c r="C90">
        <v>24</v>
      </c>
    </row>
    <row r="91" spans="2:3" x14ac:dyDescent="0.3">
      <c r="B91">
        <v>19</v>
      </c>
      <c r="C91">
        <v>25</v>
      </c>
    </row>
    <row r="92" spans="2:3" x14ac:dyDescent="0.3">
      <c r="B92">
        <v>24</v>
      </c>
      <c r="C92">
        <v>25</v>
      </c>
    </row>
    <row r="93" spans="2:3" x14ac:dyDescent="0.3">
      <c r="B93">
        <v>24</v>
      </c>
      <c r="C93">
        <v>25</v>
      </c>
    </row>
    <row r="94" spans="2:3" x14ac:dyDescent="0.3">
      <c r="B94">
        <v>25</v>
      </c>
      <c r="C94">
        <v>25</v>
      </c>
    </row>
    <row r="95" spans="2:3" x14ac:dyDescent="0.3">
      <c r="B95">
        <v>21</v>
      </c>
      <c r="C95">
        <v>25</v>
      </c>
    </row>
    <row r="96" spans="2:3" x14ac:dyDescent="0.3">
      <c r="B96">
        <v>26</v>
      </c>
      <c r="C96">
        <v>25</v>
      </c>
    </row>
    <row r="97" spans="2:3" x14ac:dyDescent="0.3">
      <c r="B97">
        <v>27</v>
      </c>
      <c r="C97">
        <v>25</v>
      </c>
    </row>
    <row r="98" spans="2:3" x14ac:dyDescent="0.3">
      <c r="B98">
        <v>21</v>
      </c>
      <c r="C98">
        <v>26</v>
      </c>
    </row>
    <row r="99" spans="2:3" x14ac:dyDescent="0.3">
      <c r="B99">
        <v>16</v>
      </c>
      <c r="C99">
        <v>26</v>
      </c>
    </row>
    <row r="100" spans="2:3" x14ac:dyDescent="0.3">
      <c r="B100">
        <v>18</v>
      </c>
      <c r="C100">
        <v>26</v>
      </c>
    </row>
    <row r="101" spans="2:3" x14ac:dyDescent="0.3">
      <c r="B101">
        <v>17</v>
      </c>
      <c r="C101">
        <v>26</v>
      </c>
    </row>
    <row r="102" spans="2:3" x14ac:dyDescent="0.3">
      <c r="B102">
        <v>20</v>
      </c>
      <c r="C102">
        <v>26</v>
      </c>
    </row>
    <row r="103" spans="2:3" x14ac:dyDescent="0.3">
      <c r="B103">
        <v>12</v>
      </c>
      <c r="C103">
        <v>26</v>
      </c>
    </row>
    <row r="104" spans="2:3" x14ac:dyDescent="0.3">
      <c r="B104">
        <v>20</v>
      </c>
      <c r="C104">
        <v>27</v>
      </c>
    </row>
    <row r="105" spans="2:3" x14ac:dyDescent="0.3">
      <c r="B105">
        <v>19</v>
      </c>
      <c r="C105">
        <v>27</v>
      </c>
    </row>
  </sheetData>
  <sortState xmlns:xlrd2="http://schemas.microsoft.com/office/spreadsheetml/2017/richdata2" ref="C6:C105">
    <sortCondition ref="C6:C105"/>
  </sortState>
  <mergeCells count="103">
    <mergeCell ref="Q37:S37"/>
    <mergeCell ref="G5:H5"/>
    <mergeCell ref="I5:J5"/>
    <mergeCell ref="Q29:S29"/>
    <mergeCell ref="Q31:S31"/>
    <mergeCell ref="Q30:S30"/>
    <mergeCell ref="Q32:S32"/>
    <mergeCell ref="Q33:S33"/>
    <mergeCell ref="Q34:S34"/>
    <mergeCell ref="Q35:S35"/>
    <mergeCell ref="Q36:S36"/>
    <mergeCell ref="M20:N20"/>
    <mergeCell ref="M21:N21"/>
    <mergeCell ref="M22:N22"/>
    <mergeCell ref="O5:P5"/>
    <mergeCell ref="O6:P6"/>
    <mergeCell ref="M14:N14"/>
    <mergeCell ref="M15:N15"/>
    <mergeCell ref="M16:N16"/>
    <mergeCell ref="M17:N17"/>
    <mergeCell ref="M18:N18"/>
    <mergeCell ref="M19:N19"/>
    <mergeCell ref="O10:P10"/>
    <mergeCell ref="O11:P11"/>
    <mergeCell ref="Q48:S48"/>
    <mergeCell ref="Q38:S38"/>
    <mergeCell ref="Q39:S39"/>
    <mergeCell ref="Q40:S40"/>
    <mergeCell ref="Q41:S41"/>
    <mergeCell ref="Q42:S42"/>
    <mergeCell ref="Q43:S43"/>
    <mergeCell ref="Q44:S44"/>
    <mergeCell ref="Q45:S45"/>
    <mergeCell ref="Q46:S46"/>
    <mergeCell ref="Q47:S47"/>
    <mergeCell ref="U30:W30"/>
    <mergeCell ref="U32:W32"/>
    <mergeCell ref="U31:V31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O12:P12"/>
    <mergeCell ref="O13:P13"/>
    <mergeCell ref="O14:P14"/>
    <mergeCell ref="O15:P15"/>
    <mergeCell ref="O16:P16"/>
    <mergeCell ref="O7:P7"/>
    <mergeCell ref="O8:P8"/>
    <mergeCell ref="O9:P9"/>
    <mergeCell ref="Q20:R20"/>
    <mergeCell ref="Q21:R21"/>
    <mergeCell ref="Q22:R22"/>
    <mergeCell ref="O22:P22"/>
    <mergeCell ref="Q5:R5"/>
    <mergeCell ref="Q6:R6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O17:P17"/>
    <mergeCell ref="O18:P18"/>
    <mergeCell ref="O19:P19"/>
    <mergeCell ref="O20:P20"/>
    <mergeCell ref="O21:P21"/>
    <mergeCell ref="S5:T5"/>
    <mergeCell ref="U41:V41"/>
    <mergeCell ref="U42:W42"/>
    <mergeCell ref="X47:Z47"/>
    <mergeCell ref="X48:Z48"/>
    <mergeCell ref="X35:Z35"/>
    <mergeCell ref="X36:Z36"/>
    <mergeCell ref="X37:Z37"/>
    <mergeCell ref="X38:Z38"/>
    <mergeCell ref="U39:W39"/>
    <mergeCell ref="U40:W40"/>
    <mergeCell ref="U47:W47"/>
    <mergeCell ref="U48:W48"/>
    <mergeCell ref="U43:V43"/>
    <mergeCell ref="U44:W44"/>
    <mergeCell ref="U45:V45"/>
    <mergeCell ref="U46:W46"/>
    <mergeCell ref="U38:W38"/>
    <mergeCell ref="U36:W36"/>
    <mergeCell ref="U37:W37"/>
    <mergeCell ref="U33:V33"/>
    <mergeCell ref="U34:W34"/>
    <mergeCell ref="U35:W35"/>
    <mergeCell ref="U29:W29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E0DFE-4522-4284-82B6-5EA6BE56E204}">
  <dimension ref="B2:AG104"/>
  <sheetViews>
    <sheetView topLeftCell="A2" zoomScale="70" zoomScaleNormal="70" workbookViewId="0">
      <selection activeCell="G2" sqref="G2"/>
    </sheetView>
  </sheetViews>
  <sheetFormatPr defaultRowHeight="14.4" x14ac:dyDescent="0.3"/>
  <cols>
    <col min="1" max="1" width="3.44140625" customWidth="1"/>
    <col min="2" max="3" width="9.5546875" bestFit="1" customWidth="1"/>
    <col min="5" max="5" width="9.5546875" customWidth="1"/>
    <col min="6" max="6" width="9.44140625" customWidth="1"/>
    <col min="9" max="9" width="10" customWidth="1"/>
    <col min="10" max="10" width="9.6640625" customWidth="1"/>
    <col min="15" max="16" width="9.5546875" bestFit="1" customWidth="1"/>
  </cols>
  <sheetData>
    <row r="2" spans="2:33" x14ac:dyDescent="0.3">
      <c r="B2" s="14" t="s">
        <v>24</v>
      </c>
      <c r="C2" s="11">
        <v>0.04</v>
      </c>
      <c r="D2" s="11"/>
      <c r="E2" s="42" t="s">
        <v>27</v>
      </c>
      <c r="F2" s="42"/>
      <c r="G2" s="11">
        <f>1+ROUND(3.322*LOG10(COUNT($B$5:$B$104)),0)</f>
        <v>8</v>
      </c>
      <c r="H2" s="11"/>
      <c r="I2" s="15" t="s">
        <v>28</v>
      </c>
      <c r="J2" s="16">
        <f>(MAX($B$5:$B$104)-MIN($B$5:$B$104))/$G$2</f>
        <v>13.654428291827603</v>
      </c>
      <c r="K2" s="11"/>
      <c r="L2" s="15" t="s">
        <v>29</v>
      </c>
      <c r="M2" s="16">
        <f>MIN($B$5:$B$104)</f>
        <v>0.22917306185793818</v>
      </c>
      <c r="N2" s="11"/>
      <c r="O2" s="15" t="s">
        <v>30</v>
      </c>
      <c r="P2" s="16">
        <f>MAX($B$5:$B$104)</f>
        <v>109.46459939647876</v>
      </c>
    </row>
    <row r="4" spans="2:33" x14ac:dyDescent="0.3">
      <c r="B4" s="7" t="s">
        <v>25</v>
      </c>
      <c r="C4" s="7" t="s">
        <v>26</v>
      </c>
      <c r="D4" t="s">
        <v>43</v>
      </c>
      <c r="E4" t="s">
        <v>42</v>
      </c>
      <c r="G4" s="37" t="s">
        <v>34</v>
      </c>
      <c r="H4" s="37"/>
      <c r="I4" s="17" t="s">
        <v>31</v>
      </c>
      <c r="J4" s="37" t="s">
        <v>39</v>
      </c>
      <c r="K4" s="37"/>
      <c r="L4" s="17" t="s">
        <v>32</v>
      </c>
      <c r="M4" s="17" t="s">
        <v>33</v>
      </c>
      <c r="O4" s="37" t="s">
        <v>34</v>
      </c>
      <c r="P4" s="37"/>
      <c r="Q4" s="17" t="s">
        <v>35</v>
      </c>
      <c r="R4" s="17" t="s">
        <v>36</v>
      </c>
      <c r="S4" s="37" t="s">
        <v>18</v>
      </c>
      <c r="T4" s="37"/>
      <c r="AA4" s="22" t="s">
        <v>6</v>
      </c>
      <c r="AB4" s="22"/>
      <c r="AC4" s="22"/>
    </row>
    <row r="5" spans="2:33" x14ac:dyDescent="0.3">
      <c r="B5" s="8">
        <f>-1*LN(1-D5)/$C$2</f>
        <v>27.149912586328245</v>
      </c>
      <c r="C5" s="8" cm="1">
        <f t="array" ref="C5:C104">_xlfn._xlws.SORT($B$5:$B$104)</f>
        <v>0.22917306185793818</v>
      </c>
      <c r="D5">
        <v>0.6624347666859951</v>
      </c>
      <c r="E5">
        <f>-1*LN(1-D5)/$C$2</f>
        <v>27.149912586328245</v>
      </c>
      <c r="G5" s="38">
        <f>$M$2</f>
        <v>0.22917306185793818</v>
      </c>
      <c r="H5" s="38"/>
      <c r="I5" s="11" cm="1">
        <f t="array" ref="I5:I13">FREQUENCY(C5:C104,G5:H12)</f>
        <v>1</v>
      </c>
      <c r="J5" s="16">
        <f>$M$2</f>
        <v>0.22917306185793818</v>
      </c>
      <c r="K5" s="11"/>
      <c r="L5" s="11"/>
      <c r="M5" s="11"/>
      <c r="O5" s="38">
        <f>$J$5</f>
        <v>0.22917306185793818</v>
      </c>
      <c r="P5" s="28"/>
      <c r="Q5" s="11"/>
      <c r="R5" s="11"/>
      <c r="S5" s="11"/>
      <c r="T5" s="11"/>
      <c r="AA5" s="35">
        <f>AVERAGE($C$5:$C$104)</f>
        <v>25.210425698098188</v>
      </c>
      <c r="AB5" s="22"/>
      <c r="AC5" s="22"/>
    </row>
    <row r="6" spans="2:33" x14ac:dyDescent="0.3">
      <c r="B6" s="8">
        <f t="shared" ref="B6:B69" si="0">-1*LN(1-D6)/$C$2</f>
        <v>19.532626145662341</v>
      </c>
      <c r="C6" s="8">
        <v>0.47679177556937125</v>
      </c>
      <c r="D6">
        <v>0.54219183935056614</v>
      </c>
      <c r="E6">
        <f t="shared" ref="E6:E69" si="1">-1*LN(1-D6)/$C$2</f>
        <v>19.532626145662341</v>
      </c>
      <c r="G6" s="40">
        <f>$G5+$J$2</f>
        <v>13.883601353685542</v>
      </c>
      <c r="H6" s="41"/>
      <c r="I6" s="21">
        <v>37</v>
      </c>
      <c r="J6" s="19">
        <f>$G6</f>
        <v>13.883601353685542</v>
      </c>
      <c r="K6" s="18">
        <f>$I$6+$I$5</f>
        <v>38</v>
      </c>
      <c r="L6" s="13">
        <f t="shared" ref="L6:L11" si="2">$K6/SUM($K$6:$K$11)</f>
        <v>0.5757575757575758</v>
      </c>
      <c r="M6" s="13">
        <f>$L6</f>
        <v>0.5757575757575758</v>
      </c>
      <c r="O6" s="35">
        <f t="shared" ref="O6:O11" si="3">$J6</f>
        <v>13.883601353685542</v>
      </c>
      <c r="P6" s="35"/>
      <c r="Q6" s="20">
        <f>$C$2*EXP(-$C$2*AVERAGE($O6,$M$2))</f>
        <v>3.0163240041549303E-2</v>
      </c>
      <c r="R6" s="13">
        <f>$L6/$J$2</f>
        <v>4.2166362695842494E-2</v>
      </c>
      <c r="S6" s="22">
        <f>1-EXP(-$C$2*AVERAGE($O6,$M$2))</f>
        <v>0.24591899896126745</v>
      </c>
      <c r="T6" s="22"/>
      <c r="AA6" s="22" t="s">
        <v>7</v>
      </c>
      <c r="AB6" s="22"/>
      <c r="AC6" s="22"/>
    </row>
    <row r="7" spans="2:33" x14ac:dyDescent="0.3">
      <c r="B7" s="8">
        <f t="shared" si="0"/>
        <v>16.133170312055388</v>
      </c>
      <c r="C7" s="8">
        <v>0.67196498681711248</v>
      </c>
      <c r="D7">
        <v>0.47550889614551223</v>
      </c>
      <c r="E7">
        <f t="shared" si="1"/>
        <v>16.133170312055388</v>
      </c>
      <c r="G7" s="40">
        <f t="shared" ref="G7:G12" si="4">$G6+$J$2</f>
        <v>27.538029645513145</v>
      </c>
      <c r="H7" s="41"/>
      <c r="I7" s="21">
        <v>34</v>
      </c>
      <c r="J7" s="19">
        <v>59.645005474690066</v>
      </c>
      <c r="K7" s="13">
        <v>19</v>
      </c>
      <c r="L7" s="13">
        <f t="shared" si="2"/>
        <v>0.2878787878787879</v>
      </c>
      <c r="M7" s="13">
        <f>$M6+$L7</f>
        <v>0.86363636363636376</v>
      </c>
      <c r="O7" s="35">
        <f t="shared" si="3"/>
        <v>59.645005474690066</v>
      </c>
      <c r="P7" s="35"/>
      <c r="Q7" s="20">
        <f>$C$2*EXP(-$C$2*AVERAGE($O7,$O$6))</f>
        <v>9.1917589613441115E-3</v>
      </c>
      <c r="R7" s="13">
        <f t="shared" ref="R7:R11" si="5">$L7/$J$2</f>
        <v>2.1083181347921247E-2</v>
      </c>
      <c r="S7" s="22">
        <f>1-EXP(-$C$2*AVERAGE($O7,$O6))</f>
        <v>0.7702060259663972</v>
      </c>
      <c r="T7" s="22"/>
      <c r="AA7" s="22" cm="1">
        <f t="array" ref="AA7">1/COUNT($B$5:$B$104)*SUM(POWER($B$5:$B$104-$AA$5,2))</f>
        <v>506.59449546921235</v>
      </c>
      <c r="AB7" s="22"/>
      <c r="AC7" s="22"/>
    </row>
    <row r="8" spans="2:33" x14ac:dyDescent="0.3">
      <c r="B8" s="8">
        <f t="shared" si="0"/>
        <v>17.139419987072785</v>
      </c>
      <c r="C8" s="8">
        <v>1.3359176056356872</v>
      </c>
      <c r="D8">
        <v>0.49620044557023835</v>
      </c>
      <c r="E8">
        <f t="shared" si="1"/>
        <v>17.139419987072785</v>
      </c>
      <c r="G8" s="40">
        <f t="shared" si="4"/>
        <v>41.192457937340748</v>
      </c>
      <c r="H8" s="41"/>
      <c r="I8" s="21">
        <v>7</v>
      </c>
      <c r="J8" s="19">
        <v>89.359972659980656</v>
      </c>
      <c r="K8" s="13">
        <v>4</v>
      </c>
      <c r="L8" s="13">
        <f t="shared" si="2"/>
        <v>6.0606060606060608E-2</v>
      </c>
      <c r="M8" s="13">
        <f>$M7+$L8</f>
        <v>0.92424242424242431</v>
      </c>
      <c r="O8" s="35">
        <f t="shared" si="3"/>
        <v>89.359972659980656</v>
      </c>
      <c r="P8" s="35"/>
      <c r="Q8" s="20">
        <f>$C$2*EXP(-$C$2*AVERAGE($O8,$O$6))</f>
        <v>5.0733836106972149E-3</v>
      </c>
      <c r="R8" s="13">
        <f t="shared" si="5"/>
        <v>4.4385644942992099E-3</v>
      </c>
      <c r="S8" s="22">
        <f>1-EXP(-$C$2*AVERAGE($O8,$O7))</f>
        <v>0.94921222295470775</v>
      </c>
      <c r="T8" s="22"/>
      <c r="AA8" s="22" t="s">
        <v>37</v>
      </c>
      <c r="AB8" s="22"/>
      <c r="AC8" s="22"/>
    </row>
    <row r="9" spans="2:33" x14ac:dyDescent="0.3">
      <c r="B9" s="8">
        <f t="shared" si="0"/>
        <v>48.535849031384217</v>
      </c>
      <c r="C9" s="8">
        <v>1.4974064431058454</v>
      </c>
      <c r="D9">
        <v>0.85650196844386117</v>
      </c>
      <c r="E9">
        <f t="shared" si="1"/>
        <v>48.535849031384217</v>
      </c>
      <c r="G9" s="40">
        <f t="shared" si="4"/>
        <v>54.846886229168348</v>
      </c>
      <c r="H9" s="41"/>
      <c r="I9" s="21">
        <v>8</v>
      </c>
      <c r="J9" s="19">
        <v>119.07493984527125</v>
      </c>
      <c r="K9" s="13">
        <v>3</v>
      </c>
      <c r="L9" s="13">
        <f t="shared" si="2"/>
        <v>4.5454545454545456E-2</v>
      </c>
      <c r="M9" s="13">
        <f>$M8+$L9</f>
        <v>0.96969696969696972</v>
      </c>
      <c r="O9" s="35">
        <f t="shared" si="3"/>
        <v>119.07493984527125</v>
      </c>
      <c r="P9" s="35"/>
      <c r="Q9" s="20">
        <f>$C$2*EXP(-$C$2*AVERAGE($O9,$O$6))</f>
        <v>2.8002498074130608E-3</v>
      </c>
      <c r="R9" s="13">
        <f t="shared" si="5"/>
        <v>3.3289233707244075E-3</v>
      </c>
      <c r="S9" s="22">
        <f>1-EXP(-$C$2*AVERAGE($O9,$O8))</f>
        <v>0.98452761180007919</v>
      </c>
      <c r="T9" s="22"/>
      <c r="AA9" s="22" cm="1">
        <f t="array" ref="AA9">1/(COUNT($B$5:$B$104)-1)*SUM(POWER($B$5:$B$104-$AA$5,2))</f>
        <v>511.711611585063</v>
      </c>
      <c r="AB9" s="22"/>
      <c r="AC9" s="22"/>
      <c r="AG9">
        <f>SKEW(C5:C104)</f>
        <v>1.3796041844341109</v>
      </c>
    </row>
    <row r="10" spans="2:33" x14ac:dyDescent="0.3">
      <c r="B10" s="8">
        <f t="shared" si="0"/>
        <v>10.988323671682522</v>
      </c>
      <c r="C10" s="8">
        <v>1.7244403087158671</v>
      </c>
      <c r="D10">
        <v>0.35566270943327127</v>
      </c>
      <c r="E10">
        <f t="shared" si="1"/>
        <v>10.988323671682522</v>
      </c>
      <c r="G10" s="40">
        <f t="shared" si="4"/>
        <v>68.501314520995948</v>
      </c>
      <c r="H10" s="41"/>
      <c r="I10" s="21">
        <v>7</v>
      </c>
      <c r="J10" s="19">
        <v>148.78990703056184</v>
      </c>
      <c r="K10" s="13">
        <v>1</v>
      </c>
      <c r="L10" s="13">
        <f t="shared" si="2"/>
        <v>1.5151515151515152E-2</v>
      </c>
      <c r="M10" s="13">
        <f>$M9+$L10</f>
        <v>0.98484848484848486</v>
      </c>
      <c r="O10" s="35">
        <f t="shared" si="3"/>
        <v>148.78990703056184</v>
      </c>
      <c r="P10" s="35"/>
      <c r="Q10" s="20">
        <f>$C$2*EXP(-$C$2*AVERAGE($O10,$O$6))</f>
        <v>1.5455955207848496E-3</v>
      </c>
      <c r="R10" s="13">
        <f t="shared" si="5"/>
        <v>1.1096411235748025E-3</v>
      </c>
      <c r="S10" s="22">
        <f>1-EXP(-$C$2*AVERAGE($O10,$O9))</f>
        <v>0.99528636986030006</v>
      </c>
      <c r="T10" s="22"/>
      <c r="AA10" s="22" t="s">
        <v>17</v>
      </c>
      <c r="AB10" s="22"/>
      <c r="AC10" s="13">
        <v>3</v>
      </c>
    </row>
    <row r="11" spans="2:33" x14ac:dyDescent="0.3">
      <c r="B11" s="8">
        <f t="shared" si="0"/>
        <v>1.9882277835966962</v>
      </c>
      <c r="C11" s="8">
        <v>1.8506452577819619</v>
      </c>
      <c r="D11">
        <v>7.6448866237372973E-2</v>
      </c>
      <c r="E11">
        <f t="shared" si="1"/>
        <v>1.9882277835966962</v>
      </c>
      <c r="G11" s="40">
        <f t="shared" si="4"/>
        <v>82.155742812823547</v>
      </c>
      <c r="H11" s="41"/>
      <c r="I11" s="21">
        <v>4</v>
      </c>
      <c r="J11" s="19">
        <v>237.93480858643358</v>
      </c>
      <c r="K11" s="13">
        <v>1</v>
      </c>
      <c r="L11" s="13">
        <f t="shared" si="2"/>
        <v>1.5151515151515152E-2</v>
      </c>
      <c r="M11" s="13">
        <f>$M10+$L11</f>
        <v>1</v>
      </c>
      <c r="O11" s="35">
        <f t="shared" si="3"/>
        <v>237.93480858643358</v>
      </c>
      <c r="P11" s="35"/>
      <c r="Q11" s="20">
        <f>$C$2*EXP(-$C$2*AVERAGE($O11,$O$6))</f>
        <v>2.5989209724891076E-4</v>
      </c>
      <c r="R11" s="13">
        <f t="shared" si="5"/>
        <v>1.1096411235748025E-3</v>
      </c>
      <c r="S11" s="22">
        <f>1-EXP(-$C$2*AVERAGE($O11,$O10))</f>
        <v>0.99956252645052623</v>
      </c>
      <c r="T11" s="22"/>
      <c r="AA11" s="22" cm="1">
        <f t="array" ref="AA11">1/COUNT($B$5:$B$104)*SUM(POWER($B$5:$B$104-$AA$5,$AC10))</f>
        <v>15493.647862275111</v>
      </c>
      <c r="AB11" s="22"/>
      <c r="AC11" s="22"/>
    </row>
    <row r="12" spans="2:33" x14ac:dyDescent="0.3">
      <c r="B12" s="8">
        <f t="shared" si="0"/>
        <v>53.762031165920654</v>
      </c>
      <c r="C12" s="8">
        <v>1.9882277835966962</v>
      </c>
      <c r="D12">
        <v>0.88357188634907069</v>
      </c>
      <c r="E12">
        <f t="shared" si="1"/>
        <v>53.762031165920654</v>
      </c>
      <c r="G12" s="40">
        <f t="shared" si="4"/>
        <v>95.810171104651147</v>
      </c>
      <c r="H12" s="41"/>
      <c r="I12" s="21">
        <v>1</v>
      </c>
      <c r="R12" s="9"/>
      <c r="AA12" s="22" t="s">
        <v>17</v>
      </c>
      <c r="AB12" s="22"/>
      <c r="AC12" s="13">
        <v>4</v>
      </c>
    </row>
    <row r="13" spans="2:33" x14ac:dyDescent="0.3">
      <c r="B13" s="8">
        <f t="shared" si="0"/>
        <v>4.9751781430682609</v>
      </c>
      <c r="C13" s="8">
        <v>2.3476828211647418</v>
      </c>
      <c r="D13">
        <v>0.1804559465315714</v>
      </c>
      <c r="E13">
        <f t="shared" si="1"/>
        <v>4.9751781430682609</v>
      </c>
      <c r="G13" s="40">
        <f>$P$2</f>
        <v>109.46459939647876</v>
      </c>
      <c r="H13" s="41"/>
      <c r="I13" s="21">
        <v>1</v>
      </c>
      <c r="R13" s="9"/>
      <c r="AA13" s="22" cm="1">
        <f t="array" ref="AA13">1/COUNT($B$5:$B$104)*SUM(POWER($B$5:$B$104-$AA$5,$AC12))</f>
        <v>1118820.6536609526</v>
      </c>
      <c r="AB13" s="22"/>
      <c r="AC13" s="22"/>
    </row>
    <row r="14" spans="2:33" x14ac:dyDescent="0.3">
      <c r="B14" s="8">
        <f t="shared" si="0"/>
        <v>35.243260023455079</v>
      </c>
      <c r="C14" s="8">
        <v>2.7677187316020078</v>
      </c>
      <c r="D14">
        <v>0.75579088717307041</v>
      </c>
      <c r="E14">
        <f t="shared" si="1"/>
        <v>35.243260023455079</v>
      </c>
      <c r="R14" s="9"/>
      <c r="AA14" s="22" t="s">
        <v>15</v>
      </c>
      <c r="AB14" s="22"/>
      <c r="AC14" s="22"/>
      <c r="AD14" s="22" t="s">
        <v>38</v>
      </c>
      <c r="AE14" s="22"/>
      <c r="AF14" s="22"/>
    </row>
    <row r="15" spans="2:33" x14ac:dyDescent="0.3">
      <c r="B15" s="8">
        <f t="shared" si="0"/>
        <v>7.8593147511399977</v>
      </c>
      <c r="C15" s="8">
        <v>3.1325884488128044</v>
      </c>
      <c r="D15">
        <v>0.26975310525833918</v>
      </c>
      <c r="E15">
        <f t="shared" si="1"/>
        <v>7.8593147511399977</v>
      </c>
      <c r="O15" s="9"/>
      <c r="AA15" s="39">
        <f>$AA11/POWER(SQRT($AA$7),$AC10)</f>
        <v>1.358823287937204</v>
      </c>
      <c r="AB15" s="39"/>
      <c r="AC15" s="39"/>
      <c r="AD15" s="22">
        <v>2</v>
      </c>
      <c r="AE15" s="22"/>
      <c r="AF15" s="22"/>
    </row>
    <row r="16" spans="2:33" x14ac:dyDescent="0.3">
      <c r="B16" s="8">
        <f t="shared" si="0"/>
        <v>22.50200435009803</v>
      </c>
      <c r="C16" s="8">
        <v>4.102454057256633</v>
      </c>
      <c r="D16">
        <v>0.59346293527024141</v>
      </c>
      <c r="E16">
        <f t="shared" si="1"/>
        <v>22.50200435009803</v>
      </c>
      <c r="AA16" s="22" t="s">
        <v>9</v>
      </c>
      <c r="AB16" s="22"/>
      <c r="AC16" s="22"/>
      <c r="AD16" s="22" t="s">
        <v>23</v>
      </c>
      <c r="AE16" s="22"/>
      <c r="AF16" s="22"/>
    </row>
    <row r="17" spans="2:32" x14ac:dyDescent="0.3">
      <c r="B17" s="8">
        <f t="shared" si="0"/>
        <v>36.637326990591745</v>
      </c>
      <c r="C17" s="8">
        <v>4.5743716564225556</v>
      </c>
      <c r="D17">
        <v>0.76903592028565326</v>
      </c>
      <c r="E17">
        <f t="shared" si="1"/>
        <v>36.637326990591745</v>
      </c>
      <c r="AA17" s="22">
        <f>$AA13/POWER(SQRT($AA$9),$AC12)-3</f>
        <v>1.2727740863596191</v>
      </c>
      <c r="AB17" s="22"/>
      <c r="AC17" s="22"/>
      <c r="AD17" s="22">
        <v>6</v>
      </c>
      <c r="AE17" s="22"/>
      <c r="AF17" s="22"/>
    </row>
    <row r="18" spans="2:32" x14ac:dyDescent="0.3">
      <c r="B18" s="8">
        <f t="shared" si="0"/>
        <v>1.8506452577819619</v>
      </c>
      <c r="C18" s="8">
        <v>4.811863777122265</v>
      </c>
      <c r="D18">
        <v>7.1352275154881434E-2</v>
      </c>
      <c r="E18">
        <f t="shared" si="1"/>
        <v>1.8506452577819619</v>
      </c>
      <c r="AA18" s="22" t="s">
        <v>10</v>
      </c>
      <c r="AB18" s="22"/>
      <c r="AC18" s="22"/>
    </row>
    <row r="19" spans="2:32" x14ac:dyDescent="0.3">
      <c r="B19" s="8">
        <f t="shared" si="0"/>
        <v>11.554774268997116</v>
      </c>
      <c r="C19" s="8">
        <v>4.9751781430682609</v>
      </c>
      <c r="D19">
        <v>0.37009796441541792</v>
      </c>
      <c r="E19">
        <f t="shared" si="1"/>
        <v>11.554774268997116</v>
      </c>
      <c r="AA19" s="36">
        <f>SQRT($AA$9)/ABS($AA$5)</f>
        <v>0.89728923372390013</v>
      </c>
      <c r="AB19" s="36"/>
      <c r="AC19" s="36"/>
    </row>
    <row r="20" spans="2:32" x14ac:dyDescent="0.3">
      <c r="B20" s="8">
        <f t="shared" si="0"/>
        <v>8.1493558353665829</v>
      </c>
      <c r="C20" s="8">
        <v>6.1531670491075623</v>
      </c>
      <c r="D20">
        <v>0.27817621387371438</v>
      </c>
      <c r="E20">
        <f t="shared" si="1"/>
        <v>8.1493558353665829</v>
      </c>
      <c r="AA20" s="22" t="s">
        <v>20</v>
      </c>
      <c r="AB20" s="22"/>
      <c r="AC20" s="13">
        <v>0.25</v>
      </c>
    </row>
    <row r="21" spans="2:32" x14ac:dyDescent="0.3">
      <c r="B21" s="8">
        <f t="shared" si="0"/>
        <v>11.830024284798501</v>
      </c>
      <c r="C21" s="8">
        <v>6.8949965863398575</v>
      </c>
      <c r="D21">
        <v>0.37699514755699332</v>
      </c>
      <c r="E21">
        <f t="shared" si="1"/>
        <v>11.830024284798501</v>
      </c>
      <c r="AA21" s="22" cm="1">
        <f t="array" ref="AA21">INDEX($C$5:$C$104,ROUND(100*$AC20,0)+1+4)</f>
        <v>11.554774268997116</v>
      </c>
      <c r="AB21" s="22"/>
      <c r="AC21" s="22"/>
    </row>
    <row r="22" spans="2:32" x14ac:dyDescent="0.3">
      <c r="B22" s="8">
        <f t="shared" si="0"/>
        <v>12.927795194093713</v>
      </c>
      <c r="C22" s="8">
        <v>7.3996744746749732</v>
      </c>
      <c r="D22">
        <v>0.40375988036744287</v>
      </c>
      <c r="E22">
        <f t="shared" si="1"/>
        <v>12.927795194093713</v>
      </c>
      <c r="AA22" s="22" t="s">
        <v>20</v>
      </c>
      <c r="AB22" s="22"/>
      <c r="AC22" s="13">
        <v>0.5</v>
      </c>
    </row>
    <row r="23" spans="2:32" x14ac:dyDescent="0.3">
      <c r="B23" s="8">
        <f t="shared" si="0"/>
        <v>16.172477351744071</v>
      </c>
      <c r="C23" s="8">
        <v>7.830077424275772</v>
      </c>
      <c r="D23">
        <v>0.47633289590136418</v>
      </c>
      <c r="E23">
        <f t="shared" si="1"/>
        <v>16.172477351744071</v>
      </c>
      <c r="AA23" s="22" cm="1">
        <f t="array" ref="AA23">INDEX($C$5:$C$104,ROUND(100*$AC22,0)+1+4)</f>
        <v>20.426699373232772</v>
      </c>
      <c r="AB23" s="22"/>
      <c r="AC23" s="22"/>
    </row>
    <row r="24" spans="2:32" x14ac:dyDescent="0.3">
      <c r="B24" s="8">
        <f t="shared" si="0"/>
        <v>67.37682125760837</v>
      </c>
      <c r="C24" s="8">
        <v>7.8478245802564723</v>
      </c>
      <c r="D24">
        <v>0.93246253852961825</v>
      </c>
      <c r="E24">
        <f t="shared" si="1"/>
        <v>67.37682125760837</v>
      </c>
      <c r="AA24" s="22" t="s">
        <v>20</v>
      </c>
      <c r="AB24" s="22"/>
      <c r="AC24" s="13">
        <v>0.75</v>
      </c>
    </row>
    <row r="25" spans="2:32" x14ac:dyDescent="0.3">
      <c r="B25" s="8">
        <f t="shared" si="0"/>
        <v>25.930266110584714</v>
      </c>
      <c r="C25" s="8">
        <v>7.8593147511399977</v>
      </c>
      <c r="D25">
        <v>0.64555803094576858</v>
      </c>
      <c r="E25">
        <f t="shared" si="1"/>
        <v>25.930266110584714</v>
      </c>
      <c r="AA25" s="22" cm="1">
        <f t="array" ref="AA25">INDEX($C$5:$C$104,ROUND(100*$AC24,0)+1+4)</f>
        <v>41.373057211725822</v>
      </c>
      <c r="AB25" s="22"/>
      <c r="AC25" s="22"/>
    </row>
    <row r="26" spans="2:32" x14ac:dyDescent="0.3">
      <c r="B26" s="8">
        <f t="shared" si="0"/>
        <v>15.080638122189068</v>
      </c>
      <c r="C26" s="8">
        <v>8.1493558353665829</v>
      </c>
      <c r="D26">
        <v>0.45295571764275033</v>
      </c>
      <c r="E26">
        <f t="shared" si="1"/>
        <v>15.080638122189068</v>
      </c>
      <c r="AA26" s="22" t="s">
        <v>41</v>
      </c>
      <c r="AB26" s="22"/>
      <c r="AC26" s="22"/>
    </row>
    <row r="27" spans="2:32" x14ac:dyDescent="0.3">
      <c r="B27" s="8">
        <f t="shared" si="0"/>
        <v>3.1325884488128044</v>
      </c>
      <c r="C27" s="8">
        <v>8.3915193398586432</v>
      </c>
      <c r="D27">
        <v>0.11777092806787316</v>
      </c>
      <c r="E27">
        <f t="shared" si="1"/>
        <v>3.1325884488128044</v>
      </c>
      <c r="AA27" s="22">
        <f>INDEX(J6:J11,MATCH(MAX(K6:K11),K6:K11,0))</f>
        <v>13.883601353685542</v>
      </c>
      <c r="AB27" s="22"/>
      <c r="AC27" s="18">
        <f>MAX(K6:K11)</f>
        <v>38</v>
      </c>
    </row>
    <row r="28" spans="2:32" x14ac:dyDescent="0.3">
      <c r="B28" s="8">
        <f t="shared" si="0"/>
        <v>21.704123231016904</v>
      </c>
      <c r="C28" s="8">
        <v>9.1654138813944908</v>
      </c>
      <c r="D28">
        <v>0.58027893917661066</v>
      </c>
      <c r="E28">
        <f t="shared" si="1"/>
        <v>21.704123231016904</v>
      </c>
      <c r="AA28" s="22" t="s">
        <v>14</v>
      </c>
      <c r="AB28" s="22"/>
      <c r="AC28" s="22"/>
      <c r="AD28" s="22" t="s">
        <v>40</v>
      </c>
      <c r="AE28" s="22"/>
      <c r="AF28" s="22"/>
    </row>
    <row r="29" spans="2:32" x14ac:dyDescent="0.3">
      <c r="B29" s="8">
        <f t="shared" si="0"/>
        <v>4.5743716564225556</v>
      </c>
      <c r="C29" s="8">
        <v>9.3155777459953075</v>
      </c>
      <c r="D29">
        <v>0.16721091341898861</v>
      </c>
      <c r="E29">
        <f t="shared" si="1"/>
        <v>4.5743716564225556</v>
      </c>
      <c r="AA29" s="35" cm="1">
        <f t="array" ref="AA29">$AA$27-$J$2+$J$2*($AC$27-INDEX(K5:K11,MATCH($AA$27,$J$5:$J$11,0)-1))/(($AC$27-MATCH($AA$27,$J$5:$J$11,0)-1)+($AA$27-MATCH($AA$27,$J$5:$J$11,0)+1))</f>
        <v>11.065205866844781</v>
      </c>
      <c r="AB29" s="22"/>
      <c r="AC29" s="22"/>
      <c r="AD29" s="22">
        <v>0</v>
      </c>
      <c r="AE29" s="22"/>
      <c r="AF29" s="22"/>
    </row>
    <row r="30" spans="2:32" x14ac:dyDescent="0.3">
      <c r="B30" s="8">
        <f t="shared" si="0"/>
        <v>73.721083236447726</v>
      </c>
      <c r="C30" s="8">
        <v>10.153418520284859</v>
      </c>
      <c r="D30">
        <v>0.94759971922971287</v>
      </c>
      <c r="E30">
        <f t="shared" si="1"/>
        <v>73.721083236447726</v>
      </c>
    </row>
    <row r="31" spans="2:32" x14ac:dyDescent="0.3">
      <c r="B31" s="8">
        <f t="shared" si="0"/>
        <v>2.3476828211647418</v>
      </c>
      <c r="C31" s="8">
        <v>10.988323671682522</v>
      </c>
      <c r="D31">
        <v>8.963286233100376E-2</v>
      </c>
      <c r="E31">
        <f t="shared" si="1"/>
        <v>2.3476828211647418</v>
      </c>
    </row>
    <row r="32" spans="2:32" x14ac:dyDescent="0.3">
      <c r="B32" s="8">
        <f t="shared" si="0"/>
        <v>12.485148620384122</v>
      </c>
      <c r="C32" s="8">
        <v>11.441176161808162</v>
      </c>
      <c r="D32">
        <v>0.39310892056031982</v>
      </c>
      <c r="E32">
        <f t="shared" si="1"/>
        <v>12.485148620384122</v>
      </c>
    </row>
    <row r="33" spans="2:5" x14ac:dyDescent="0.3">
      <c r="B33" s="8">
        <f t="shared" si="0"/>
        <v>7.3996744746749732</v>
      </c>
      <c r="C33" s="8">
        <v>11.444793670556786</v>
      </c>
      <c r="D33">
        <v>0.25620288705099642</v>
      </c>
      <c r="E33">
        <f t="shared" si="1"/>
        <v>7.3996744746749732</v>
      </c>
    </row>
    <row r="34" spans="2:5" x14ac:dyDescent="0.3">
      <c r="B34" s="8">
        <f t="shared" si="0"/>
        <v>80.06850848137627</v>
      </c>
      <c r="C34" s="8">
        <v>11.554774268997116</v>
      </c>
      <c r="D34">
        <v>0.95934934537797178</v>
      </c>
      <c r="E34">
        <f t="shared" si="1"/>
        <v>80.06850848137627</v>
      </c>
    </row>
    <row r="35" spans="2:5" x14ac:dyDescent="0.3">
      <c r="B35" s="8">
        <f t="shared" si="0"/>
        <v>25.152496242887118</v>
      </c>
      <c r="C35" s="8">
        <v>11.830024284798501</v>
      </c>
      <c r="D35">
        <v>0.6343577379680776</v>
      </c>
      <c r="E35">
        <f t="shared" si="1"/>
        <v>25.152496242887118</v>
      </c>
    </row>
    <row r="36" spans="2:5" x14ac:dyDescent="0.3">
      <c r="B36" s="8">
        <f t="shared" si="0"/>
        <v>36.869639826488161</v>
      </c>
      <c r="C36" s="8">
        <v>12.047732482093114</v>
      </c>
      <c r="D36">
        <v>0.77117221594897301</v>
      </c>
      <c r="E36">
        <f t="shared" si="1"/>
        <v>36.869639826488161</v>
      </c>
    </row>
    <row r="37" spans="2:5" x14ac:dyDescent="0.3">
      <c r="B37" s="8">
        <f t="shared" si="0"/>
        <v>44.255828374500673</v>
      </c>
      <c r="C37" s="8">
        <v>12.26859951326716</v>
      </c>
      <c r="D37">
        <v>0.82970671712393562</v>
      </c>
      <c r="E37">
        <f t="shared" si="1"/>
        <v>44.255828374500673</v>
      </c>
    </row>
    <row r="38" spans="2:5" x14ac:dyDescent="0.3">
      <c r="B38" s="8">
        <f t="shared" si="0"/>
        <v>53.768585104875484</v>
      </c>
      <c r="C38" s="8">
        <v>12.485148620384122</v>
      </c>
      <c r="D38">
        <v>0.88360240485854669</v>
      </c>
      <c r="E38">
        <f t="shared" si="1"/>
        <v>53.768585104875484</v>
      </c>
    </row>
    <row r="39" spans="2:5" x14ac:dyDescent="0.3">
      <c r="B39" s="8">
        <f t="shared" si="0"/>
        <v>24.505730892627273</v>
      </c>
      <c r="C39" s="8">
        <v>12.777253812485577</v>
      </c>
      <c r="D39">
        <v>0.62477492599261453</v>
      </c>
      <c r="E39">
        <f t="shared" si="1"/>
        <v>24.505730892627273</v>
      </c>
    </row>
    <row r="40" spans="2:5" x14ac:dyDescent="0.3">
      <c r="B40" s="8">
        <f t="shared" si="0"/>
        <v>13.556245710865822</v>
      </c>
      <c r="C40" s="8">
        <v>12.927795194093713</v>
      </c>
      <c r="D40">
        <v>0.41856135746330148</v>
      </c>
      <c r="E40">
        <f t="shared" si="1"/>
        <v>13.556245710865822</v>
      </c>
    </row>
    <row r="41" spans="2:5" x14ac:dyDescent="0.3">
      <c r="B41" s="8">
        <f t="shared" si="0"/>
        <v>9.1654138813944908</v>
      </c>
      <c r="C41" s="8">
        <v>13.556245710865822</v>
      </c>
      <c r="D41">
        <v>0.30692464980010375</v>
      </c>
      <c r="E41">
        <f t="shared" si="1"/>
        <v>9.1654138813944908</v>
      </c>
    </row>
    <row r="42" spans="2:5" x14ac:dyDescent="0.3">
      <c r="B42" s="8">
        <f t="shared" si="0"/>
        <v>11.444793670556786</v>
      </c>
      <c r="C42" s="8">
        <v>13.686492025727093</v>
      </c>
      <c r="D42">
        <v>0.3673207800531022</v>
      </c>
      <c r="E42">
        <f t="shared" si="1"/>
        <v>11.444793670556786</v>
      </c>
    </row>
    <row r="43" spans="2:5" x14ac:dyDescent="0.3">
      <c r="B43" s="8">
        <f t="shared" si="0"/>
        <v>59.0231812055817</v>
      </c>
      <c r="C43" s="8">
        <v>13.946372382376069</v>
      </c>
      <c r="D43">
        <v>0.9056672872096927</v>
      </c>
      <c r="E43">
        <f t="shared" si="1"/>
        <v>59.0231812055817</v>
      </c>
    </row>
    <row r="44" spans="2:5" x14ac:dyDescent="0.3">
      <c r="B44" s="8">
        <f t="shared" si="0"/>
        <v>72.141313549112965</v>
      </c>
      <c r="C44" s="8">
        <v>14.06259884549039</v>
      </c>
      <c r="D44">
        <v>0.94418164616840117</v>
      </c>
      <c r="E44">
        <f t="shared" si="1"/>
        <v>72.141313549112965</v>
      </c>
    </row>
    <row r="45" spans="2:5" x14ac:dyDescent="0.3">
      <c r="B45" s="8">
        <f t="shared" si="0"/>
        <v>67.275355503895227</v>
      </c>
      <c r="C45" s="8">
        <v>14.09341590328226</v>
      </c>
      <c r="D45">
        <v>0.93218787194433428</v>
      </c>
      <c r="E45">
        <f t="shared" si="1"/>
        <v>67.275355503895227</v>
      </c>
    </row>
    <row r="46" spans="2:5" x14ac:dyDescent="0.3">
      <c r="B46" s="8">
        <f t="shared" si="0"/>
        <v>84.157992855981561</v>
      </c>
      <c r="C46" s="8">
        <v>14.400979270907024</v>
      </c>
      <c r="D46">
        <v>0.96548356578264716</v>
      </c>
      <c r="E46">
        <f t="shared" si="1"/>
        <v>84.157992855981561</v>
      </c>
    </row>
    <row r="47" spans="2:5" x14ac:dyDescent="0.3">
      <c r="B47" s="8">
        <f t="shared" si="0"/>
        <v>14.920759918469232</v>
      </c>
      <c r="C47" s="8">
        <v>14.920759918469232</v>
      </c>
      <c r="D47">
        <v>0.44944608905301064</v>
      </c>
      <c r="E47">
        <f t="shared" si="1"/>
        <v>14.920759918469232</v>
      </c>
    </row>
    <row r="48" spans="2:5" x14ac:dyDescent="0.3">
      <c r="B48" s="8">
        <f t="shared" si="0"/>
        <v>0.47679177556937125</v>
      </c>
      <c r="C48" s="8">
        <v>15.080638122189068</v>
      </c>
      <c r="D48">
        <v>1.8890957365642263E-2</v>
      </c>
      <c r="E48">
        <f t="shared" si="1"/>
        <v>0.47679177556937125</v>
      </c>
    </row>
    <row r="49" spans="2:5" x14ac:dyDescent="0.3">
      <c r="B49" s="8">
        <f t="shared" si="0"/>
        <v>13.946372382376069</v>
      </c>
      <c r="C49" s="8">
        <v>15.292129901424083</v>
      </c>
      <c r="D49">
        <v>0.42756431775872067</v>
      </c>
      <c r="E49">
        <f t="shared" si="1"/>
        <v>13.946372382376069</v>
      </c>
    </row>
    <row r="50" spans="2:5" x14ac:dyDescent="0.3">
      <c r="B50" s="8">
        <f t="shared" si="0"/>
        <v>41.126749800650536</v>
      </c>
      <c r="C50" s="8">
        <v>15.397844264115754</v>
      </c>
      <c r="D50">
        <v>0.8070009460737938</v>
      </c>
      <c r="E50">
        <f t="shared" si="1"/>
        <v>41.126749800650536</v>
      </c>
    </row>
    <row r="51" spans="2:5" x14ac:dyDescent="0.3">
      <c r="B51" s="8">
        <f t="shared" si="0"/>
        <v>16.492129800360939</v>
      </c>
      <c r="C51" s="8">
        <v>16.133170312055388</v>
      </c>
      <c r="D51">
        <v>0.48298593096713155</v>
      </c>
      <c r="E51">
        <f t="shared" si="1"/>
        <v>16.492129800360939</v>
      </c>
    </row>
    <row r="52" spans="2:5" x14ac:dyDescent="0.3">
      <c r="B52" s="8">
        <f t="shared" si="0"/>
        <v>24.252845871697854</v>
      </c>
      <c r="C52" s="8">
        <v>16.172477351744071</v>
      </c>
      <c r="D52">
        <v>0.62096011230811488</v>
      </c>
      <c r="E52">
        <f t="shared" si="1"/>
        <v>24.252845871697854</v>
      </c>
    </row>
    <row r="53" spans="2:5" x14ac:dyDescent="0.3">
      <c r="B53" s="8">
        <f t="shared" si="0"/>
        <v>12.047732482093114</v>
      </c>
      <c r="C53" s="8">
        <v>16.492129800360939</v>
      </c>
      <c r="D53">
        <v>0.38239692373424483</v>
      </c>
      <c r="E53">
        <f t="shared" si="1"/>
        <v>12.047732482093114</v>
      </c>
    </row>
    <row r="54" spans="2:5" x14ac:dyDescent="0.3">
      <c r="B54" s="8">
        <f t="shared" si="0"/>
        <v>1.3359176056356872</v>
      </c>
      <c r="C54" s="8">
        <v>17.125793945857339</v>
      </c>
      <c r="D54">
        <v>5.2034058656575212E-2</v>
      </c>
      <c r="E54">
        <f t="shared" si="1"/>
        <v>1.3359176056356872</v>
      </c>
    </row>
    <row r="55" spans="2:5" x14ac:dyDescent="0.3">
      <c r="B55" s="8">
        <f t="shared" si="0"/>
        <v>6.8949965863398575</v>
      </c>
      <c r="C55" s="8">
        <v>17.139419987072785</v>
      </c>
      <c r="D55">
        <v>0.24103518784142583</v>
      </c>
      <c r="E55">
        <f t="shared" si="1"/>
        <v>6.8949965863398575</v>
      </c>
    </row>
    <row r="56" spans="2:5" x14ac:dyDescent="0.3">
      <c r="B56" s="8">
        <f t="shared" si="0"/>
        <v>12.777253812485577</v>
      </c>
      <c r="C56" s="8">
        <v>17.473296949944473</v>
      </c>
      <c r="D56">
        <v>0.40015869624927519</v>
      </c>
      <c r="E56">
        <f t="shared" si="1"/>
        <v>12.777253812485577</v>
      </c>
    </row>
    <row r="57" spans="2:5" x14ac:dyDescent="0.3">
      <c r="B57" s="8">
        <f t="shared" si="0"/>
        <v>8.3915193398586432</v>
      </c>
      <c r="C57" s="8">
        <v>19.532626145662341</v>
      </c>
      <c r="D57">
        <v>0.28513443403424177</v>
      </c>
      <c r="E57">
        <f t="shared" si="1"/>
        <v>8.3915193398586432</v>
      </c>
    </row>
    <row r="58" spans="2:5" x14ac:dyDescent="0.3">
      <c r="B58" s="8">
        <f t="shared" si="0"/>
        <v>13.686492025727093</v>
      </c>
      <c r="C58" s="8">
        <v>19.691452372843621</v>
      </c>
      <c r="D58">
        <v>0.42158268990142522</v>
      </c>
      <c r="E58">
        <f t="shared" si="1"/>
        <v>13.686492025727093</v>
      </c>
    </row>
    <row r="59" spans="2:5" x14ac:dyDescent="0.3">
      <c r="B59" s="8">
        <f t="shared" si="0"/>
        <v>17.473296949944473</v>
      </c>
      <c r="C59" s="8">
        <v>20.426699373232772</v>
      </c>
      <c r="D59">
        <v>0.50288399914548176</v>
      </c>
      <c r="E59">
        <f t="shared" si="1"/>
        <v>17.473296949944473</v>
      </c>
    </row>
    <row r="60" spans="2:5" x14ac:dyDescent="0.3">
      <c r="B60" s="8">
        <f t="shared" si="0"/>
        <v>29.511430285379046</v>
      </c>
      <c r="C60" s="8">
        <v>20.688881864387966</v>
      </c>
      <c r="D60">
        <v>0.69286172063356422</v>
      </c>
      <c r="E60">
        <f t="shared" si="1"/>
        <v>29.511430285379046</v>
      </c>
    </row>
    <row r="61" spans="2:5" x14ac:dyDescent="0.3">
      <c r="B61" s="8">
        <f t="shared" si="0"/>
        <v>23.152231116690626</v>
      </c>
      <c r="C61" s="8">
        <v>21.026273644315946</v>
      </c>
      <c r="D61">
        <v>0.60390026551103249</v>
      </c>
      <c r="E61">
        <f t="shared" si="1"/>
        <v>23.152231116690626</v>
      </c>
    </row>
    <row r="62" spans="2:5" x14ac:dyDescent="0.3">
      <c r="B62" s="8">
        <f t="shared" si="0"/>
        <v>21.684135585950319</v>
      </c>
      <c r="C62" s="8">
        <v>21.303797308302098</v>
      </c>
      <c r="D62">
        <v>0.57994323557237459</v>
      </c>
      <c r="E62">
        <f t="shared" si="1"/>
        <v>21.684135585950319</v>
      </c>
    </row>
    <row r="63" spans="2:5" x14ac:dyDescent="0.3">
      <c r="B63" s="8">
        <f t="shared" si="0"/>
        <v>21.026273644315946</v>
      </c>
      <c r="C63" s="8">
        <v>21.684135585950319</v>
      </c>
      <c r="D63">
        <v>0.56874294259468372</v>
      </c>
      <c r="E63">
        <f t="shared" si="1"/>
        <v>21.026273644315946</v>
      </c>
    </row>
    <row r="64" spans="2:5" x14ac:dyDescent="0.3">
      <c r="B64" s="8">
        <f t="shared" si="0"/>
        <v>6.1531670491075623</v>
      </c>
      <c r="C64" s="8">
        <v>21.704123231016904</v>
      </c>
      <c r="D64">
        <v>0.21817682424390392</v>
      </c>
      <c r="E64">
        <f t="shared" si="1"/>
        <v>6.1531670491075623</v>
      </c>
    </row>
    <row r="65" spans="2:5" x14ac:dyDescent="0.3">
      <c r="B65" s="8">
        <f t="shared" si="0"/>
        <v>43.190157962956604</v>
      </c>
      <c r="C65" s="8">
        <v>22.50200435009803</v>
      </c>
      <c r="D65">
        <v>0.8222907193212684</v>
      </c>
      <c r="E65">
        <f t="shared" si="1"/>
        <v>43.190157962956604</v>
      </c>
    </row>
    <row r="66" spans="2:5" x14ac:dyDescent="0.3">
      <c r="B66" s="8">
        <f t="shared" si="0"/>
        <v>26.454494654273478</v>
      </c>
      <c r="C66" s="8">
        <v>22.933604378190765</v>
      </c>
      <c r="D66">
        <v>0.65291299172948392</v>
      </c>
      <c r="E66">
        <f t="shared" si="1"/>
        <v>26.454494654273478</v>
      </c>
    </row>
    <row r="67" spans="2:5" x14ac:dyDescent="0.3">
      <c r="B67" s="8">
        <f t="shared" si="0"/>
        <v>44.512518011354913</v>
      </c>
      <c r="C67" s="8">
        <v>23.056106728811308</v>
      </c>
      <c r="D67">
        <v>0.83144627216406752</v>
      </c>
      <c r="E67">
        <f t="shared" si="1"/>
        <v>44.512518011354913</v>
      </c>
    </row>
    <row r="68" spans="2:5" x14ac:dyDescent="0.3">
      <c r="B68" s="8">
        <f t="shared" si="0"/>
        <v>109.46459939647876</v>
      </c>
      <c r="C68" s="8">
        <v>23.152231116690626</v>
      </c>
      <c r="D68">
        <v>0.98745689260536518</v>
      </c>
      <c r="E68">
        <f t="shared" si="1"/>
        <v>109.46459939647876</v>
      </c>
    </row>
    <row r="69" spans="2:5" x14ac:dyDescent="0.3">
      <c r="B69" s="8">
        <f t="shared" si="0"/>
        <v>45.289449156877147</v>
      </c>
      <c r="C69" s="8">
        <v>24.214630328635483</v>
      </c>
      <c r="D69">
        <v>0.83660390026551101</v>
      </c>
      <c r="E69">
        <f t="shared" si="1"/>
        <v>45.289449156877147</v>
      </c>
    </row>
    <row r="70" spans="2:5" x14ac:dyDescent="0.3">
      <c r="B70" s="8">
        <f t="shared" ref="B70:B104" si="6">-1*LN(1-D70)/$C$2</f>
        <v>27.052912690219948</v>
      </c>
      <c r="C70" s="8">
        <v>24.252845871697854</v>
      </c>
      <c r="D70">
        <v>0.66112247077852715</v>
      </c>
      <c r="E70">
        <f t="shared" ref="E70:E104" si="7">-1*LN(1-D70)/$C$2</f>
        <v>27.052912690219948</v>
      </c>
    </row>
    <row r="71" spans="2:5" x14ac:dyDescent="0.3">
      <c r="B71" s="8">
        <f t="shared" si="6"/>
        <v>22.933604378190765</v>
      </c>
      <c r="C71" s="8">
        <v>24.505730892627273</v>
      </c>
      <c r="D71">
        <v>0.60042115543076879</v>
      </c>
      <c r="E71">
        <f t="shared" si="7"/>
        <v>22.933604378190765</v>
      </c>
    </row>
    <row r="72" spans="2:5" x14ac:dyDescent="0.3">
      <c r="B72" s="8">
        <f t="shared" si="6"/>
        <v>15.292129901424083</v>
      </c>
      <c r="C72" s="8">
        <v>25.152496242887118</v>
      </c>
      <c r="D72">
        <v>0.45756401257362589</v>
      </c>
      <c r="E72">
        <f t="shared" si="7"/>
        <v>15.292129901424083</v>
      </c>
    </row>
    <row r="73" spans="2:5" x14ac:dyDescent="0.3">
      <c r="B73" s="8">
        <f t="shared" si="6"/>
        <v>24.214630328635483</v>
      </c>
      <c r="C73" s="8">
        <v>25.930266110584714</v>
      </c>
      <c r="D73">
        <v>0.62038026062807095</v>
      </c>
      <c r="E73">
        <f t="shared" si="7"/>
        <v>24.214630328635483</v>
      </c>
    </row>
    <row r="74" spans="2:5" x14ac:dyDescent="0.3">
      <c r="B74" s="8">
        <f t="shared" si="6"/>
        <v>4.102454057256633</v>
      </c>
      <c r="C74" s="8">
        <v>26.454494654273478</v>
      </c>
      <c r="D74">
        <v>0.15134128849147008</v>
      </c>
      <c r="E74">
        <f t="shared" si="7"/>
        <v>4.102454057256633</v>
      </c>
    </row>
    <row r="75" spans="2:5" x14ac:dyDescent="0.3">
      <c r="B75" s="8">
        <f t="shared" si="6"/>
        <v>10.153418520284859</v>
      </c>
      <c r="C75" s="8">
        <v>27.052912690219948</v>
      </c>
      <c r="D75">
        <v>0.3337809381389813</v>
      </c>
      <c r="E75">
        <f t="shared" si="7"/>
        <v>10.153418520284859</v>
      </c>
    </row>
    <row r="76" spans="2:5" x14ac:dyDescent="0.3">
      <c r="B76" s="8">
        <f t="shared" si="6"/>
        <v>15.397844264115754</v>
      </c>
      <c r="C76" s="8">
        <v>27.149912586328245</v>
      </c>
      <c r="D76">
        <v>0.45985290078432567</v>
      </c>
      <c r="E76">
        <f t="shared" si="7"/>
        <v>15.397844264115754</v>
      </c>
    </row>
    <row r="77" spans="2:5" x14ac:dyDescent="0.3">
      <c r="B77" s="8">
        <f t="shared" si="6"/>
        <v>20.688881864387966</v>
      </c>
      <c r="C77" s="8">
        <v>28.765033144927642</v>
      </c>
      <c r="D77">
        <v>0.5628833887752922</v>
      </c>
      <c r="E77">
        <f t="shared" si="7"/>
        <v>20.688881864387966</v>
      </c>
    </row>
    <row r="78" spans="2:5" x14ac:dyDescent="0.3">
      <c r="B78" s="8">
        <f t="shared" si="6"/>
        <v>40.957337758458962</v>
      </c>
      <c r="C78" s="8">
        <v>29.511430285379046</v>
      </c>
      <c r="D78">
        <v>0.80568865016632585</v>
      </c>
      <c r="E78">
        <f t="shared" si="7"/>
        <v>40.957337758458962</v>
      </c>
    </row>
    <row r="79" spans="2:5" x14ac:dyDescent="0.3">
      <c r="B79" s="8">
        <f t="shared" si="6"/>
        <v>68.250473375905898</v>
      </c>
      <c r="C79" s="8">
        <v>35.243260023455079</v>
      </c>
      <c r="D79">
        <v>0.93478194524979397</v>
      </c>
      <c r="E79">
        <f t="shared" si="7"/>
        <v>68.250473375905898</v>
      </c>
    </row>
    <row r="80" spans="2:5" x14ac:dyDescent="0.3">
      <c r="B80" s="8">
        <f t="shared" si="6"/>
        <v>68.55650356267661</v>
      </c>
      <c r="C80" s="8">
        <v>36.637326990591745</v>
      </c>
      <c r="D80">
        <v>0.93557542649616998</v>
      </c>
      <c r="E80">
        <f t="shared" si="7"/>
        <v>68.55650356267661</v>
      </c>
    </row>
    <row r="81" spans="2:5" x14ac:dyDescent="0.3">
      <c r="B81" s="8">
        <f t="shared" si="6"/>
        <v>12.26859951326716</v>
      </c>
      <c r="C81" s="8">
        <v>36.869639826488161</v>
      </c>
      <c r="D81">
        <v>0.38782921842097234</v>
      </c>
      <c r="E81">
        <f t="shared" si="7"/>
        <v>12.26859951326716</v>
      </c>
    </row>
    <row r="82" spans="2:5" x14ac:dyDescent="0.3">
      <c r="B82" s="8">
        <f t="shared" si="6"/>
        <v>9.3155777459953075</v>
      </c>
      <c r="C82" s="8">
        <v>40.957337758458962</v>
      </c>
      <c r="D82">
        <v>0.31107516708883937</v>
      </c>
      <c r="E82">
        <f t="shared" si="7"/>
        <v>9.3155777459953075</v>
      </c>
    </row>
    <row r="83" spans="2:5" x14ac:dyDescent="0.3">
      <c r="B83" s="8">
        <f t="shared" si="6"/>
        <v>7.830077424275772</v>
      </c>
      <c r="C83" s="8">
        <v>41.126749800650536</v>
      </c>
      <c r="D83">
        <v>0.26889858699301128</v>
      </c>
      <c r="E83">
        <f t="shared" si="7"/>
        <v>7.830077424275772</v>
      </c>
    </row>
    <row r="84" spans="2:5" x14ac:dyDescent="0.3">
      <c r="B84" s="8">
        <f t="shared" si="6"/>
        <v>0.22917306185793818</v>
      </c>
      <c r="C84" s="8">
        <v>41.373057211725822</v>
      </c>
      <c r="D84">
        <v>9.1250343333231614E-3</v>
      </c>
      <c r="E84">
        <f t="shared" si="7"/>
        <v>0.22917306185793818</v>
      </c>
    </row>
    <row r="85" spans="2:5" x14ac:dyDescent="0.3">
      <c r="B85" s="8">
        <f t="shared" si="6"/>
        <v>1.4974064431058454</v>
      </c>
      <c r="C85" s="8">
        <v>43.190157962956604</v>
      </c>
      <c r="D85">
        <v>5.813776055177465E-2</v>
      </c>
      <c r="E85">
        <f t="shared" si="7"/>
        <v>1.4974064431058454</v>
      </c>
    </row>
    <row r="86" spans="2:5" x14ac:dyDescent="0.3">
      <c r="B86" s="8">
        <f t="shared" si="6"/>
        <v>7.8478245802564723</v>
      </c>
      <c r="C86" s="8">
        <v>44.255828374500673</v>
      </c>
      <c r="D86">
        <v>0.26941740165410322</v>
      </c>
      <c r="E86">
        <f t="shared" si="7"/>
        <v>7.8478245802564723</v>
      </c>
    </row>
    <row r="87" spans="2:5" x14ac:dyDescent="0.3">
      <c r="B87" s="8">
        <f t="shared" si="6"/>
        <v>20.426699373232772</v>
      </c>
      <c r="C87" s="8">
        <v>44.512518011354913</v>
      </c>
      <c r="D87">
        <v>0.55827509384441665</v>
      </c>
      <c r="E87">
        <f t="shared" si="7"/>
        <v>20.426699373232772</v>
      </c>
    </row>
    <row r="88" spans="2:5" x14ac:dyDescent="0.3">
      <c r="B88" s="8">
        <f t="shared" si="6"/>
        <v>14.09341590328226</v>
      </c>
      <c r="C88" s="8">
        <v>45.289449156877147</v>
      </c>
      <c r="D88">
        <v>0.43092135380108038</v>
      </c>
      <c r="E88">
        <f t="shared" si="7"/>
        <v>14.09341590328226</v>
      </c>
    </row>
    <row r="89" spans="2:5" x14ac:dyDescent="0.3">
      <c r="B89" s="8">
        <f t="shared" si="6"/>
        <v>21.303797308302098</v>
      </c>
      <c r="C89" s="8">
        <v>48.535849031384217</v>
      </c>
      <c r="D89">
        <v>0.57350383007293926</v>
      </c>
      <c r="E89">
        <f t="shared" si="7"/>
        <v>21.303797308302098</v>
      </c>
    </row>
    <row r="90" spans="2:5" x14ac:dyDescent="0.3">
      <c r="B90" s="8">
        <f t="shared" si="6"/>
        <v>14.06259884549039</v>
      </c>
      <c r="C90" s="8">
        <v>53.762031165920654</v>
      </c>
      <c r="D90">
        <v>0.4302194280831324</v>
      </c>
      <c r="E90">
        <f t="shared" si="7"/>
        <v>14.06259884549039</v>
      </c>
    </row>
    <row r="91" spans="2:5" x14ac:dyDescent="0.3">
      <c r="B91" s="8">
        <f t="shared" si="6"/>
        <v>41.373057211725822</v>
      </c>
      <c r="C91" s="8">
        <v>53.768585104875484</v>
      </c>
      <c r="D91">
        <v>0.80889309366130557</v>
      </c>
      <c r="E91">
        <f t="shared" si="7"/>
        <v>41.373057211725822</v>
      </c>
    </row>
    <row r="92" spans="2:5" x14ac:dyDescent="0.3">
      <c r="B92" s="8">
        <f t="shared" si="6"/>
        <v>63.079970268772058</v>
      </c>
      <c r="C92" s="8">
        <v>59.0231812055817</v>
      </c>
      <c r="D92">
        <v>0.91979735709707933</v>
      </c>
      <c r="E92">
        <f t="shared" si="7"/>
        <v>63.079970268772058</v>
      </c>
    </row>
    <row r="93" spans="2:5" x14ac:dyDescent="0.3">
      <c r="B93" s="8">
        <f t="shared" si="6"/>
        <v>1.7244403087158671</v>
      </c>
      <c r="C93" s="8">
        <v>63.079970268772058</v>
      </c>
      <c r="D93">
        <v>6.6652424695577875E-2</v>
      </c>
      <c r="E93">
        <f t="shared" si="7"/>
        <v>1.7244403087158671</v>
      </c>
    </row>
    <row r="94" spans="2:5" x14ac:dyDescent="0.3">
      <c r="B94" s="8">
        <f t="shared" si="6"/>
        <v>0.67196498681711248</v>
      </c>
      <c r="C94" s="8">
        <v>65.547533596713009</v>
      </c>
      <c r="D94">
        <v>2.6520584734641559E-2</v>
      </c>
      <c r="E94">
        <f t="shared" si="7"/>
        <v>0.67196498681711248</v>
      </c>
    </row>
    <row r="95" spans="2:5" x14ac:dyDescent="0.3">
      <c r="B95" s="8">
        <f t="shared" si="6"/>
        <v>65.547533596713009</v>
      </c>
      <c r="C95" s="8">
        <v>65.77960277369273</v>
      </c>
      <c r="D95">
        <v>0.92733542893765064</v>
      </c>
      <c r="E95">
        <f t="shared" si="7"/>
        <v>65.547533596713009</v>
      </c>
    </row>
    <row r="96" spans="2:5" x14ac:dyDescent="0.3">
      <c r="B96" s="8">
        <f t="shared" si="6"/>
        <v>14.400979270907024</v>
      </c>
      <c r="C96" s="8">
        <v>67.275355503895227</v>
      </c>
      <c r="D96">
        <v>0.4378795739616077</v>
      </c>
      <c r="E96">
        <f t="shared" si="7"/>
        <v>14.400979270907024</v>
      </c>
    </row>
    <row r="97" spans="2:5" x14ac:dyDescent="0.3">
      <c r="B97" s="8">
        <f t="shared" si="6"/>
        <v>2.7677187316020078</v>
      </c>
      <c r="C97" s="8">
        <v>67.37682125760837</v>
      </c>
      <c r="D97">
        <v>0.10480056154057436</v>
      </c>
      <c r="E97">
        <f t="shared" si="7"/>
        <v>2.7677187316020078</v>
      </c>
    </row>
    <row r="98" spans="2:5" x14ac:dyDescent="0.3">
      <c r="B98" s="8">
        <f t="shared" si="6"/>
        <v>17.125793945857339</v>
      </c>
      <c r="C98" s="8">
        <v>68.250473375905898</v>
      </c>
      <c r="D98">
        <v>0.49592577898495438</v>
      </c>
      <c r="E98">
        <f t="shared" si="7"/>
        <v>17.125793945857339</v>
      </c>
    </row>
    <row r="99" spans="2:5" x14ac:dyDescent="0.3">
      <c r="B99" s="8">
        <f t="shared" si="6"/>
        <v>28.765033144927642</v>
      </c>
      <c r="C99" s="8">
        <v>68.55650356267661</v>
      </c>
      <c r="D99">
        <v>0.68355357524338511</v>
      </c>
      <c r="E99">
        <f t="shared" si="7"/>
        <v>28.765033144927642</v>
      </c>
    </row>
    <row r="100" spans="2:5" x14ac:dyDescent="0.3">
      <c r="B100" s="8">
        <f t="shared" si="6"/>
        <v>65.77960277369273</v>
      </c>
      <c r="C100" s="8">
        <v>72.141313549112965</v>
      </c>
      <c r="D100">
        <v>0.92800683614612267</v>
      </c>
      <c r="E100">
        <f t="shared" si="7"/>
        <v>65.77960277369273</v>
      </c>
    </row>
    <row r="101" spans="2:5" x14ac:dyDescent="0.3">
      <c r="B101" s="8">
        <f t="shared" si="6"/>
        <v>23.056106728811308</v>
      </c>
      <c r="C101" s="8">
        <v>73.721083236447726</v>
      </c>
      <c r="D101">
        <v>0.60237434003723256</v>
      </c>
      <c r="E101">
        <f t="shared" si="7"/>
        <v>23.056106728811308</v>
      </c>
    </row>
    <row r="102" spans="2:5" x14ac:dyDescent="0.3">
      <c r="B102" s="8">
        <f t="shared" si="6"/>
        <v>11.441176161808162</v>
      </c>
      <c r="C102" s="8">
        <v>80.06850848137627</v>
      </c>
      <c r="D102">
        <v>0.36722922452467421</v>
      </c>
      <c r="E102">
        <f t="shared" si="7"/>
        <v>11.441176161808162</v>
      </c>
    </row>
    <row r="103" spans="2:5" x14ac:dyDescent="0.3">
      <c r="B103" s="8">
        <f t="shared" si="6"/>
        <v>4.811863777122265</v>
      </c>
      <c r="C103" s="8">
        <v>84.157992855981561</v>
      </c>
      <c r="D103">
        <v>0.17508468886379588</v>
      </c>
      <c r="E103">
        <f t="shared" si="7"/>
        <v>4.811863777122265</v>
      </c>
    </row>
    <row r="104" spans="2:5" x14ac:dyDescent="0.3">
      <c r="B104" s="8">
        <f t="shared" si="6"/>
        <v>19.691452372843621</v>
      </c>
      <c r="C104" s="8">
        <v>109.46459939647876</v>
      </c>
      <c r="D104">
        <v>0.5450910977507859</v>
      </c>
      <c r="E104">
        <f t="shared" si="7"/>
        <v>19.691452372843621</v>
      </c>
    </row>
  </sheetData>
  <mergeCells count="59">
    <mergeCell ref="G8:H8"/>
    <mergeCell ref="E2:F2"/>
    <mergeCell ref="G4:H4"/>
    <mergeCell ref="G5:H5"/>
    <mergeCell ref="G6:H6"/>
    <mergeCell ref="G7:H7"/>
    <mergeCell ref="G9:H9"/>
    <mergeCell ref="G10:H10"/>
    <mergeCell ref="G11:H11"/>
    <mergeCell ref="G12:H12"/>
    <mergeCell ref="G13:H13"/>
    <mergeCell ref="AD14:AF14"/>
    <mergeCell ref="AD15:AF15"/>
    <mergeCell ref="AD16:AF16"/>
    <mergeCell ref="AD17:AF17"/>
    <mergeCell ref="AA10:AB10"/>
    <mergeCell ref="AA12:AB12"/>
    <mergeCell ref="AA13:AC13"/>
    <mergeCell ref="J4:K4"/>
    <mergeCell ref="O5:P5"/>
    <mergeCell ref="AA16:AC16"/>
    <mergeCell ref="AA17:AC17"/>
    <mergeCell ref="AA4:AC4"/>
    <mergeCell ref="AA5:AC5"/>
    <mergeCell ref="AA8:AC8"/>
    <mergeCell ref="AA9:AC9"/>
    <mergeCell ref="AA6:AC6"/>
    <mergeCell ref="AA7:AC7"/>
    <mergeCell ref="AA11:AC11"/>
    <mergeCell ref="O4:P4"/>
    <mergeCell ref="AA15:AC15"/>
    <mergeCell ref="AA14:AC14"/>
    <mergeCell ref="S4:T4"/>
    <mergeCell ref="S11:T11"/>
    <mergeCell ref="O6:P6"/>
    <mergeCell ref="O7:P7"/>
    <mergeCell ref="O8:P8"/>
    <mergeCell ref="O9:P9"/>
    <mergeCell ref="O11:P11"/>
    <mergeCell ref="O10:P10"/>
    <mergeCell ref="S6:T6"/>
    <mergeCell ref="S7:T7"/>
    <mergeCell ref="S8:T8"/>
    <mergeCell ref="S9:T9"/>
    <mergeCell ref="S10:T10"/>
    <mergeCell ref="AD28:AF28"/>
    <mergeCell ref="AD29:AF29"/>
    <mergeCell ref="AA26:AC26"/>
    <mergeCell ref="AA29:AC29"/>
    <mergeCell ref="AA18:AC18"/>
    <mergeCell ref="AA19:AC19"/>
    <mergeCell ref="AA20:AB20"/>
    <mergeCell ref="AA21:AC21"/>
    <mergeCell ref="AA22:AB22"/>
    <mergeCell ref="AA27:AB27"/>
    <mergeCell ref="AA23:AC23"/>
    <mergeCell ref="AA24:AB24"/>
    <mergeCell ref="AA25:AC25"/>
    <mergeCell ref="AA28:AC2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Биномиальное распределение</vt:lpstr>
      <vt:lpstr>Показательное распределение</vt:lpstr>
      <vt:lpstr>'Биномиальное распределение'!Извлечь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Куминов</dc:creator>
  <cp:lastModifiedBy>Nikita Kolpachkov</cp:lastModifiedBy>
  <dcterms:created xsi:type="dcterms:W3CDTF">2024-09-03T10:21:19Z</dcterms:created>
  <dcterms:modified xsi:type="dcterms:W3CDTF">2024-10-12T10:04:21Z</dcterms:modified>
</cp:coreProperties>
</file>